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Итоги" sheetId="1" r:id="rId1"/>
    <sheet name="исх данные" sheetId="2" r:id="rId2"/>
    <sheet name="фукционал качества" sheetId="3" r:id="rId3"/>
    <sheet name="собственные числа" sheetId="5" r:id="rId4"/>
    <sheet name="Графики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CH87" i="1" l="1"/>
  <c r="B12" i="5" l="1"/>
  <c r="C23" i="5" s="1"/>
  <c r="J2" i="5"/>
  <c r="L2" i="5" s="1"/>
  <c r="H2" i="5"/>
  <c r="I2" i="5" s="1"/>
  <c r="D2" i="5"/>
  <c r="C2" i="5"/>
  <c r="B2" i="5"/>
  <c r="O9" i="3"/>
  <c r="N9" i="3"/>
  <c r="M9" i="3"/>
  <c r="L9" i="3"/>
  <c r="C16" i="5" l="1"/>
  <c r="A17" i="5"/>
  <c r="A18" i="5"/>
  <c r="A16" i="5"/>
  <c r="C17" i="5"/>
  <c r="C18" i="5"/>
  <c r="A19" i="5"/>
  <c r="C19" i="5"/>
  <c r="A20" i="5"/>
  <c r="C20" i="5"/>
  <c r="K2" i="5"/>
  <c r="C22" i="5"/>
  <c r="A15" i="5"/>
  <c r="A23" i="5"/>
  <c r="A21" i="5"/>
  <c r="C21" i="5"/>
  <c r="A22" i="5"/>
  <c r="C15" i="5"/>
  <c r="S9" i="1" l="1"/>
  <c r="K9" i="3"/>
  <c r="J9" i="3"/>
  <c r="I9" i="3"/>
  <c r="H9" i="3"/>
  <c r="G9" i="3"/>
  <c r="F9" i="3"/>
  <c r="E9" i="3"/>
  <c r="D9" i="3"/>
  <c r="C9" i="3"/>
  <c r="B9" i="3"/>
  <c r="P87" i="1"/>
  <c r="N87" i="1"/>
  <c r="M87" i="1"/>
  <c r="L87" i="1"/>
  <c r="K87" i="1"/>
  <c r="O75" i="1" s="1"/>
  <c r="J87" i="1"/>
  <c r="I87" i="1"/>
  <c r="H87" i="1"/>
  <c r="G87" i="1"/>
  <c r="F87" i="1"/>
  <c r="E87" i="1"/>
  <c r="D87" i="1"/>
  <c r="C87" i="1"/>
  <c r="B87" i="1"/>
  <c r="CB86" i="1"/>
  <c r="CC86" i="1" s="1"/>
  <c r="CD86" i="1" s="1"/>
  <c r="BS86" i="1"/>
  <c r="BT86" i="1" s="1"/>
  <c r="BU86" i="1" s="1"/>
  <c r="BK86" i="1"/>
  <c r="BJ86" i="1"/>
  <c r="BF86" i="1"/>
  <c r="BG86" i="1" s="1"/>
  <c r="BH86" i="1" s="1"/>
  <c r="AW86" i="1"/>
  <c r="AX86" i="1" s="1"/>
  <c r="AY86" i="1" s="1"/>
  <c r="AO86" i="1"/>
  <c r="AN86" i="1"/>
  <c r="AJ86" i="1"/>
  <c r="AK86" i="1" s="1"/>
  <c r="AL86" i="1" s="1"/>
  <c r="AA86" i="1"/>
  <c r="AB86" i="1" s="1"/>
  <c r="AC86" i="1" s="1"/>
  <c r="S86" i="1"/>
  <c r="R86" i="1"/>
  <c r="CB85" i="1"/>
  <c r="CC85" i="1" s="1"/>
  <c r="CD85" i="1" s="1"/>
  <c r="BS85" i="1"/>
  <c r="BT85" i="1" s="1"/>
  <c r="BU85" i="1" s="1"/>
  <c r="BK85" i="1"/>
  <c r="BJ85" i="1"/>
  <c r="BF85" i="1"/>
  <c r="BG85" i="1" s="1"/>
  <c r="BH85" i="1" s="1"/>
  <c r="AW85" i="1"/>
  <c r="AX85" i="1" s="1"/>
  <c r="AY85" i="1" s="1"/>
  <c r="AO85" i="1"/>
  <c r="AN85" i="1"/>
  <c r="AJ85" i="1"/>
  <c r="AK85" i="1" s="1"/>
  <c r="AL85" i="1" s="1"/>
  <c r="AA85" i="1"/>
  <c r="AB85" i="1" s="1"/>
  <c r="AC85" i="1" s="1"/>
  <c r="S85" i="1"/>
  <c r="R85" i="1"/>
  <c r="CB84" i="1"/>
  <c r="CC84" i="1" s="1"/>
  <c r="CD84" i="1" s="1"/>
  <c r="BS84" i="1"/>
  <c r="BT84" i="1" s="1"/>
  <c r="BU84" i="1" s="1"/>
  <c r="BK84" i="1"/>
  <c r="BJ84" i="1"/>
  <c r="BF84" i="1"/>
  <c r="BG84" i="1" s="1"/>
  <c r="BH84" i="1" s="1"/>
  <c r="AW84" i="1"/>
  <c r="AX84" i="1" s="1"/>
  <c r="AY84" i="1" s="1"/>
  <c r="AO84" i="1"/>
  <c r="AN84" i="1"/>
  <c r="AJ84" i="1"/>
  <c r="AK84" i="1" s="1"/>
  <c r="AL84" i="1" s="1"/>
  <c r="AA84" i="1"/>
  <c r="AB84" i="1" s="1"/>
  <c r="AC84" i="1" s="1"/>
  <c r="S84" i="1"/>
  <c r="R84" i="1"/>
  <c r="CB83" i="1"/>
  <c r="CC83" i="1" s="1"/>
  <c r="CD83" i="1" s="1"/>
  <c r="BS83" i="1"/>
  <c r="BT83" i="1" s="1"/>
  <c r="BU83" i="1" s="1"/>
  <c r="BK83" i="1"/>
  <c r="BJ83" i="1"/>
  <c r="BG83" i="1"/>
  <c r="BH83" i="1" s="1"/>
  <c r="BF83" i="1"/>
  <c r="AW83" i="1"/>
  <c r="AX83" i="1" s="1"/>
  <c r="AY83" i="1" s="1"/>
  <c r="AO83" i="1"/>
  <c r="AN83" i="1"/>
  <c r="AJ83" i="1"/>
  <c r="AK83" i="1" s="1"/>
  <c r="AL83" i="1" s="1"/>
  <c r="AA83" i="1"/>
  <c r="AB83" i="1" s="1"/>
  <c r="AC83" i="1" s="1"/>
  <c r="S83" i="1"/>
  <c r="R83" i="1"/>
  <c r="CB82" i="1"/>
  <c r="CC82" i="1" s="1"/>
  <c r="CD82" i="1" s="1"/>
  <c r="BS82" i="1"/>
  <c r="BT82" i="1" s="1"/>
  <c r="BU82" i="1" s="1"/>
  <c r="BK82" i="1"/>
  <c r="BJ82" i="1"/>
  <c r="BF82" i="1"/>
  <c r="BG82" i="1" s="1"/>
  <c r="BH82" i="1" s="1"/>
  <c r="AW82" i="1"/>
  <c r="AX82" i="1" s="1"/>
  <c r="AY82" i="1" s="1"/>
  <c r="AO82" i="1"/>
  <c r="AN82" i="1"/>
  <c r="AJ82" i="1"/>
  <c r="AK82" i="1" s="1"/>
  <c r="AL82" i="1" s="1"/>
  <c r="AA82" i="1"/>
  <c r="AB82" i="1" s="1"/>
  <c r="AC82" i="1" s="1"/>
  <c r="S82" i="1"/>
  <c r="R82" i="1"/>
  <c r="CB81" i="1"/>
  <c r="CC81" i="1" s="1"/>
  <c r="CD81" i="1" s="1"/>
  <c r="BS81" i="1"/>
  <c r="BT81" i="1" s="1"/>
  <c r="BU81" i="1" s="1"/>
  <c r="BK81" i="1"/>
  <c r="BJ81" i="1"/>
  <c r="BF81" i="1"/>
  <c r="BG81" i="1" s="1"/>
  <c r="BH81" i="1" s="1"/>
  <c r="AW81" i="1"/>
  <c r="AX81" i="1" s="1"/>
  <c r="AY81" i="1" s="1"/>
  <c r="AO81" i="1"/>
  <c r="AN81" i="1"/>
  <c r="AJ81" i="1"/>
  <c r="AK81" i="1" s="1"/>
  <c r="AL81" i="1" s="1"/>
  <c r="AA81" i="1"/>
  <c r="AB81" i="1" s="1"/>
  <c r="AC81" i="1" s="1"/>
  <c r="S81" i="1"/>
  <c r="R81" i="1"/>
  <c r="CB80" i="1"/>
  <c r="CC80" i="1" s="1"/>
  <c r="CD80" i="1" s="1"/>
  <c r="BS80" i="1"/>
  <c r="BT80" i="1" s="1"/>
  <c r="BU80" i="1" s="1"/>
  <c r="BK80" i="1"/>
  <c r="BJ80" i="1"/>
  <c r="BF80" i="1"/>
  <c r="BG80" i="1" s="1"/>
  <c r="BH80" i="1" s="1"/>
  <c r="AW80" i="1"/>
  <c r="AX80" i="1" s="1"/>
  <c r="AY80" i="1" s="1"/>
  <c r="AO80" i="1"/>
  <c r="AN80" i="1"/>
  <c r="AJ80" i="1"/>
  <c r="AK80" i="1" s="1"/>
  <c r="AL80" i="1" s="1"/>
  <c r="AA80" i="1"/>
  <c r="AB80" i="1" s="1"/>
  <c r="AC80" i="1" s="1"/>
  <c r="S80" i="1"/>
  <c r="R80" i="1"/>
  <c r="CB79" i="1"/>
  <c r="CC79" i="1" s="1"/>
  <c r="CD79" i="1" s="1"/>
  <c r="BS79" i="1"/>
  <c r="BT79" i="1" s="1"/>
  <c r="BU79" i="1" s="1"/>
  <c r="BK79" i="1"/>
  <c r="BJ79" i="1"/>
  <c r="BF79" i="1"/>
  <c r="BG79" i="1" s="1"/>
  <c r="BH79" i="1" s="1"/>
  <c r="AW79" i="1"/>
  <c r="AX79" i="1" s="1"/>
  <c r="AY79" i="1" s="1"/>
  <c r="AO79" i="1"/>
  <c r="AN79" i="1"/>
  <c r="AJ79" i="1"/>
  <c r="AK79" i="1" s="1"/>
  <c r="AL79" i="1" s="1"/>
  <c r="AA79" i="1"/>
  <c r="AB79" i="1" s="1"/>
  <c r="AC79" i="1" s="1"/>
  <c r="S79" i="1"/>
  <c r="R79" i="1"/>
  <c r="CB78" i="1"/>
  <c r="CC78" i="1" s="1"/>
  <c r="CD78" i="1" s="1"/>
  <c r="BS78" i="1"/>
  <c r="BT78" i="1" s="1"/>
  <c r="BU78" i="1" s="1"/>
  <c r="BK78" i="1"/>
  <c r="BJ78" i="1"/>
  <c r="BF78" i="1"/>
  <c r="BG78" i="1" s="1"/>
  <c r="BH78" i="1" s="1"/>
  <c r="AW78" i="1"/>
  <c r="AX78" i="1" s="1"/>
  <c r="AY78" i="1" s="1"/>
  <c r="AO78" i="1"/>
  <c r="AN78" i="1"/>
  <c r="AJ78" i="1"/>
  <c r="AK78" i="1" s="1"/>
  <c r="AL78" i="1" s="1"/>
  <c r="AA78" i="1"/>
  <c r="AB78" i="1" s="1"/>
  <c r="AC78" i="1" s="1"/>
  <c r="S78" i="1"/>
  <c r="R78" i="1"/>
  <c r="CB77" i="1"/>
  <c r="CC77" i="1" s="1"/>
  <c r="CD77" i="1" s="1"/>
  <c r="BS77" i="1"/>
  <c r="BT77" i="1" s="1"/>
  <c r="BU77" i="1" s="1"/>
  <c r="BK77" i="1"/>
  <c r="BJ77" i="1"/>
  <c r="BF77" i="1"/>
  <c r="BG77" i="1" s="1"/>
  <c r="BH77" i="1" s="1"/>
  <c r="AW77" i="1"/>
  <c r="AX77" i="1" s="1"/>
  <c r="AY77" i="1" s="1"/>
  <c r="AO77" i="1"/>
  <c r="AN77" i="1"/>
  <c r="AJ77" i="1"/>
  <c r="AK77" i="1" s="1"/>
  <c r="AL77" i="1" s="1"/>
  <c r="AA77" i="1"/>
  <c r="AB77" i="1" s="1"/>
  <c r="AC77" i="1" s="1"/>
  <c r="S77" i="1"/>
  <c r="R77" i="1"/>
  <c r="CB76" i="1"/>
  <c r="CC76" i="1" s="1"/>
  <c r="CD76" i="1" s="1"/>
  <c r="BS76" i="1"/>
  <c r="BT76" i="1" s="1"/>
  <c r="BU76" i="1" s="1"/>
  <c r="BK76" i="1"/>
  <c r="BJ76" i="1"/>
  <c r="BF76" i="1"/>
  <c r="BG76" i="1" s="1"/>
  <c r="BH76" i="1" s="1"/>
  <c r="AW76" i="1"/>
  <c r="AX76" i="1" s="1"/>
  <c r="AY76" i="1" s="1"/>
  <c r="AO76" i="1"/>
  <c r="AN76" i="1"/>
  <c r="AJ76" i="1"/>
  <c r="AK76" i="1" s="1"/>
  <c r="AL76" i="1" s="1"/>
  <c r="AA76" i="1"/>
  <c r="AB76" i="1" s="1"/>
  <c r="AC76" i="1" s="1"/>
  <c r="S76" i="1"/>
  <c r="R76" i="1"/>
  <c r="CB75" i="1"/>
  <c r="CC75" i="1" s="1"/>
  <c r="CD75" i="1" s="1"/>
  <c r="BS75" i="1"/>
  <c r="BT75" i="1" s="1"/>
  <c r="BU75" i="1" s="1"/>
  <c r="BK75" i="1"/>
  <c r="BJ75" i="1"/>
  <c r="BF75" i="1"/>
  <c r="BG75" i="1" s="1"/>
  <c r="BH75" i="1" s="1"/>
  <c r="AW75" i="1"/>
  <c r="AX75" i="1" s="1"/>
  <c r="AY75" i="1" s="1"/>
  <c r="AO75" i="1"/>
  <c r="AN75" i="1"/>
  <c r="AJ75" i="1"/>
  <c r="AK75" i="1" s="1"/>
  <c r="AL75" i="1" s="1"/>
  <c r="AA75" i="1"/>
  <c r="AB75" i="1" s="1"/>
  <c r="AC75" i="1" s="1"/>
  <c r="S75" i="1"/>
  <c r="R75" i="1"/>
  <c r="CB74" i="1"/>
  <c r="CC74" i="1" s="1"/>
  <c r="CD74" i="1" s="1"/>
  <c r="BS74" i="1"/>
  <c r="BT74" i="1" s="1"/>
  <c r="BU74" i="1" s="1"/>
  <c r="BK74" i="1"/>
  <c r="BJ74" i="1"/>
  <c r="BF74" i="1"/>
  <c r="BG74" i="1" s="1"/>
  <c r="BH74" i="1" s="1"/>
  <c r="AW74" i="1"/>
  <c r="AX74" i="1" s="1"/>
  <c r="AY74" i="1" s="1"/>
  <c r="AO74" i="1"/>
  <c r="AN74" i="1"/>
  <c r="AJ74" i="1"/>
  <c r="AK74" i="1" s="1"/>
  <c r="AL74" i="1" s="1"/>
  <c r="AA74" i="1"/>
  <c r="AB74" i="1" s="1"/>
  <c r="AC74" i="1" s="1"/>
  <c r="S74" i="1"/>
  <c r="R74" i="1"/>
  <c r="CB73" i="1"/>
  <c r="CC73" i="1" s="1"/>
  <c r="CD73" i="1" s="1"/>
  <c r="BS73" i="1"/>
  <c r="BT73" i="1" s="1"/>
  <c r="BU73" i="1" s="1"/>
  <c r="BK73" i="1"/>
  <c r="BJ73" i="1"/>
  <c r="BF73" i="1"/>
  <c r="BG73" i="1" s="1"/>
  <c r="BH73" i="1" s="1"/>
  <c r="AW73" i="1"/>
  <c r="AX73" i="1" s="1"/>
  <c r="AY73" i="1" s="1"/>
  <c r="AO73" i="1"/>
  <c r="AN73" i="1"/>
  <c r="AJ73" i="1"/>
  <c r="AK73" i="1" s="1"/>
  <c r="AL73" i="1" s="1"/>
  <c r="AA73" i="1"/>
  <c r="AB73" i="1" s="1"/>
  <c r="AC73" i="1" s="1"/>
  <c r="S73" i="1"/>
  <c r="R73" i="1"/>
  <c r="CB72" i="1"/>
  <c r="CC72" i="1" s="1"/>
  <c r="CD72" i="1" s="1"/>
  <c r="BS72" i="1"/>
  <c r="BT72" i="1" s="1"/>
  <c r="BU72" i="1" s="1"/>
  <c r="BK72" i="1"/>
  <c r="BJ72" i="1"/>
  <c r="BF72" i="1"/>
  <c r="BG72" i="1" s="1"/>
  <c r="BH72" i="1" s="1"/>
  <c r="AW72" i="1"/>
  <c r="AX72" i="1" s="1"/>
  <c r="AY72" i="1" s="1"/>
  <c r="AO72" i="1"/>
  <c r="AN72" i="1"/>
  <c r="AJ72" i="1"/>
  <c r="AK72" i="1" s="1"/>
  <c r="AL72" i="1" s="1"/>
  <c r="AA72" i="1"/>
  <c r="AB72" i="1" s="1"/>
  <c r="AC72" i="1" s="1"/>
  <c r="S72" i="1"/>
  <c r="R72" i="1"/>
  <c r="CB71" i="1"/>
  <c r="CC71" i="1" s="1"/>
  <c r="CD71" i="1" s="1"/>
  <c r="BS71" i="1"/>
  <c r="BT71" i="1" s="1"/>
  <c r="BU71" i="1" s="1"/>
  <c r="BK71" i="1"/>
  <c r="BJ71" i="1"/>
  <c r="BF71" i="1"/>
  <c r="BG71" i="1" s="1"/>
  <c r="BH71" i="1" s="1"/>
  <c r="AW71" i="1"/>
  <c r="AX71" i="1" s="1"/>
  <c r="AY71" i="1" s="1"/>
  <c r="AO71" i="1"/>
  <c r="AN71" i="1"/>
  <c r="AJ71" i="1"/>
  <c r="AK71" i="1" s="1"/>
  <c r="AL71" i="1" s="1"/>
  <c r="AA71" i="1"/>
  <c r="AB71" i="1" s="1"/>
  <c r="AC71" i="1" s="1"/>
  <c r="S71" i="1"/>
  <c r="R71" i="1"/>
  <c r="CB70" i="1"/>
  <c r="CC70" i="1" s="1"/>
  <c r="CD70" i="1" s="1"/>
  <c r="BS70" i="1"/>
  <c r="BT70" i="1" s="1"/>
  <c r="BU70" i="1" s="1"/>
  <c r="BK70" i="1"/>
  <c r="BJ70" i="1"/>
  <c r="BF70" i="1"/>
  <c r="BG70" i="1" s="1"/>
  <c r="BH70" i="1" s="1"/>
  <c r="AW70" i="1"/>
  <c r="AX70" i="1" s="1"/>
  <c r="AY70" i="1" s="1"/>
  <c r="AO70" i="1"/>
  <c r="AN70" i="1"/>
  <c r="AJ70" i="1"/>
  <c r="AK70" i="1" s="1"/>
  <c r="AL70" i="1" s="1"/>
  <c r="AA70" i="1"/>
  <c r="AB70" i="1" s="1"/>
  <c r="AC70" i="1" s="1"/>
  <c r="S70" i="1"/>
  <c r="R70" i="1"/>
  <c r="CB69" i="1"/>
  <c r="CC69" i="1" s="1"/>
  <c r="CD69" i="1" s="1"/>
  <c r="BS69" i="1"/>
  <c r="BT69" i="1" s="1"/>
  <c r="BU69" i="1" s="1"/>
  <c r="BK69" i="1"/>
  <c r="BJ69" i="1"/>
  <c r="BF69" i="1"/>
  <c r="BG69" i="1" s="1"/>
  <c r="BH69" i="1" s="1"/>
  <c r="AW69" i="1"/>
  <c r="AX69" i="1" s="1"/>
  <c r="AY69" i="1" s="1"/>
  <c r="AO69" i="1"/>
  <c r="AN69" i="1"/>
  <c r="AJ69" i="1"/>
  <c r="AK69" i="1" s="1"/>
  <c r="AL69" i="1" s="1"/>
  <c r="AA69" i="1"/>
  <c r="AB69" i="1" s="1"/>
  <c r="AC69" i="1" s="1"/>
  <c r="S69" i="1"/>
  <c r="R69" i="1"/>
  <c r="CB68" i="1"/>
  <c r="CC68" i="1" s="1"/>
  <c r="CD68" i="1" s="1"/>
  <c r="BS68" i="1"/>
  <c r="BT68" i="1" s="1"/>
  <c r="BU68" i="1" s="1"/>
  <c r="BK68" i="1"/>
  <c r="BJ68" i="1"/>
  <c r="BF68" i="1"/>
  <c r="BG68" i="1" s="1"/>
  <c r="BH68" i="1" s="1"/>
  <c r="AW68" i="1"/>
  <c r="AX68" i="1" s="1"/>
  <c r="AY68" i="1" s="1"/>
  <c r="AO68" i="1"/>
  <c r="AN68" i="1"/>
  <c r="AJ68" i="1"/>
  <c r="AK68" i="1" s="1"/>
  <c r="AL68" i="1" s="1"/>
  <c r="AA68" i="1"/>
  <c r="AB68" i="1" s="1"/>
  <c r="AC68" i="1" s="1"/>
  <c r="S68" i="1"/>
  <c r="R68" i="1"/>
  <c r="CB67" i="1"/>
  <c r="CC67" i="1" s="1"/>
  <c r="CD67" i="1" s="1"/>
  <c r="BS67" i="1"/>
  <c r="BT67" i="1" s="1"/>
  <c r="BU67" i="1" s="1"/>
  <c r="BK67" i="1"/>
  <c r="BJ67" i="1"/>
  <c r="BF67" i="1"/>
  <c r="BG67" i="1" s="1"/>
  <c r="BH67" i="1" s="1"/>
  <c r="AW67" i="1"/>
  <c r="AX67" i="1" s="1"/>
  <c r="AY67" i="1" s="1"/>
  <c r="AO67" i="1"/>
  <c r="AN67" i="1"/>
  <c r="AJ67" i="1"/>
  <c r="AK67" i="1" s="1"/>
  <c r="AL67" i="1" s="1"/>
  <c r="AA67" i="1"/>
  <c r="AB67" i="1" s="1"/>
  <c r="AC67" i="1" s="1"/>
  <c r="S67" i="1"/>
  <c r="R67" i="1"/>
  <c r="CB66" i="1"/>
  <c r="CC66" i="1" s="1"/>
  <c r="CD66" i="1" s="1"/>
  <c r="BS66" i="1"/>
  <c r="BT66" i="1" s="1"/>
  <c r="BU66" i="1" s="1"/>
  <c r="BK66" i="1"/>
  <c r="BJ66" i="1"/>
  <c r="BF66" i="1"/>
  <c r="BG66" i="1" s="1"/>
  <c r="BH66" i="1" s="1"/>
  <c r="AW66" i="1"/>
  <c r="AX66" i="1" s="1"/>
  <c r="AY66" i="1" s="1"/>
  <c r="AO66" i="1"/>
  <c r="AN66" i="1"/>
  <c r="AJ66" i="1"/>
  <c r="AK66" i="1" s="1"/>
  <c r="AL66" i="1" s="1"/>
  <c r="AA66" i="1"/>
  <c r="AB66" i="1" s="1"/>
  <c r="AC66" i="1" s="1"/>
  <c r="S66" i="1"/>
  <c r="R66" i="1"/>
  <c r="CB65" i="1"/>
  <c r="CC65" i="1" s="1"/>
  <c r="CD65" i="1" s="1"/>
  <c r="BS65" i="1"/>
  <c r="BT65" i="1" s="1"/>
  <c r="BU65" i="1" s="1"/>
  <c r="BK65" i="1"/>
  <c r="BJ65" i="1"/>
  <c r="BF65" i="1"/>
  <c r="BG65" i="1" s="1"/>
  <c r="BH65" i="1" s="1"/>
  <c r="AW65" i="1"/>
  <c r="AX65" i="1" s="1"/>
  <c r="AY65" i="1" s="1"/>
  <c r="AO65" i="1"/>
  <c r="AN65" i="1"/>
  <c r="AJ65" i="1"/>
  <c r="AK65" i="1" s="1"/>
  <c r="AL65" i="1" s="1"/>
  <c r="AA65" i="1"/>
  <c r="AB65" i="1" s="1"/>
  <c r="AC65" i="1" s="1"/>
  <c r="S65" i="1"/>
  <c r="R65" i="1"/>
  <c r="CB64" i="1"/>
  <c r="CC64" i="1" s="1"/>
  <c r="CD64" i="1" s="1"/>
  <c r="BS64" i="1"/>
  <c r="BT64" i="1" s="1"/>
  <c r="BU64" i="1" s="1"/>
  <c r="BK64" i="1"/>
  <c r="BJ64" i="1"/>
  <c r="BF64" i="1"/>
  <c r="BG64" i="1" s="1"/>
  <c r="BH64" i="1" s="1"/>
  <c r="AW64" i="1"/>
  <c r="AX64" i="1" s="1"/>
  <c r="AY64" i="1" s="1"/>
  <c r="AO64" i="1"/>
  <c r="AN64" i="1"/>
  <c r="AJ64" i="1"/>
  <c r="AK64" i="1" s="1"/>
  <c r="AL64" i="1" s="1"/>
  <c r="AA64" i="1"/>
  <c r="AB64" i="1" s="1"/>
  <c r="AC64" i="1" s="1"/>
  <c r="S64" i="1"/>
  <c r="R64" i="1"/>
  <c r="CB63" i="1"/>
  <c r="CC63" i="1" s="1"/>
  <c r="CD63" i="1" s="1"/>
  <c r="BS63" i="1"/>
  <c r="BT63" i="1" s="1"/>
  <c r="BU63" i="1" s="1"/>
  <c r="BK63" i="1"/>
  <c r="BJ63" i="1"/>
  <c r="BF63" i="1"/>
  <c r="BG63" i="1" s="1"/>
  <c r="BH63" i="1" s="1"/>
  <c r="AW63" i="1"/>
  <c r="AX63" i="1" s="1"/>
  <c r="AY63" i="1" s="1"/>
  <c r="AO63" i="1"/>
  <c r="AN63" i="1"/>
  <c r="AJ63" i="1"/>
  <c r="AK63" i="1" s="1"/>
  <c r="AL63" i="1" s="1"/>
  <c r="AA63" i="1"/>
  <c r="AB63" i="1" s="1"/>
  <c r="AC63" i="1" s="1"/>
  <c r="S63" i="1"/>
  <c r="R63" i="1"/>
  <c r="CB62" i="1"/>
  <c r="CC62" i="1" s="1"/>
  <c r="CD62" i="1" s="1"/>
  <c r="BS62" i="1"/>
  <c r="BT62" i="1" s="1"/>
  <c r="BU62" i="1" s="1"/>
  <c r="BK62" i="1"/>
  <c r="BJ62" i="1"/>
  <c r="BF62" i="1"/>
  <c r="BG62" i="1" s="1"/>
  <c r="BH62" i="1" s="1"/>
  <c r="AW62" i="1"/>
  <c r="AX62" i="1" s="1"/>
  <c r="AY62" i="1" s="1"/>
  <c r="AO62" i="1"/>
  <c r="AN62" i="1"/>
  <c r="AJ62" i="1"/>
  <c r="AK62" i="1" s="1"/>
  <c r="AL62" i="1" s="1"/>
  <c r="AA62" i="1"/>
  <c r="AB62" i="1" s="1"/>
  <c r="AC62" i="1" s="1"/>
  <c r="S62" i="1"/>
  <c r="R62" i="1"/>
  <c r="CB61" i="1"/>
  <c r="CC61" i="1" s="1"/>
  <c r="CD61" i="1" s="1"/>
  <c r="BS61" i="1"/>
  <c r="BT61" i="1" s="1"/>
  <c r="BU61" i="1" s="1"/>
  <c r="BK61" i="1"/>
  <c r="BJ61" i="1"/>
  <c r="BF61" i="1"/>
  <c r="BG61" i="1" s="1"/>
  <c r="BH61" i="1" s="1"/>
  <c r="AW61" i="1"/>
  <c r="AX61" i="1" s="1"/>
  <c r="AY61" i="1" s="1"/>
  <c r="AO61" i="1"/>
  <c r="AN61" i="1"/>
  <c r="AJ61" i="1"/>
  <c r="AK61" i="1" s="1"/>
  <c r="AL61" i="1" s="1"/>
  <c r="AA61" i="1"/>
  <c r="AB61" i="1" s="1"/>
  <c r="AC61" i="1" s="1"/>
  <c r="S61" i="1"/>
  <c r="R61" i="1"/>
  <c r="CB60" i="1"/>
  <c r="CC60" i="1" s="1"/>
  <c r="CD60" i="1" s="1"/>
  <c r="BS60" i="1"/>
  <c r="BT60" i="1" s="1"/>
  <c r="BU60" i="1" s="1"/>
  <c r="BK60" i="1"/>
  <c r="BJ60" i="1"/>
  <c r="BF60" i="1"/>
  <c r="BG60" i="1" s="1"/>
  <c r="BH60" i="1" s="1"/>
  <c r="AW60" i="1"/>
  <c r="AX60" i="1" s="1"/>
  <c r="AY60" i="1" s="1"/>
  <c r="AO60" i="1"/>
  <c r="AN60" i="1"/>
  <c r="AJ60" i="1"/>
  <c r="AK60" i="1" s="1"/>
  <c r="AL60" i="1" s="1"/>
  <c r="AA60" i="1"/>
  <c r="AB60" i="1" s="1"/>
  <c r="AC60" i="1" s="1"/>
  <c r="S60" i="1"/>
  <c r="R60" i="1"/>
  <c r="CB59" i="1"/>
  <c r="CC59" i="1" s="1"/>
  <c r="CD59" i="1" s="1"/>
  <c r="BS59" i="1"/>
  <c r="BT59" i="1" s="1"/>
  <c r="BU59" i="1" s="1"/>
  <c r="BK59" i="1"/>
  <c r="BJ59" i="1"/>
  <c r="BF59" i="1"/>
  <c r="BG59" i="1" s="1"/>
  <c r="BH59" i="1" s="1"/>
  <c r="AW59" i="1"/>
  <c r="AX59" i="1" s="1"/>
  <c r="AY59" i="1" s="1"/>
  <c r="AO59" i="1"/>
  <c r="AN59" i="1"/>
  <c r="AJ59" i="1"/>
  <c r="AK59" i="1" s="1"/>
  <c r="AL59" i="1" s="1"/>
  <c r="AA59" i="1"/>
  <c r="AB59" i="1" s="1"/>
  <c r="AC59" i="1" s="1"/>
  <c r="S59" i="1"/>
  <c r="R59" i="1"/>
  <c r="CB58" i="1"/>
  <c r="CC58" i="1" s="1"/>
  <c r="CD58" i="1" s="1"/>
  <c r="BS58" i="1"/>
  <c r="BT58" i="1" s="1"/>
  <c r="BU58" i="1" s="1"/>
  <c r="BK58" i="1"/>
  <c r="BJ58" i="1"/>
  <c r="BF58" i="1"/>
  <c r="BG58" i="1" s="1"/>
  <c r="BH58" i="1" s="1"/>
  <c r="AW58" i="1"/>
  <c r="AX58" i="1" s="1"/>
  <c r="AY58" i="1" s="1"/>
  <c r="AO58" i="1"/>
  <c r="AN58" i="1"/>
  <c r="AJ58" i="1"/>
  <c r="AK58" i="1" s="1"/>
  <c r="AL58" i="1" s="1"/>
  <c r="AA58" i="1"/>
  <c r="AB58" i="1" s="1"/>
  <c r="AC58" i="1" s="1"/>
  <c r="S58" i="1"/>
  <c r="R58" i="1"/>
  <c r="CB57" i="1"/>
  <c r="CC57" i="1" s="1"/>
  <c r="CD57" i="1" s="1"/>
  <c r="BS57" i="1"/>
  <c r="BT57" i="1" s="1"/>
  <c r="BU57" i="1" s="1"/>
  <c r="BK57" i="1"/>
  <c r="BJ57" i="1"/>
  <c r="BF57" i="1"/>
  <c r="BG57" i="1" s="1"/>
  <c r="BH57" i="1" s="1"/>
  <c r="AW57" i="1"/>
  <c r="AX57" i="1" s="1"/>
  <c r="AY57" i="1" s="1"/>
  <c r="AO57" i="1"/>
  <c r="AN57" i="1"/>
  <c r="AJ57" i="1"/>
  <c r="AK57" i="1" s="1"/>
  <c r="AL57" i="1" s="1"/>
  <c r="AA57" i="1"/>
  <c r="AB57" i="1" s="1"/>
  <c r="AC57" i="1" s="1"/>
  <c r="S57" i="1"/>
  <c r="R57" i="1"/>
  <c r="CB56" i="1"/>
  <c r="CC56" i="1" s="1"/>
  <c r="CD56" i="1" s="1"/>
  <c r="BS56" i="1"/>
  <c r="BT56" i="1" s="1"/>
  <c r="BU56" i="1" s="1"/>
  <c r="BK56" i="1"/>
  <c r="BJ56" i="1"/>
  <c r="BF56" i="1"/>
  <c r="BG56" i="1" s="1"/>
  <c r="BH56" i="1" s="1"/>
  <c r="AW56" i="1"/>
  <c r="AX56" i="1" s="1"/>
  <c r="AY56" i="1" s="1"/>
  <c r="AO56" i="1"/>
  <c r="AN56" i="1"/>
  <c r="AJ56" i="1"/>
  <c r="AK56" i="1" s="1"/>
  <c r="AL56" i="1" s="1"/>
  <c r="AA56" i="1"/>
  <c r="AB56" i="1" s="1"/>
  <c r="AC56" i="1" s="1"/>
  <c r="S56" i="1"/>
  <c r="R56" i="1"/>
  <c r="CB55" i="1"/>
  <c r="CC55" i="1" s="1"/>
  <c r="CD55" i="1" s="1"/>
  <c r="BS55" i="1"/>
  <c r="BT55" i="1" s="1"/>
  <c r="BU55" i="1" s="1"/>
  <c r="BK55" i="1"/>
  <c r="BJ55" i="1"/>
  <c r="BF55" i="1"/>
  <c r="BG55" i="1" s="1"/>
  <c r="BH55" i="1" s="1"/>
  <c r="AW55" i="1"/>
  <c r="AX55" i="1" s="1"/>
  <c r="AY55" i="1" s="1"/>
  <c r="AO55" i="1"/>
  <c r="AN55" i="1"/>
  <c r="AJ55" i="1"/>
  <c r="AK55" i="1" s="1"/>
  <c r="AL55" i="1" s="1"/>
  <c r="AA55" i="1"/>
  <c r="AB55" i="1" s="1"/>
  <c r="AC55" i="1" s="1"/>
  <c r="S55" i="1"/>
  <c r="R55" i="1"/>
  <c r="CB54" i="1"/>
  <c r="CC54" i="1" s="1"/>
  <c r="CD54" i="1" s="1"/>
  <c r="BS54" i="1"/>
  <c r="BT54" i="1" s="1"/>
  <c r="BU54" i="1" s="1"/>
  <c r="BK54" i="1"/>
  <c r="BJ54" i="1"/>
  <c r="BF54" i="1"/>
  <c r="BG54" i="1" s="1"/>
  <c r="BH54" i="1" s="1"/>
  <c r="AW54" i="1"/>
  <c r="AX54" i="1" s="1"/>
  <c r="AY54" i="1" s="1"/>
  <c r="AO54" i="1"/>
  <c r="AN54" i="1"/>
  <c r="AJ54" i="1"/>
  <c r="AK54" i="1" s="1"/>
  <c r="AL54" i="1" s="1"/>
  <c r="AB54" i="1"/>
  <c r="AC54" i="1" s="1"/>
  <c r="AA54" i="1"/>
  <c r="S54" i="1"/>
  <c r="R54" i="1"/>
  <c r="CB53" i="1"/>
  <c r="CC53" i="1" s="1"/>
  <c r="CD53" i="1" s="1"/>
  <c r="BS53" i="1"/>
  <c r="BT53" i="1" s="1"/>
  <c r="BU53" i="1" s="1"/>
  <c r="BK53" i="1"/>
  <c r="BJ53" i="1"/>
  <c r="BF53" i="1"/>
  <c r="BG53" i="1" s="1"/>
  <c r="BH53" i="1" s="1"/>
  <c r="AW53" i="1"/>
  <c r="AX53" i="1" s="1"/>
  <c r="AY53" i="1" s="1"/>
  <c r="AO53" i="1"/>
  <c r="AN53" i="1"/>
  <c r="AJ53" i="1"/>
  <c r="AK53" i="1" s="1"/>
  <c r="AL53" i="1" s="1"/>
  <c r="AA53" i="1"/>
  <c r="AB53" i="1" s="1"/>
  <c r="AC53" i="1" s="1"/>
  <c r="S53" i="1"/>
  <c r="R53" i="1"/>
  <c r="CB52" i="1"/>
  <c r="CC52" i="1" s="1"/>
  <c r="CD52" i="1" s="1"/>
  <c r="BS52" i="1"/>
  <c r="BT52" i="1" s="1"/>
  <c r="BU52" i="1" s="1"/>
  <c r="BK52" i="1"/>
  <c r="BJ52" i="1"/>
  <c r="BF52" i="1"/>
  <c r="BG52" i="1" s="1"/>
  <c r="BH52" i="1" s="1"/>
  <c r="AW52" i="1"/>
  <c r="AX52" i="1" s="1"/>
  <c r="AY52" i="1" s="1"/>
  <c r="AO52" i="1"/>
  <c r="AN52" i="1"/>
  <c r="AJ52" i="1"/>
  <c r="AK52" i="1" s="1"/>
  <c r="AL52" i="1" s="1"/>
  <c r="AA52" i="1"/>
  <c r="AB52" i="1" s="1"/>
  <c r="AC52" i="1" s="1"/>
  <c r="S52" i="1"/>
  <c r="R52" i="1"/>
  <c r="CB51" i="1"/>
  <c r="CC51" i="1" s="1"/>
  <c r="CD51" i="1" s="1"/>
  <c r="BS51" i="1"/>
  <c r="BT51" i="1" s="1"/>
  <c r="BU51" i="1" s="1"/>
  <c r="BK51" i="1"/>
  <c r="BJ51" i="1"/>
  <c r="BF51" i="1"/>
  <c r="BG51" i="1" s="1"/>
  <c r="BH51" i="1" s="1"/>
  <c r="AW51" i="1"/>
  <c r="AX51" i="1" s="1"/>
  <c r="AY51" i="1" s="1"/>
  <c r="AO51" i="1"/>
  <c r="AN51" i="1"/>
  <c r="AJ51" i="1"/>
  <c r="AK51" i="1" s="1"/>
  <c r="AL51" i="1" s="1"/>
  <c r="AA51" i="1"/>
  <c r="AB51" i="1" s="1"/>
  <c r="AC51" i="1" s="1"/>
  <c r="S51" i="1"/>
  <c r="R51" i="1"/>
  <c r="CB50" i="1"/>
  <c r="CC50" i="1" s="1"/>
  <c r="CD50" i="1" s="1"/>
  <c r="BS50" i="1"/>
  <c r="BT50" i="1" s="1"/>
  <c r="BU50" i="1" s="1"/>
  <c r="BK50" i="1"/>
  <c r="BJ50" i="1"/>
  <c r="BF50" i="1"/>
  <c r="BG50" i="1" s="1"/>
  <c r="BH50" i="1" s="1"/>
  <c r="AW50" i="1"/>
  <c r="AX50" i="1" s="1"/>
  <c r="AY50" i="1" s="1"/>
  <c r="AO50" i="1"/>
  <c r="AN50" i="1"/>
  <c r="AJ50" i="1"/>
  <c r="AK50" i="1" s="1"/>
  <c r="AL50" i="1" s="1"/>
  <c r="AA50" i="1"/>
  <c r="AB50" i="1" s="1"/>
  <c r="AC50" i="1" s="1"/>
  <c r="S50" i="1"/>
  <c r="R50" i="1"/>
  <c r="CB49" i="1"/>
  <c r="CC49" i="1" s="1"/>
  <c r="CD49" i="1" s="1"/>
  <c r="BS49" i="1"/>
  <c r="BT49" i="1" s="1"/>
  <c r="BU49" i="1" s="1"/>
  <c r="BK49" i="1"/>
  <c r="BJ49" i="1"/>
  <c r="BF49" i="1"/>
  <c r="BG49" i="1" s="1"/>
  <c r="BH49" i="1" s="1"/>
  <c r="AW49" i="1"/>
  <c r="AX49" i="1" s="1"/>
  <c r="AY49" i="1" s="1"/>
  <c r="AO49" i="1"/>
  <c r="AN49" i="1"/>
  <c r="AJ49" i="1"/>
  <c r="AK49" i="1" s="1"/>
  <c r="AL49" i="1" s="1"/>
  <c r="AA49" i="1"/>
  <c r="AB49" i="1" s="1"/>
  <c r="AC49" i="1" s="1"/>
  <c r="S49" i="1"/>
  <c r="R49" i="1"/>
  <c r="CB48" i="1"/>
  <c r="CC48" i="1" s="1"/>
  <c r="CD48" i="1" s="1"/>
  <c r="BS48" i="1"/>
  <c r="BT48" i="1" s="1"/>
  <c r="BU48" i="1" s="1"/>
  <c r="BK48" i="1"/>
  <c r="BJ48" i="1"/>
  <c r="BF48" i="1"/>
  <c r="BG48" i="1" s="1"/>
  <c r="BH48" i="1" s="1"/>
  <c r="AW48" i="1"/>
  <c r="AX48" i="1" s="1"/>
  <c r="AY48" i="1" s="1"/>
  <c r="AO48" i="1"/>
  <c r="AN48" i="1"/>
  <c r="AJ48" i="1"/>
  <c r="AK48" i="1" s="1"/>
  <c r="AL48" i="1" s="1"/>
  <c r="AA48" i="1"/>
  <c r="AB48" i="1" s="1"/>
  <c r="AC48" i="1" s="1"/>
  <c r="S48" i="1"/>
  <c r="R48" i="1"/>
  <c r="CB47" i="1"/>
  <c r="CC47" i="1" s="1"/>
  <c r="CD47" i="1" s="1"/>
  <c r="BS47" i="1"/>
  <c r="BT47" i="1" s="1"/>
  <c r="BU47" i="1" s="1"/>
  <c r="BK47" i="1"/>
  <c r="BJ47" i="1"/>
  <c r="BF47" i="1"/>
  <c r="BG47" i="1" s="1"/>
  <c r="BH47" i="1" s="1"/>
  <c r="AW47" i="1"/>
  <c r="AX47" i="1" s="1"/>
  <c r="AY47" i="1" s="1"/>
  <c r="AO47" i="1"/>
  <c r="AN47" i="1"/>
  <c r="AJ47" i="1"/>
  <c r="AK47" i="1" s="1"/>
  <c r="AL47" i="1" s="1"/>
  <c r="AA47" i="1"/>
  <c r="AB47" i="1" s="1"/>
  <c r="AC47" i="1" s="1"/>
  <c r="S47" i="1"/>
  <c r="R47" i="1"/>
  <c r="CB46" i="1"/>
  <c r="CC46" i="1" s="1"/>
  <c r="CD46" i="1" s="1"/>
  <c r="BS46" i="1"/>
  <c r="BT46" i="1" s="1"/>
  <c r="BU46" i="1" s="1"/>
  <c r="BK46" i="1"/>
  <c r="BJ46" i="1"/>
  <c r="BF46" i="1"/>
  <c r="BG46" i="1" s="1"/>
  <c r="BH46" i="1" s="1"/>
  <c r="AW46" i="1"/>
  <c r="AX46" i="1" s="1"/>
  <c r="AY46" i="1" s="1"/>
  <c r="AO46" i="1"/>
  <c r="AN46" i="1"/>
  <c r="AJ46" i="1"/>
  <c r="AK46" i="1" s="1"/>
  <c r="AL46" i="1" s="1"/>
  <c r="AA46" i="1"/>
  <c r="AB46" i="1" s="1"/>
  <c r="AC46" i="1" s="1"/>
  <c r="S46" i="1"/>
  <c r="R46" i="1"/>
  <c r="CB45" i="1"/>
  <c r="CC45" i="1" s="1"/>
  <c r="CD45" i="1" s="1"/>
  <c r="BS45" i="1"/>
  <c r="BT45" i="1" s="1"/>
  <c r="BU45" i="1" s="1"/>
  <c r="BK45" i="1"/>
  <c r="BJ45" i="1"/>
  <c r="BF45" i="1"/>
  <c r="BG45" i="1" s="1"/>
  <c r="BH45" i="1" s="1"/>
  <c r="AW45" i="1"/>
  <c r="AX45" i="1" s="1"/>
  <c r="AY45" i="1" s="1"/>
  <c r="AO45" i="1"/>
  <c r="AN45" i="1"/>
  <c r="AJ45" i="1"/>
  <c r="AK45" i="1" s="1"/>
  <c r="AL45" i="1" s="1"/>
  <c r="AA45" i="1"/>
  <c r="AB45" i="1" s="1"/>
  <c r="AC45" i="1" s="1"/>
  <c r="S45" i="1"/>
  <c r="R45" i="1"/>
  <c r="CB44" i="1"/>
  <c r="CC44" i="1" s="1"/>
  <c r="CD44" i="1" s="1"/>
  <c r="BS44" i="1"/>
  <c r="BT44" i="1" s="1"/>
  <c r="BU44" i="1" s="1"/>
  <c r="BK44" i="1"/>
  <c r="BJ44" i="1"/>
  <c r="BF44" i="1"/>
  <c r="BG44" i="1" s="1"/>
  <c r="BH44" i="1" s="1"/>
  <c r="AW44" i="1"/>
  <c r="AX44" i="1" s="1"/>
  <c r="AY44" i="1" s="1"/>
  <c r="AO44" i="1"/>
  <c r="AN44" i="1"/>
  <c r="AJ44" i="1"/>
  <c r="AK44" i="1" s="1"/>
  <c r="AL44" i="1" s="1"/>
  <c r="AA44" i="1"/>
  <c r="AB44" i="1" s="1"/>
  <c r="AC44" i="1" s="1"/>
  <c r="S44" i="1"/>
  <c r="R44" i="1"/>
  <c r="CB43" i="1"/>
  <c r="CC43" i="1" s="1"/>
  <c r="CD43" i="1" s="1"/>
  <c r="BS43" i="1"/>
  <c r="BT43" i="1" s="1"/>
  <c r="BU43" i="1" s="1"/>
  <c r="BK43" i="1"/>
  <c r="BJ43" i="1"/>
  <c r="BF43" i="1"/>
  <c r="BG43" i="1" s="1"/>
  <c r="BH43" i="1" s="1"/>
  <c r="AW43" i="1"/>
  <c r="AX43" i="1" s="1"/>
  <c r="AY43" i="1" s="1"/>
  <c r="AO43" i="1"/>
  <c r="AN43" i="1"/>
  <c r="AJ43" i="1"/>
  <c r="AK43" i="1" s="1"/>
  <c r="AL43" i="1" s="1"/>
  <c r="AA43" i="1"/>
  <c r="AB43" i="1" s="1"/>
  <c r="AC43" i="1" s="1"/>
  <c r="S43" i="1"/>
  <c r="R43" i="1"/>
  <c r="CB42" i="1"/>
  <c r="CC42" i="1" s="1"/>
  <c r="CD42" i="1" s="1"/>
  <c r="BS42" i="1"/>
  <c r="BT42" i="1" s="1"/>
  <c r="BU42" i="1" s="1"/>
  <c r="BK42" i="1"/>
  <c r="BJ42" i="1"/>
  <c r="BF42" i="1"/>
  <c r="BG42" i="1" s="1"/>
  <c r="BH42" i="1" s="1"/>
  <c r="AW42" i="1"/>
  <c r="AX42" i="1" s="1"/>
  <c r="AY42" i="1" s="1"/>
  <c r="AO42" i="1"/>
  <c r="AN42" i="1"/>
  <c r="AJ42" i="1"/>
  <c r="AK42" i="1" s="1"/>
  <c r="AL42" i="1" s="1"/>
  <c r="AA42" i="1"/>
  <c r="AB42" i="1" s="1"/>
  <c r="AC42" i="1" s="1"/>
  <c r="S42" i="1"/>
  <c r="R42" i="1"/>
  <c r="CB41" i="1"/>
  <c r="CC41" i="1" s="1"/>
  <c r="CD41" i="1" s="1"/>
  <c r="BS41" i="1"/>
  <c r="BT41" i="1" s="1"/>
  <c r="BU41" i="1" s="1"/>
  <c r="BK41" i="1"/>
  <c r="BJ41" i="1"/>
  <c r="BF41" i="1"/>
  <c r="BG41" i="1" s="1"/>
  <c r="BH41" i="1" s="1"/>
  <c r="AW41" i="1"/>
  <c r="AX41" i="1" s="1"/>
  <c r="AY41" i="1" s="1"/>
  <c r="AO41" i="1"/>
  <c r="AN41" i="1"/>
  <c r="AJ41" i="1"/>
  <c r="AK41" i="1" s="1"/>
  <c r="AL41" i="1" s="1"/>
  <c r="AA41" i="1"/>
  <c r="AB41" i="1" s="1"/>
  <c r="AC41" i="1" s="1"/>
  <c r="S41" i="1"/>
  <c r="R41" i="1"/>
  <c r="CB40" i="1"/>
  <c r="CC40" i="1" s="1"/>
  <c r="CD40" i="1" s="1"/>
  <c r="BS40" i="1"/>
  <c r="BT40" i="1" s="1"/>
  <c r="BU40" i="1" s="1"/>
  <c r="BK40" i="1"/>
  <c r="BJ40" i="1"/>
  <c r="BF40" i="1"/>
  <c r="BG40" i="1" s="1"/>
  <c r="BH40" i="1" s="1"/>
  <c r="AW40" i="1"/>
  <c r="AX40" i="1" s="1"/>
  <c r="AY40" i="1" s="1"/>
  <c r="AO40" i="1"/>
  <c r="AN40" i="1"/>
  <c r="AJ40" i="1"/>
  <c r="AK40" i="1" s="1"/>
  <c r="AL40" i="1" s="1"/>
  <c r="AA40" i="1"/>
  <c r="AB40" i="1" s="1"/>
  <c r="AC40" i="1" s="1"/>
  <c r="S40" i="1"/>
  <c r="R40" i="1"/>
  <c r="CB39" i="1"/>
  <c r="CC39" i="1" s="1"/>
  <c r="CD39" i="1" s="1"/>
  <c r="BS39" i="1"/>
  <c r="BT39" i="1" s="1"/>
  <c r="BU39" i="1" s="1"/>
  <c r="BK39" i="1"/>
  <c r="BJ39" i="1"/>
  <c r="BG39" i="1"/>
  <c r="BH39" i="1" s="1"/>
  <c r="BF39" i="1"/>
  <c r="AW39" i="1"/>
  <c r="AX39" i="1" s="1"/>
  <c r="AY39" i="1" s="1"/>
  <c r="AO39" i="1"/>
  <c r="AN39" i="1"/>
  <c r="AJ39" i="1"/>
  <c r="AK39" i="1" s="1"/>
  <c r="AL39" i="1" s="1"/>
  <c r="AA39" i="1"/>
  <c r="AB39" i="1" s="1"/>
  <c r="AC39" i="1" s="1"/>
  <c r="S39" i="1"/>
  <c r="R39" i="1"/>
  <c r="CB38" i="1"/>
  <c r="CC38" i="1" s="1"/>
  <c r="CD38" i="1" s="1"/>
  <c r="BS38" i="1"/>
  <c r="BT38" i="1" s="1"/>
  <c r="BU38" i="1" s="1"/>
  <c r="BK38" i="1"/>
  <c r="BJ38" i="1"/>
  <c r="BF38" i="1"/>
  <c r="BG38" i="1" s="1"/>
  <c r="BH38" i="1" s="1"/>
  <c r="AW38" i="1"/>
  <c r="AX38" i="1" s="1"/>
  <c r="AY38" i="1" s="1"/>
  <c r="AO38" i="1"/>
  <c r="AN38" i="1"/>
  <c r="AJ38" i="1"/>
  <c r="AK38" i="1" s="1"/>
  <c r="AL38" i="1" s="1"/>
  <c r="AA38" i="1"/>
  <c r="AB38" i="1" s="1"/>
  <c r="AC38" i="1" s="1"/>
  <c r="S38" i="1"/>
  <c r="R38" i="1"/>
  <c r="CB37" i="1"/>
  <c r="CC37" i="1" s="1"/>
  <c r="CD37" i="1" s="1"/>
  <c r="BS37" i="1"/>
  <c r="BT37" i="1" s="1"/>
  <c r="BU37" i="1" s="1"/>
  <c r="BK37" i="1"/>
  <c r="BJ37" i="1"/>
  <c r="BF37" i="1"/>
  <c r="BG37" i="1" s="1"/>
  <c r="BH37" i="1" s="1"/>
  <c r="AW37" i="1"/>
  <c r="AX37" i="1" s="1"/>
  <c r="AY37" i="1" s="1"/>
  <c r="AO37" i="1"/>
  <c r="AN37" i="1"/>
  <c r="AJ37" i="1"/>
  <c r="AK37" i="1" s="1"/>
  <c r="AL37" i="1" s="1"/>
  <c r="AA37" i="1"/>
  <c r="AB37" i="1" s="1"/>
  <c r="AC37" i="1" s="1"/>
  <c r="S37" i="1"/>
  <c r="R37" i="1"/>
  <c r="CB36" i="1"/>
  <c r="CC36" i="1" s="1"/>
  <c r="CD36" i="1" s="1"/>
  <c r="BS36" i="1"/>
  <c r="BT36" i="1" s="1"/>
  <c r="BU36" i="1" s="1"/>
  <c r="BK36" i="1"/>
  <c r="BJ36" i="1"/>
  <c r="BF36" i="1"/>
  <c r="BG36" i="1" s="1"/>
  <c r="BH36" i="1" s="1"/>
  <c r="AW36" i="1"/>
  <c r="AX36" i="1" s="1"/>
  <c r="AY36" i="1" s="1"/>
  <c r="AO36" i="1"/>
  <c r="AN36" i="1"/>
  <c r="AJ36" i="1"/>
  <c r="AK36" i="1" s="1"/>
  <c r="AL36" i="1" s="1"/>
  <c r="AA36" i="1"/>
  <c r="AB36" i="1" s="1"/>
  <c r="AC36" i="1" s="1"/>
  <c r="S36" i="1"/>
  <c r="R36" i="1"/>
  <c r="CC35" i="1"/>
  <c r="CD35" i="1" s="1"/>
  <c r="CB35" i="1"/>
  <c r="BS35" i="1"/>
  <c r="BT35" i="1" s="1"/>
  <c r="BU35" i="1" s="1"/>
  <c r="BK35" i="1"/>
  <c r="BJ35" i="1"/>
  <c r="BF35" i="1"/>
  <c r="BG35" i="1" s="1"/>
  <c r="BH35" i="1" s="1"/>
  <c r="AW35" i="1"/>
  <c r="AX35" i="1" s="1"/>
  <c r="AY35" i="1" s="1"/>
  <c r="AO35" i="1"/>
  <c r="AN35" i="1"/>
  <c r="AJ35" i="1"/>
  <c r="AK35" i="1" s="1"/>
  <c r="AL35" i="1" s="1"/>
  <c r="AA35" i="1"/>
  <c r="AB35" i="1" s="1"/>
  <c r="AC35" i="1" s="1"/>
  <c r="S35" i="1"/>
  <c r="R35" i="1"/>
  <c r="CB34" i="1"/>
  <c r="CC34" i="1" s="1"/>
  <c r="CD34" i="1" s="1"/>
  <c r="BS34" i="1"/>
  <c r="BT34" i="1" s="1"/>
  <c r="BU34" i="1" s="1"/>
  <c r="BK34" i="1"/>
  <c r="BJ34" i="1"/>
  <c r="BF34" i="1"/>
  <c r="BG34" i="1" s="1"/>
  <c r="BH34" i="1" s="1"/>
  <c r="AW34" i="1"/>
  <c r="AX34" i="1" s="1"/>
  <c r="AY34" i="1" s="1"/>
  <c r="AO34" i="1"/>
  <c r="AN34" i="1"/>
  <c r="AJ34" i="1"/>
  <c r="AK34" i="1" s="1"/>
  <c r="AL34" i="1" s="1"/>
  <c r="AA34" i="1"/>
  <c r="AB34" i="1" s="1"/>
  <c r="AC34" i="1" s="1"/>
  <c r="S34" i="1"/>
  <c r="R34" i="1"/>
  <c r="CB33" i="1"/>
  <c r="CC33" i="1" s="1"/>
  <c r="CD33" i="1" s="1"/>
  <c r="BS33" i="1"/>
  <c r="BT33" i="1" s="1"/>
  <c r="BU33" i="1" s="1"/>
  <c r="BK33" i="1"/>
  <c r="BJ33" i="1"/>
  <c r="BF33" i="1"/>
  <c r="BG33" i="1" s="1"/>
  <c r="BH33" i="1" s="1"/>
  <c r="AW33" i="1"/>
  <c r="AX33" i="1" s="1"/>
  <c r="AY33" i="1" s="1"/>
  <c r="AO33" i="1"/>
  <c r="AN33" i="1"/>
  <c r="AJ33" i="1"/>
  <c r="AK33" i="1" s="1"/>
  <c r="AL33" i="1" s="1"/>
  <c r="AA33" i="1"/>
  <c r="AB33" i="1" s="1"/>
  <c r="AC33" i="1" s="1"/>
  <c r="S33" i="1"/>
  <c r="R33" i="1"/>
  <c r="CB32" i="1"/>
  <c r="CC32" i="1" s="1"/>
  <c r="CD32" i="1" s="1"/>
  <c r="BS32" i="1"/>
  <c r="BT32" i="1" s="1"/>
  <c r="BU32" i="1" s="1"/>
  <c r="BK32" i="1"/>
  <c r="BJ32" i="1"/>
  <c r="BF32" i="1"/>
  <c r="BG32" i="1" s="1"/>
  <c r="BH32" i="1" s="1"/>
  <c r="AW32" i="1"/>
  <c r="AX32" i="1" s="1"/>
  <c r="AY32" i="1" s="1"/>
  <c r="AO32" i="1"/>
  <c r="AN32" i="1"/>
  <c r="AJ32" i="1"/>
  <c r="AK32" i="1" s="1"/>
  <c r="AL32" i="1" s="1"/>
  <c r="AA32" i="1"/>
  <c r="AB32" i="1" s="1"/>
  <c r="AC32" i="1" s="1"/>
  <c r="S32" i="1"/>
  <c r="R32" i="1"/>
  <c r="CB31" i="1"/>
  <c r="CC31" i="1" s="1"/>
  <c r="CD31" i="1" s="1"/>
  <c r="BS31" i="1"/>
  <c r="BT31" i="1" s="1"/>
  <c r="BU31" i="1" s="1"/>
  <c r="BK31" i="1"/>
  <c r="BJ31" i="1"/>
  <c r="BF31" i="1"/>
  <c r="BG31" i="1" s="1"/>
  <c r="BH31" i="1" s="1"/>
  <c r="AW31" i="1"/>
  <c r="AX31" i="1" s="1"/>
  <c r="AY31" i="1" s="1"/>
  <c r="AO31" i="1"/>
  <c r="AN31" i="1"/>
  <c r="AJ31" i="1"/>
  <c r="AK31" i="1" s="1"/>
  <c r="AL31" i="1" s="1"/>
  <c r="AA31" i="1"/>
  <c r="AB31" i="1" s="1"/>
  <c r="AC31" i="1" s="1"/>
  <c r="S31" i="1"/>
  <c r="R31" i="1"/>
  <c r="CB30" i="1"/>
  <c r="CC30" i="1" s="1"/>
  <c r="CD30" i="1" s="1"/>
  <c r="BS30" i="1"/>
  <c r="BT30" i="1" s="1"/>
  <c r="BU30" i="1" s="1"/>
  <c r="BK30" i="1"/>
  <c r="BJ30" i="1"/>
  <c r="BF30" i="1"/>
  <c r="BG30" i="1" s="1"/>
  <c r="BH30" i="1" s="1"/>
  <c r="AW30" i="1"/>
  <c r="AX30" i="1" s="1"/>
  <c r="AY30" i="1" s="1"/>
  <c r="AO30" i="1"/>
  <c r="AN30" i="1"/>
  <c r="AJ30" i="1"/>
  <c r="AK30" i="1" s="1"/>
  <c r="AL30" i="1" s="1"/>
  <c r="AA30" i="1"/>
  <c r="AB30" i="1" s="1"/>
  <c r="AC30" i="1" s="1"/>
  <c r="S30" i="1"/>
  <c r="R30" i="1"/>
  <c r="CB29" i="1"/>
  <c r="CC29" i="1" s="1"/>
  <c r="CD29" i="1" s="1"/>
  <c r="BS29" i="1"/>
  <c r="BT29" i="1" s="1"/>
  <c r="BU29" i="1" s="1"/>
  <c r="BK29" i="1"/>
  <c r="BJ29" i="1"/>
  <c r="BF29" i="1"/>
  <c r="BG29" i="1" s="1"/>
  <c r="BH29" i="1" s="1"/>
  <c r="AW29" i="1"/>
  <c r="AX29" i="1" s="1"/>
  <c r="AY29" i="1" s="1"/>
  <c r="AO29" i="1"/>
  <c r="AN29" i="1"/>
  <c r="AJ29" i="1"/>
  <c r="AK29" i="1" s="1"/>
  <c r="AL29" i="1" s="1"/>
  <c r="AA29" i="1"/>
  <c r="AB29" i="1" s="1"/>
  <c r="AC29" i="1" s="1"/>
  <c r="S29" i="1"/>
  <c r="R29" i="1"/>
  <c r="CB28" i="1"/>
  <c r="CC28" i="1" s="1"/>
  <c r="CD28" i="1" s="1"/>
  <c r="BS28" i="1"/>
  <c r="BT28" i="1" s="1"/>
  <c r="BU28" i="1" s="1"/>
  <c r="BK28" i="1"/>
  <c r="BJ28" i="1"/>
  <c r="BF28" i="1"/>
  <c r="BG28" i="1" s="1"/>
  <c r="BH28" i="1" s="1"/>
  <c r="AW28" i="1"/>
  <c r="AX28" i="1" s="1"/>
  <c r="AY28" i="1" s="1"/>
  <c r="AO28" i="1"/>
  <c r="AN28" i="1"/>
  <c r="AJ28" i="1"/>
  <c r="AK28" i="1" s="1"/>
  <c r="AL28" i="1" s="1"/>
  <c r="AA28" i="1"/>
  <c r="AB28" i="1" s="1"/>
  <c r="AC28" i="1" s="1"/>
  <c r="S28" i="1"/>
  <c r="R28" i="1"/>
  <c r="CB27" i="1"/>
  <c r="CC27" i="1" s="1"/>
  <c r="CD27" i="1" s="1"/>
  <c r="BS27" i="1"/>
  <c r="BT27" i="1" s="1"/>
  <c r="BU27" i="1" s="1"/>
  <c r="BK27" i="1"/>
  <c r="BJ27" i="1"/>
  <c r="BF27" i="1"/>
  <c r="BG27" i="1" s="1"/>
  <c r="BH27" i="1" s="1"/>
  <c r="AW27" i="1"/>
  <c r="AX27" i="1" s="1"/>
  <c r="AY27" i="1" s="1"/>
  <c r="AO27" i="1"/>
  <c r="AN27" i="1"/>
  <c r="AJ27" i="1"/>
  <c r="AK27" i="1" s="1"/>
  <c r="AL27" i="1" s="1"/>
  <c r="AA27" i="1"/>
  <c r="AB27" i="1" s="1"/>
  <c r="AC27" i="1" s="1"/>
  <c r="S27" i="1"/>
  <c r="R27" i="1"/>
  <c r="CB26" i="1"/>
  <c r="CC26" i="1" s="1"/>
  <c r="CD26" i="1" s="1"/>
  <c r="BS26" i="1"/>
  <c r="BT26" i="1" s="1"/>
  <c r="BU26" i="1" s="1"/>
  <c r="BK26" i="1"/>
  <c r="BJ26" i="1"/>
  <c r="BF26" i="1"/>
  <c r="BG26" i="1" s="1"/>
  <c r="BH26" i="1" s="1"/>
  <c r="AW26" i="1"/>
  <c r="AX26" i="1" s="1"/>
  <c r="AY26" i="1" s="1"/>
  <c r="AO26" i="1"/>
  <c r="AN26" i="1"/>
  <c r="AJ26" i="1"/>
  <c r="AK26" i="1" s="1"/>
  <c r="AL26" i="1" s="1"/>
  <c r="AA26" i="1"/>
  <c r="AB26" i="1" s="1"/>
  <c r="AC26" i="1" s="1"/>
  <c r="S26" i="1"/>
  <c r="R26" i="1"/>
  <c r="CB25" i="1"/>
  <c r="CC25" i="1" s="1"/>
  <c r="CD25" i="1" s="1"/>
  <c r="BS25" i="1"/>
  <c r="BT25" i="1" s="1"/>
  <c r="BU25" i="1" s="1"/>
  <c r="BK25" i="1"/>
  <c r="BJ25" i="1"/>
  <c r="BF25" i="1"/>
  <c r="BG25" i="1" s="1"/>
  <c r="BH25" i="1" s="1"/>
  <c r="AW25" i="1"/>
  <c r="AX25" i="1" s="1"/>
  <c r="AY25" i="1" s="1"/>
  <c r="AO25" i="1"/>
  <c r="AN25" i="1"/>
  <c r="AJ25" i="1"/>
  <c r="AK25" i="1" s="1"/>
  <c r="AL25" i="1" s="1"/>
  <c r="AA25" i="1"/>
  <c r="AB25" i="1" s="1"/>
  <c r="AC25" i="1" s="1"/>
  <c r="S25" i="1"/>
  <c r="R25" i="1"/>
  <c r="CB24" i="1"/>
  <c r="CC24" i="1" s="1"/>
  <c r="CD24" i="1" s="1"/>
  <c r="BS24" i="1"/>
  <c r="BT24" i="1" s="1"/>
  <c r="BU24" i="1" s="1"/>
  <c r="BK24" i="1"/>
  <c r="BJ24" i="1"/>
  <c r="BF24" i="1"/>
  <c r="BG24" i="1" s="1"/>
  <c r="BH24" i="1" s="1"/>
  <c r="AW24" i="1"/>
  <c r="AX24" i="1" s="1"/>
  <c r="AY24" i="1" s="1"/>
  <c r="AO24" i="1"/>
  <c r="AN24" i="1"/>
  <c r="AJ24" i="1"/>
  <c r="AK24" i="1" s="1"/>
  <c r="AL24" i="1" s="1"/>
  <c r="AA24" i="1"/>
  <c r="AB24" i="1" s="1"/>
  <c r="AC24" i="1" s="1"/>
  <c r="S24" i="1"/>
  <c r="R24" i="1"/>
  <c r="CB23" i="1"/>
  <c r="CC23" i="1" s="1"/>
  <c r="CD23" i="1" s="1"/>
  <c r="BS23" i="1"/>
  <c r="BT23" i="1" s="1"/>
  <c r="BU23" i="1" s="1"/>
  <c r="BK23" i="1"/>
  <c r="BJ23" i="1"/>
  <c r="BF23" i="1"/>
  <c r="BG23" i="1" s="1"/>
  <c r="BH23" i="1" s="1"/>
  <c r="AW23" i="1"/>
  <c r="AX23" i="1" s="1"/>
  <c r="AY23" i="1" s="1"/>
  <c r="AO23" i="1"/>
  <c r="AN23" i="1"/>
  <c r="AJ23" i="1"/>
  <c r="AK23" i="1" s="1"/>
  <c r="AL23" i="1" s="1"/>
  <c r="AA23" i="1"/>
  <c r="AB23" i="1" s="1"/>
  <c r="AC23" i="1" s="1"/>
  <c r="S23" i="1"/>
  <c r="R23" i="1"/>
  <c r="CB22" i="1"/>
  <c r="CC22" i="1" s="1"/>
  <c r="CD22" i="1" s="1"/>
  <c r="BS22" i="1"/>
  <c r="BT22" i="1" s="1"/>
  <c r="BU22" i="1" s="1"/>
  <c r="BK22" i="1"/>
  <c r="BJ22" i="1"/>
  <c r="BF22" i="1"/>
  <c r="BG22" i="1" s="1"/>
  <c r="BH22" i="1" s="1"/>
  <c r="AW22" i="1"/>
  <c r="AX22" i="1" s="1"/>
  <c r="AY22" i="1" s="1"/>
  <c r="AO22" i="1"/>
  <c r="AN22" i="1"/>
  <c r="AJ22" i="1"/>
  <c r="AK22" i="1" s="1"/>
  <c r="AL22" i="1" s="1"/>
  <c r="AA22" i="1"/>
  <c r="AB22" i="1" s="1"/>
  <c r="AC22" i="1" s="1"/>
  <c r="S22" i="1"/>
  <c r="R22" i="1"/>
  <c r="CB21" i="1"/>
  <c r="CC21" i="1" s="1"/>
  <c r="CD21" i="1" s="1"/>
  <c r="BS21" i="1"/>
  <c r="BT21" i="1" s="1"/>
  <c r="BU21" i="1" s="1"/>
  <c r="BK21" i="1"/>
  <c r="BJ21" i="1"/>
  <c r="BF21" i="1"/>
  <c r="BG21" i="1" s="1"/>
  <c r="BH21" i="1" s="1"/>
  <c r="AW21" i="1"/>
  <c r="AX21" i="1" s="1"/>
  <c r="AY21" i="1" s="1"/>
  <c r="AO21" i="1"/>
  <c r="AN21" i="1"/>
  <c r="AJ21" i="1"/>
  <c r="AK21" i="1" s="1"/>
  <c r="AL21" i="1" s="1"/>
  <c r="AA21" i="1"/>
  <c r="AB21" i="1" s="1"/>
  <c r="AC21" i="1" s="1"/>
  <c r="S21" i="1"/>
  <c r="R21" i="1"/>
  <c r="CB20" i="1"/>
  <c r="CC20" i="1" s="1"/>
  <c r="CD20" i="1" s="1"/>
  <c r="BS20" i="1"/>
  <c r="BT20" i="1" s="1"/>
  <c r="BU20" i="1" s="1"/>
  <c r="BK20" i="1"/>
  <c r="BJ20" i="1"/>
  <c r="BF20" i="1"/>
  <c r="BG20" i="1" s="1"/>
  <c r="BH20" i="1" s="1"/>
  <c r="AW20" i="1"/>
  <c r="AX20" i="1" s="1"/>
  <c r="AY20" i="1" s="1"/>
  <c r="AO20" i="1"/>
  <c r="AN20" i="1"/>
  <c r="AJ20" i="1"/>
  <c r="AK20" i="1" s="1"/>
  <c r="AL20" i="1" s="1"/>
  <c r="AA20" i="1"/>
  <c r="AB20" i="1" s="1"/>
  <c r="AC20" i="1" s="1"/>
  <c r="S20" i="1"/>
  <c r="R20" i="1"/>
  <c r="CB19" i="1"/>
  <c r="CC19" i="1" s="1"/>
  <c r="CD19" i="1" s="1"/>
  <c r="BS19" i="1"/>
  <c r="BT19" i="1" s="1"/>
  <c r="BU19" i="1" s="1"/>
  <c r="BK19" i="1"/>
  <c r="BJ19" i="1"/>
  <c r="BF19" i="1"/>
  <c r="BG19" i="1" s="1"/>
  <c r="BH19" i="1" s="1"/>
  <c r="AW19" i="1"/>
  <c r="AX19" i="1" s="1"/>
  <c r="AY19" i="1" s="1"/>
  <c r="AO19" i="1"/>
  <c r="AN19" i="1"/>
  <c r="AJ19" i="1"/>
  <c r="AK19" i="1" s="1"/>
  <c r="AL19" i="1" s="1"/>
  <c r="AA19" i="1"/>
  <c r="AB19" i="1" s="1"/>
  <c r="AC19" i="1" s="1"/>
  <c r="S19" i="1"/>
  <c r="R19" i="1"/>
  <c r="CB18" i="1"/>
  <c r="CC18" i="1" s="1"/>
  <c r="CD18" i="1" s="1"/>
  <c r="BS18" i="1"/>
  <c r="BT18" i="1" s="1"/>
  <c r="BU18" i="1" s="1"/>
  <c r="BK18" i="1"/>
  <c r="BJ18" i="1"/>
  <c r="BF18" i="1"/>
  <c r="BG18" i="1" s="1"/>
  <c r="BH18" i="1" s="1"/>
  <c r="AW18" i="1"/>
  <c r="AX18" i="1" s="1"/>
  <c r="AY18" i="1" s="1"/>
  <c r="AO18" i="1"/>
  <c r="AN18" i="1"/>
  <c r="AJ18" i="1"/>
  <c r="AK18" i="1" s="1"/>
  <c r="AL18" i="1" s="1"/>
  <c r="AA18" i="1"/>
  <c r="AB18" i="1" s="1"/>
  <c r="AC18" i="1" s="1"/>
  <c r="S18" i="1"/>
  <c r="R18" i="1"/>
  <c r="CB17" i="1"/>
  <c r="CC17" i="1" s="1"/>
  <c r="CD17" i="1" s="1"/>
  <c r="BS17" i="1"/>
  <c r="BT17" i="1" s="1"/>
  <c r="BU17" i="1" s="1"/>
  <c r="BK17" i="1"/>
  <c r="BJ17" i="1"/>
  <c r="BF17" i="1"/>
  <c r="BG17" i="1" s="1"/>
  <c r="BH17" i="1" s="1"/>
  <c r="AW17" i="1"/>
  <c r="AX17" i="1" s="1"/>
  <c r="AY17" i="1" s="1"/>
  <c r="AO17" i="1"/>
  <c r="AN17" i="1"/>
  <c r="AJ17" i="1"/>
  <c r="AK17" i="1" s="1"/>
  <c r="AL17" i="1" s="1"/>
  <c r="AA17" i="1"/>
  <c r="AB17" i="1" s="1"/>
  <c r="AC17" i="1" s="1"/>
  <c r="S17" i="1"/>
  <c r="R17" i="1"/>
  <c r="CB16" i="1"/>
  <c r="CC16" i="1" s="1"/>
  <c r="CD16" i="1" s="1"/>
  <c r="BS16" i="1"/>
  <c r="BT16" i="1" s="1"/>
  <c r="BU16" i="1" s="1"/>
  <c r="BK16" i="1"/>
  <c r="BJ16" i="1"/>
  <c r="BF16" i="1"/>
  <c r="BG16" i="1" s="1"/>
  <c r="BH16" i="1" s="1"/>
  <c r="AW16" i="1"/>
  <c r="AX16" i="1" s="1"/>
  <c r="AY16" i="1" s="1"/>
  <c r="AO16" i="1"/>
  <c r="AN16" i="1"/>
  <c r="AJ16" i="1"/>
  <c r="AK16" i="1" s="1"/>
  <c r="AL16" i="1" s="1"/>
  <c r="AA16" i="1"/>
  <c r="AB16" i="1" s="1"/>
  <c r="AC16" i="1" s="1"/>
  <c r="S16" i="1"/>
  <c r="R16" i="1"/>
  <c r="CB15" i="1"/>
  <c r="CC15" i="1" s="1"/>
  <c r="CD15" i="1" s="1"/>
  <c r="BS15" i="1"/>
  <c r="BT15" i="1" s="1"/>
  <c r="BU15" i="1" s="1"/>
  <c r="BK15" i="1"/>
  <c r="BJ15" i="1"/>
  <c r="BF15" i="1"/>
  <c r="BG15" i="1" s="1"/>
  <c r="BH15" i="1" s="1"/>
  <c r="AW15" i="1"/>
  <c r="AX15" i="1" s="1"/>
  <c r="AY15" i="1" s="1"/>
  <c r="AO15" i="1"/>
  <c r="AN15" i="1"/>
  <c r="AJ15" i="1"/>
  <c r="AK15" i="1" s="1"/>
  <c r="AL15" i="1" s="1"/>
  <c r="AA15" i="1"/>
  <c r="AB15" i="1" s="1"/>
  <c r="AC15" i="1" s="1"/>
  <c r="S15" i="1"/>
  <c r="R15" i="1"/>
  <c r="CB14" i="1"/>
  <c r="CC14" i="1" s="1"/>
  <c r="CD14" i="1" s="1"/>
  <c r="BS14" i="1"/>
  <c r="BT14" i="1" s="1"/>
  <c r="BU14" i="1" s="1"/>
  <c r="BK14" i="1"/>
  <c r="BJ14" i="1"/>
  <c r="BF14" i="1"/>
  <c r="BG14" i="1" s="1"/>
  <c r="BH14" i="1" s="1"/>
  <c r="AW14" i="1"/>
  <c r="AX14" i="1" s="1"/>
  <c r="AY14" i="1" s="1"/>
  <c r="AO14" i="1"/>
  <c r="AN14" i="1"/>
  <c r="AJ14" i="1"/>
  <c r="AK14" i="1" s="1"/>
  <c r="AL14" i="1" s="1"/>
  <c r="AA14" i="1"/>
  <c r="AB14" i="1" s="1"/>
  <c r="AC14" i="1" s="1"/>
  <c r="S14" i="1"/>
  <c r="R14" i="1"/>
  <c r="CB13" i="1"/>
  <c r="CC13" i="1" s="1"/>
  <c r="CD13" i="1" s="1"/>
  <c r="BS13" i="1"/>
  <c r="BT13" i="1" s="1"/>
  <c r="BU13" i="1" s="1"/>
  <c r="BK13" i="1"/>
  <c r="BJ13" i="1"/>
  <c r="BF13" i="1"/>
  <c r="BG13" i="1" s="1"/>
  <c r="BH13" i="1" s="1"/>
  <c r="AW13" i="1"/>
  <c r="AX13" i="1" s="1"/>
  <c r="AY13" i="1" s="1"/>
  <c r="AO13" i="1"/>
  <c r="AN13" i="1"/>
  <c r="AJ13" i="1"/>
  <c r="AK13" i="1" s="1"/>
  <c r="AL13" i="1" s="1"/>
  <c r="AA13" i="1"/>
  <c r="AB13" i="1" s="1"/>
  <c r="AC13" i="1" s="1"/>
  <c r="S13" i="1"/>
  <c r="R13" i="1"/>
  <c r="CB12" i="1"/>
  <c r="CC12" i="1" s="1"/>
  <c r="CD12" i="1" s="1"/>
  <c r="BS12" i="1"/>
  <c r="BT12" i="1" s="1"/>
  <c r="BU12" i="1" s="1"/>
  <c r="BK12" i="1"/>
  <c r="BJ12" i="1"/>
  <c r="BF12" i="1"/>
  <c r="BG12" i="1" s="1"/>
  <c r="BH12" i="1" s="1"/>
  <c r="AW12" i="1"/>
  <c r="AX12" i="1" s="1"/>
  <c r="AY12" i="1" s="1"/>
  <c r="AO12" i="1"/>
  <c r="AN12" i="1"/>
  <c r="AJ12" i="1"/>
  <c r="AK12" i="1" s="1"/>
  <c r="AL12" i="1" s="1"/>
  <c r="AA12" i="1"/>
  <c r="AB12" i="1" s="1"/>
  <c r="AC12" i="1" s="1"/>
  <c r="S12" i="1"/>
  <c r="R12" i="1"/>
  <c r="CB11" i="1"/>
  <c r="CC11" i="1" s="1"/>
  <c r="CD11" i="1" s="1"/>
  <c r="BS11" i="1"/>
  <c r="BT11" i="1" s="1"/>
  <c r="BU11" i="1" s="1"/>
  <c r="BK11" i="1"/>
  <c r="BJ11" i="1"/>
  <c r="BF11" i="1"/>
  <c r="BG11" i="1" s="1"/>
  <c r="BH11" i="1" s="1"/>
  <c r="AW11" i="1"/>
  <c r="AX11" i="1" s="1"/>
  <c r="AY11" i="1" s="1"/>
  <c r="AO11" i="1"/>
  <c r="AN11" i="1"/>
  <c r="AJ11" i="1"/>
  <c r="AK11" i="1" s="1"/>
  <c r="AL11" i="1" s="1"/>
  <c r="AA11" i="1"/>
  <c r="AB11" i="1" s="1"/>
  <c r="AC11" i="1" s="1"/>
  <c r="S11" i="1"/>
  <c r="R11" i="1"/>
  <c r="CB10" i="1"/>
  <c r="CC10" i="1" s="1"/>
  <c r="CD10" i="1" s="1"/>
  <c r="BS10" i="1"/>
  <c r="BT10" i="1" s="1"/>
  <c r="BU10" i="1" s="1"/>
  <c r="BK10" i="1"/>
  <c r="BJ10" i="1"/>
  <c r="BF10" i="1"/>
  <c r="BG10" i="1" s="1"/>
  <c r="BH10" i="1" s="1"/>
  <c r="AW10" i="1"/>
  <c r="AX10" i="1" s="1"/>
  <c r="AY10" i="1" s="1"/>
  <c r="AO10" i="1"/>
  <c r="AN10" i="1"/>
  <c r="AJ10" i="1"/>
  <c r="AK10" i="1" s="1"/>
  <c r="AL10" i="1" s="1"/>
  <c r="AA10" i="1"/>
  <c r="AB10" i="1" s="1"/>
  <c r="AC10" i="1" s="1"/>
  <c r="S10" i="1"/>
  <c r="R10" i="1"/>
  <c r="CB9" i="1"/>
  <c r="CC9" i="1" s="1"/>
  <c r="CD9" i="1" s="1"/>
  <c r="BS9" i="1"/>
  <c r="BT9" i="1" s="1"/>
  <c r="BU9" i="1" s="1"/>
  <c r="BK9" i="1"/>
  <c r="BJ9" i="1"/>
  <c r="BF9" i="1"/>
  <c r="BG9" i="1" s="1"/>
  <c r="BH9" i="1" s="1"/>
  <c r="AW9" i="1"/>
  <c r="AX9" i="1" s="1"/>
  <c r="AY9" i="1" s="1"/>
  <c r="AO9" i="1"/>
  <c r="AN9" i="1"/>
  <c r="AJ9" i="1"/>
  <c r="AK9" i="1" s="1"/>
  <c r="AL9" i="1" s="1"/>
  <c r="AA9" i="1"/>
  <c r="AB9" i="1" s="1"/>
  <c r="AC9" i="1" s="1"/>
  <c r="R9" i="1"/>
  <c r="CB8" i="1"/>
  <c r="CC8" i="1" s="1"/>
  <c r="CD8" i="1" s="1"/>
  <c r="BS8" i="1"/>
  <c r="BT8" i="1" s="1"/>
  <c r="BU8" i="1" s="1"/>
  <c r="BK8" i="1"/>
  <c r="BJ8" i="1"/>
  <c r="BF8" i="1"/>
  <c r="BG8" i="1" s="1"/>
  <c r="BH8" i="1" s="1"/>
  <c r="AW8" i="1"/>
  <c r="AX8" i="1" s="1"/>
  <c r="AY8" i="1" s="1"/>
  <c r="AO8" i="1"/>
  <c r="AN8" i="1"/>
  <c r="AJ8" i="1"/>
  <c r="AK8" i="1" s="1"/>
  <c r="AL8" i="1" s="1"/>
  <c r="AA8" i="1"/>
  <c r="AB8" i="1" s="1"/>
  <c r="AC8" i="1" s="1"/>
  <c r="S8" i="1"/>
  <c r="R8" i="1"/>
  <c r="CB7" i="1"/>
  <c r="CC7" i="1" s="1"/>
  <c r="CD7" i="1" s="1"/>
  <c r="BS7" i="1"/>
  <c r="BT7" i="1" s="1"/>
  <c r="BU7" i="1" s="1"/>
  <c r="BK7" i="1"/>
  <c r="BJ7" i="1"/>
  <c r="BF7" i="1"/>
  <c r="BG7" i="1" s="1"/>
  <c r="BH7" i="1" s="1"/>
  <c r="AW7" i="1"/>
  <c r="AX7" i="1" s="1"/>
  <c r="AY7" i="1" s="1"/>
  <c r="AO7" i="1"/>
  <c r="AN7" i="1"/>
  <c r="AJ7" i="1"/>
  <c r="AK7" i="1" s="1"/>
  <c r="AL7" i="1" s="1"/>
  <c r="AA7" i="1"/>
  <c r="AB7" i="1" s="1"/>
  <c r="AC7" i="1" s="1"/>
  <c r="S7" i="1"/>
  <c r="R7" i="1"/>
  <c r="CB6" i="1"/>
  <c r="CC6" i="1" s="1"/>
  <c r="CD6" i="1" s="1"/>
  <c r="BS6" i="1"/>
  <c r="BT6" i="1" s="1"/>
  <c r="BU6" i="1" s="1"/>
  <c r="BK6" i="1"/>
  <c r="BJ6" i="1"/>
  <c r="BF6" i="1"/>
  <c r="BG6" i="1" s="1"/>
  <c r="BH6" i="1" s="1"/>
  <c r="AW6" i="1"/>
  <c r="AX6" i="1" s="1"/>
  <c r="AY6" i="1" s="1"/>
  <c r="AO6" i="1"/>
  <c r="AN6" i="1"/>
  <c r="AJ6" i="1"/>
  <c r="AK6" i="1" s="1"/>
  <c r="AL6" i="1" s="1"/>
  <c r="AA6" i="1"/>
  <c r="AB6" i="1" s="1"/>
  <c r="AC6" i="1" s="1"/>
  <c r="S6" i="1"/>
  <c r="R6" i="1"/>
  <c r="CB5" i="1"/>
  <c r="CC5" i="1" s="1"/>
  <c r="CD5" i="1" s="1"/>
  <c r="BS5" i="1"/>
  <c r="BT5" i="1" s="1"/>
  <c r="BU5" i="1" s="1"/>
  <c r="BK5" i="1"/>
  <c r="BJ5" i="1"/>
  <c r="BF5" i="1"/>
  <c r="BG5" i="1" s="1"/>
  <c r="BH5" i="1" s="1"/>
  <c r="AW5" i="1"/>
  <c r="AX5" i="1" s="1"/>
  <c r="AY5" i="1" s="1"/>
  <c r="AO5" i="1"/>
  <c r="AN5" i="1"/>
  <c r="AJ5" i="1"/>
  <c r="AK5" i="1" s="1"/>
  <c r="AL5" i="1" s="1"/>
  <c r="AA5" i="1"/>
  <c r="AB5" i="1" s="1"/>
  <c r="AC5" i="1" s="1"/>
  <c r="S5" i="1"/>
  <c r="R5" i="1"/>
  <c r="CB4" i="1"/>
  <c r="CC4" i="1" s="1"/>
  <c r="CD4" i="1" s="1"/>
  <c r="BS4" i="1"/>
  <c r="BT4" i="1" s="1"/>
  <c r="BU4" i="1" s="1"/>
  <c r="BK4" i="1"/>
  <c r="BJ4" i="1"/>
  <c r="BF4" i="1"/>
  <c r="BG4" i="1" s="1"/>
  <c r="BH4" i="1" s="1"/>
  <c r="AW4" i="1"/>
  <c r="AX4" i="1" s="1"/>
  <c r="AY4" i="1" s="1"/>
  <c r="AO4" i="1"/>
  <c r="AN4" i="1"/>
  <c r="AJ4" i="1"/>
  <c r="AK4" i="1" s="1"/>
  <c r="AL4" i="1" s="1"/>
  <c r="AA4" i="1"/>
  <c r="AB4" i="1" s="1"/>
  <c r="AC4" i="1" s="1"/>
  <c r="S4" i="1"/>
  <c r="R4" i="1"/>
  <c r="CB3" i="1"/>
  <c r="CC3" i="1" s="1"/>
  <c r="CD3" i="1" s="1"/>
  <c r="BS3" i="1"/>
  <c r="BT3" i="1" s="1"/>
  <c r="BU3" i="1" s="1"/>
  <c r="BK3" i="1"/>
  <c r="BJ3" i="1"/>
  <c r="BF3" i="1"/>
  <c r="BG3" i="1" s="1"/>
  <c r="BH3" i="1" s="1"/>
  <c r="AW3" i="1"/>
  <c r="AX3" i="1" s="1"/>
  <c r="AY3" i="1" s="1"/>
  <c r="AO3" i="1"/>
  <c r="AN3" i="1"/>
  <c r="AJ3" i="1"/>
  <c r="AK3" i="1" s="1"/>
  <c r="AL3" i="1" s="1"/>
  <c r="AA3" i="1"/>
  <c r="AB3" i="1" s="1"/>
  <c r="AC3" i="1" s="1"/>
  <c r="S3" i="1"/>
  <c r="R3" i="1"/>
  <c r="CB2" i="1"/>
  <c r="CC2" i="1" s="1"/>
  <c r="CD2" i="1" s="1"/>
  <c r="BS2" i="1"/>
  <c r="BT2" i="1" s="1"/>
  <c r="BU2" i="1" s="1"/>
  <c r="BK2" i="1"/>
  <c r="BJ2" i="1"/>
  <c r="BF2" i="1"/>
  <c r="BG2" i="1" s="1"/>
  <c r="BH2" i="1" s="1"/>
  <c r="AW2" i="1"/>
  <c r="AX2" i="1" s="1"/>
  <c r="AY2" i="1" s="1"/>
  <c r="AO2" i="1"/>
  <c r="AN2" i="1"/>
  <c r="AJ2" i="1"/>
  <c r="AK2" i="1" s="1"/>
  <c r="AL2" i="1" s="1"/>
  <c r="AA2" i="1"/>
  <c r="AB2" i="1" s="1"/>
  <c r="AC2" i="1" s="1"/>
  <c r="S2" i="1"/>
  <c r="R2" i="1"/>
  <c r="O34" i="1" l="1"/>
  <c r="O22" i="1"/>
  <c r="O11" i="1"/>
  <c r="O69" i="1"/>
  <c r="O16" i="1"/>
  <c r="O28" i="1"/>
  <c r="O58" i="1"/>
  <c r="O21" i="1"/>
  <c r="O33" i="1"/>
  <c r="O40" i="1"/>
  <c r="O46" i="1"/>
  <c r="O52" i="1"/>
  <c r="O63" i="1"/>
  <c r="O74" i="1"/>
  <c r="O10" i="1"/>
  <c r="O27" i="1"/>
  <c r="O51" i="1"/>
  <c r="O68" i="1"/>
  <c r="O79" i="1"/>
  <c r="BJ87" i="1"/>
  <c r="BI87" i="1" s="1"/>
  <c r="O4" i="1"/>
  <c r="O15" i="1"/>
  <c r="O39" i="1"/>
  <c r="O57" i="1"/>
  <c r="O20" i="1"/>
  <c r="O32" i="1"/>
  <c r="O45" i="1"/>
  <c r="O62" i="1"/>
  <c r="O73" i="1"/>
  <c r="O9" i="1"/>
  <c r="O26" i="1"/>
  <c r="O50" i="1"/>
  <c r="O67" i="1"/>
  <c r="O78" i="1"/>
  <c r="O14" i="1"/>
  <c r="O38" i="1"/>
  <c r="O56" i="1"/>
  <c r="O3" i="1"/>
  <c r="O19" i="1"/>
  <c r="O31" i="1"/>
  <c r="O44" i="1"/>
  <c r="O61" i="1"/>
  <c r="O72" i="1"/>
  <c r="O25" i="1"/>
  <c r="O37" i="1"/>
  <c r="O49" i="1"/>
  <c r="O66" i="1"/>
  <c r="O77" i="1"/>
  <c r="O5" i="1"/>
  <c r="O8" i="1"/>
  <c r="R87" i="1"/>
  <c r="Q87" i="1" s="1"/>
  <c r="O13" i="1"/>
  <c r="O43" i="1"/>
  <c r="O55" i="1"/>
  <c r="O86" i="1"/>
  <c r="BK87" i="1"/>
  <c r="BL87" i="1" s="1"/>
  <c r="O2" i="1"/>
  <c r="O18" i="1"/>
  <c r="O30" i="1"/>
  <c r="O60" i="1"/>
  <c r="O71" i="1"/>
  <c r="S87" i="1"/>
  <c r="T87" i="1" s="1"/>
  <c r="O7" i="1"/>
  <c r="O24" i="1"/>
  <c r="O36" i="1"/>
  <c r="O48" i="1"/>
  <c r="O54" i="1"/>
  <c r="O65" i="1"/>
  <c r="O76" i="1"/>
  <c r="O12" i="1"/>
  <c r="O42" i="1"/>
  <c r="AN87" i="1"/>
  <c r="AM87" i="1" s="1"/>
  <c r="O17" i="1"/>
  <c r="O23" i="1"/>
  <c r="O29" i="1"/>
  <c r="O35" i="1"/>
  <c r="O59" i="1"/>
  <c r="O70" i="1"/>
  <c r="O84" i="1"/>
  <c r="AO87" i="1"/>
  <c r="AP87" i="1" s="1"/>
  <c r="O6" i="1"/>
  <c r="O41" i="1"/>
  <c r="O47" i="1"/>
  <c r="O53" i="1"/>
  <c r="O64" i="1"/>
  <c r="BH87" i="1"/>
  <c r="BG87" i="1" s="1"/>
  <c r="AL87" i="1"/>
  <c r="AK87" i="1" s="1"/>
  <c r="AY87" i="1"/>
  <c r="AX87" i="1" s="1"/>
  <c r="AC87" i="1"/>
  <c r="AB87" i="1" s="1"/>
  <c r="CD87" i="1"/>
  <c r="CC87" i="1" s="1"/>
  <c r="BU87" i="1"/>
  <c r="BT87" i="1" s="1"/>
  <c r="O81" i="1"/>
  <c r="O83" i="1"/>
  <c r="O85" i="1"/>
  <c r="O80" i="1"/>
  <c r="O82" i="1"/>
  <c r="O87" i="1" l="1"/>
</calcChain>
</file>

<file path=xl/sharedStrings.xml><?xml version="1.0" encoding="utf-8"?>
<sst xmlns="http://schemas.openxmlformats.org/spreadsheetml/2006/main" count="1456" uniqueCount="239">
  <si>
    <t>Регион</t>
  </si>
  <si>
    <t>Cluster Membership-Ward</t>
  </si>
  <si>
    <t>Cluster Membership-Complete</t>
  </si>
  <si>
    <t>Cluster Membership-Single</t>
  </si>
  <si>
    <t>CLUSTER K-means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</si>
  <si>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</si>
  <si>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</si>
  <si>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</si>
  <si>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</si>
  <si>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</si>
  <si>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</si>
  <si>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</si>
  <si>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</si>
  <si>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</si>
  <si>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Расстояние</t>
  </si>
  <si>
    <t>Алтайский край</t>
  </si>
  <si>
    <t>Амурская область</t>
  </si>
  <si>
    <t>Архангельская область без автономного ок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</si>
  <si>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</si>
  <si>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</si>
  <si>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</si>
  <si>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</si>
  <si>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</si>
  <si>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</si>
  <si>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</si>
  <si>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</si>
  <si>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</si>
  <si>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</si>
  <si>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</si>
  <si>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</si>
  <si>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</si>
  <si>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</si>
  <si>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</si>
  <si>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</si>
  <si>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</si>
  <si>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</si>
  <si>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</si>
  <si>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</si>
  <si>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</si>
  <si>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</si>
  <si>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</si>
  <si>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</si>
  <si>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</si>
  <si>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</si>
  <si>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</si>
  <si>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</si>
  <si>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</si>
  <si>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</si>
  <si>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</si>
  <si>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</si>
  <si>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</si>
  <si>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</si>
  <si>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</si>
  <si>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</si>
  <si>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</si>
  <si>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</si>
  <si>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</si>
  <si>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</si>
  <si>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</si>
  <si>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</si>
  <si>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</si>
  <si>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</si>
  <si>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</si>
  <si>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</si>
  <si>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</si>
  <si>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</si>
  <si>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</si>
  <si>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</si>
  <si>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</si>
  <si>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</si>
  <si>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</si>
  <si>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</si>
  <si>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</si>
  <si>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</si>
  <si>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</si>
  <si>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</si>
  <si>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</si>
  <si>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</si>
  <si>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</si>
  <si>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</si>
  <si>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</si>
  <si>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</si>
  <si>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</si>
  <si>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</si>
  <si>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</si>
  <si>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</si>
  <si>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</si>
  <si>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</si>
  <si>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</si>
  <si>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</si>
  <si>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</si>
  <si>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</si>
  <si>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</si>
  <si>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</si>
  <si>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</si>
  <si>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</si>
  <si>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</si>
  <si>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</si>
  <si>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</si>
  <si>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</si>
  <si>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Наименование</t>
  </si>
  <si>
    <t>Архангельская область без автономного округа</t>
  </si>
  <si>
    <t>Кластер</t>
  </si>
  <si>
    <t>K-means</t>
  </si>
  <si>
    <t>метод одиночной связи</t>
  </si>
  <si>
    <t>метод полной связи</t>
  </si>
  <si>
    <t>метод Уорда</t>
  </si>
  <si>
    <t>сумм</t>
  </si>
  <si>
    <t>Названия столбцов</t>
  </si>
  <si>
    <t>Значения</t>
  </si>
  <si>
    <t>Среднее по полю X1</t>
  </si>
  <si>
    <t>Среднее по полю X2</t>
  </si>
  <si>
    <t>Среднее по полю X3</t>
  </si>
  <si>
    <t>Среднее по полю X4</t>
  </si>
  <si>
    <t>Среднее по полю X5</t>
  </si>
  <si>
    <t>Среднее по полю X6</t>
  </si>
  <si>
    <t>Среднее по полю X7</t>
  </si>
  <si>
    <t>Среднее по полю X8</t>
  </si>
  <si>
    <t>Среднее по полю X9</t>
  </si>
  <si>
    <t>обучающая выборка</t>
  </si>
  <si>
    <t>функция</t>
  </si>
  <si>
    <t>Точность функции</t>
  </si>
  <si>
    <t xml:space="preserve">точность </t>
  </si>
  <si>
    <t>Result Lda</t>
  </si>
  <si>
    <t>Observed Махаланобис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</si>
  <si>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</si>
  <si>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</si>
  <si>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</si>
  <si>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</si>
  <si>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</si>
  <si>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</si>
  <si>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</si>
  <si>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</si>
  <si>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априор</t>
  </si>
  <si>
    <t>априор1</t>
  </si>
  <si>
    <t>априор2</t>
  </si>
  <si>
    <t>априор3</t>
  </si>
  <si>
    <t>априор4</t>
  </si>
  <si>
    <t>априор5</t>
  </si>
  <si>
    <t>априор макс</t>
  </si>
  <si>
    <t>Априор Классификация</t>
  </si>
  <si>
    <t>Точность Априор</t>
  </si>
  <si>
    <t>фнкция ДА ВКЛ</t>
  </si>
  <si>
    <t>точность ДА ВКЛ</t>
  </si>
  <si>
    <t>точность</t>
  </si>
  <si>
    <t>Result forward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</si>
  <si>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</si>
  <si>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</si>
  <si>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</si>
  <si>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</si>
  <si>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</si>
  <si>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</si>
  <si>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</si>
  <si>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</si>
  <si>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</si>
  <si>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</si>
  <si>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</si>
  <si>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</si>
  <si>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</si>
  <si>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</si>
  <si>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</si>
  <si>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</si>
  <si>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</si>
  <si>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</si>
  <si>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</si>
  <si>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точность ДА ИСК</t>
  </si>
  <si>
    <t>точность2</t>
  </si>
  <si>
    <t>Result backward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</si>
  <si>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</si>
  <si>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</si>
  <si>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</si>
  <si>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</si>
  <si>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</si>
  <si>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</si>
  <si>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</si>
  <si>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</si>
  <si>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</si>
  <si>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</si>
  <si>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</si>
  <si>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</si>
  <si>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</si>
  <si>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</si>
  <si>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</si>
  <si>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</si>
  <si>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</si>
  <si>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</si>
  <si>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G_1:1</t>
  </si>
  <si>
    <t>---</t>
  </si>
  <si>
    <t>G_3:3</t>
  </si>
  <si>
    <t>G_5:5</t>
  </si>
  <si>
    <t>G_4:4</t>
  </si>
  <si>
    <t>G_2:2</t>
  </si>
  <si>
    <t>Число дорожно-транспортных происшествий и пострадавших в них на 100 000 человек населения</t>
  </si>
  <si>
    <t>Смертность населения старше трудоспособного возраста, на 100 000 человек населения соответствующего возраста</t>
  </si>
  <si>
    <t>Продажа сильно алкогольной продукции населению(тысяч декалитров)/на тыс населения</t>
  </si>
  <si>
    <t>Средняя Стоимость минимального (условного) набора потребительских товаров и услуг</t>
  </si>
  <si>
    <t>Число спортивных сооружений/ на тыс населения</t>
  </si>
  <si>
    <t>Доходы консолидированных бюджетов субъектов Российской Федерации / на тыс населения</t>
  </si>
  <si>
    <t>Предварительно расследовано преступлений, совершенных в состоянии алкогольного опьянения/ на тыс населения</t>
  </si>
  <si>
    <t>Среднедушевые доходы населения (в месяц), руб.</t>
  </si>
  <si>
    <t>Численность студентов, обучающихся по программам бакалавриата, специалитета, магистратуры на 10 000 человек населения, всего</t>
  </si>
  <si>
    <t>ДА Махаланобис</t>
  </si>
  <si>
    <t>ДА махал ВКЛ ИСК</t>
  </si>
  <si>
    <t>ДА Функция</t>
  </si>
  <si>
    <t>ДА функция ВКЛ ИСК</t>
  </si>
  <si>
    <t>ДА ФУНКЦИЯ  ВКЛ ИСК питон</t>
  </si>
  <si>
    <t>ДА Функция Пион</t>
  </si>
  <si>
    <t>МГК Уорд</t>
  </si>
  <si>
    <t>МГК K-means</t>
  </si>
  <si>
    <t>МГК Уорд Python</t>
  </si>
  <si>
    <t>МГК K-means Python</t>
  </si>
  <si>
    <t>eigenvalues</t>
  </si>
  <si>
    <t>Hi2набл</t>
  </si>
  <si>
    <t>Hi2крит1</t>
  </si>
  <si>
    <t>Hi2крит2</t>
  </si>
  <si>
    <t>a</t>
  </si>
  <si>
    <t>k</t>
  </si>
  <si>
    <t>Rk-m</t>
  </si>
  <si>
    <t>X^2</t>
  </si>
  <si>
    <t>v</t>
  </si>
  <si>
    <t>лев</t>
  </si>
  <si>
    <t>прав</t>
  </si>
  <si>
    <t>Квантиль</t>
  </si>
  <si>
    <t>Предел1</t>
  </si>
  <si>
    <t>Предел2</t>
  </si>
  <si>
    <t>f1</t>
  </si>
  <si>
    <t>f2</t>
  </si>
  <si>
    <t>f3</t>
  </si>
  <si>
    <t>Ward  МГК</t>
  </si>
  <si>
    <t>K-Means МГК</t>
  </si>
  <si>
    <t>kmeans_new</t>
  </si>
  <si>
    <t>ward_new</t>
  </si>
  <si>
    <t>f1P</t>
  </si>
  <si>
    <t>f2P</t>
  </si>
  <si>
    <t>f3P</t>
  </si>
  <si>
    <t>УОРД</t>
  </si>
  <si>
    <t>К средних</t>
  </si>
  <si>
    <t>УОРД МГК</t>
  </si>
  <si>
    <t>К средних2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</si>
</sst>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3">
    <xf numFmtId="0" fontId="0" fillId="0" borderId="0" xfId="0"/>
    <xf numFmtId="0" fontId="4" fillId="2" borderId="0" xfId="2" applyFont="1" applyFill="1"/>
    <xf numFmtId="0" fontId="4" fillId="2" borderId="0" xfId="2" applyFont="1" applyFill="1" applyAlignment="1">
      <alignment horizontal="center" vertical="top" wrapText="1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2" fontId="0" fillId="0" borderId="0" xfId="0" applyNumberFormat="1"/>
    <xf numFmtId="0" fontId="0" fillId="4" borderId="0" xfId="0" applyFill="1"/>
    <xf numFmtId="0" fontId="2" fillId="5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0" fontId="4" fillId="2" borderId="0" xfId="2" applyNumberFormat="1" applyFont="1" applyFill="1" applyAlignment="1">
      <alignment horizontal="center" vertical="top" wrapText="1"/>
    </xf>
    <xf numFmtId="0" fontId="4" fillId="3" borderId="0" xfId="2" applyNumberFormat="1" applyFont="1" applyFill="1" applyAlignment="1">
      <alignment horizontal="center" vertical="top" wrapText="1"/>
    </xf>
    <xf numFmtId="0" fontId="0" fillId="3" borderId="0" xfId="0" applyFill="1"/>
    <xf numFmtId="0" fontId="4" fillId="2" borderId="0" xfId="1" applyNumberFormat="1" applyFont="1" applyFill="1" applyAlignment="1">
      <alignment horizontal="center" vertical="top" wrapText="1"/>
    </xf>
    <xf numFmtId="0" fontId="5" fillId="0" borderId="0" xfId="2" applyNumberFormat="1" applyFont="1" applyFill="1" applyAlignment="1">
      <alignment horizontal="right" vertical="center"/>
    </xf>
    <xf numFmtId="1" fontId="5" fillId="0" borderId="0" xfId="2" applyNumberFormat="1" applyFont="1" applyAlignment="1">
      <alignment horizontal="right" vertical="center"/>
    </xf>
    <xf numFmtId="164" fontId="5" fillId="0" borderId="0" xfId="2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Border="1" applyAlignment="1" applyProtection="1">
      <alignment horizontal="right" vertical="center"/>
    </xf>
    <xf numFmtId="10" fontId="6" fillId="6" borderId="0" xfId="0" applyNumberFormat="1" applyFont="1" applyFill="1" applyAlignment="1">
      <alignment horizontal="right" vertical="center"/>
    </xf>
    <xf numFmtId="0" fontId="6" fillId="6" borderId="0" xfId="0" applyNumberFormat="1" applyFont="1" applyFill="1" applyAlignment="1">
      <alignment horizontal="right" vertical="center"/>
    </xf>
    <xf numFmtId="2" fontId="6" fillId="6" borderId="0" xfId="0" applyNumberFormat="1" applyFont="1" applyFill="1" applyAlignment="1">
      <alignment horizontal="right" vertical="center"/>
    </xf>
    <xf numFmtId="10" fontId="0" fillId="6" borderId="0" xfId="0" applyNumberFormat="1" applyFill="1"/>
    <xf numFmtId="2" fontId="0" fillId="6" borderId="0" xfId="0" applyNumberFormat="1" applyFill="1"/>
    <xf numFmtId="0" fontId="2" fillId="6" borderId="0" xfId="0" applyFont="1" applyFill="1"/>
    <xf numFmtId="0" fontId="11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2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3" fillId="2" borderId="0" xfId="1" applyNumberFormat="1" applyFont="1" applyFill="1" applyAlignment="1">
      <alignment horizontal="center" vertical="top" wrapText="1"/>
    </xf>
    <xf numFmtId="0" fontId="5" fillId="0" borderId="4" xfId="2" applyNumberFormat="1" applyFont="1" applyBorder="1" applyAlignment="1">
      <alignment horizontal="right" vertical="center"/>
    </xf>
    <xf numFmtId="165" fontId="5" fillId="0" borderId="4" xfId="2" applyNumberFormat="1" applyFont="1" applyBorder="1" applyAlignment="1">
      <alignment horizontal="right" vertical="center"/>
    </xf>
    <xf numFmtId="1" fontId="5" fillId="0" borderId="5" xfId="2" applyNumberFormat="1" applyFont="1" applyBorder="1" applyAlignment="1">
      <alignment horizontal="right" vertical="center"/>
    </xf>
    <xf numFmtId="0" fontId="4" fillId="2" borderId="4" xfId="2" applyNumberFormat="1" applyFont="1" applyFill="1" applyBorder="1" applyAlignment="1"/>
    <xf numFmtId="0" fontId="5" fillId="0" borderId="4" xfId="2" applyNumberFormat="1" applyFont="1" applyBorder="1" applyAlignment="1">
      <alignment horizontal="left" vertical="center"/>
    </xf>
  </cellXfs>
  <cellStyles count="3">
    <cellStyle name="Обычный" xfId="0" builtinId="0"/>
    <cellStyle name="Обычный_Итоги" xfId="2"/>
    <cellStyle name="Процентный" xfId="1" builtinId="5"/>
  </cellStyles>
  <dxfs count="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2" formatCode="0.00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-9.81825371696875E-2</c:v>
              </c:pt>
              <c:pt idx="1">
                <c:v>5.0025908056562512E-2</c:v>
              </c:pt>
              <c:pt idx="2">
                <c:v>-0.19605434592812504</c:v>
              </c:pt>
              <c:pt idx="3">
                <c:v>0.13993325632499998</c:v>
              </c:pt>
              <c:pt idx="4">
                <c:v>-0.32064456010625003</c:v>
              </c:pt>
              <c:pt idx="5">
                <c:v>-0.3271844262250001</c:v>
              </c:pt>
              <c:pt idx="6">
                <c:v>-0.23217174822375009</c:v>
              </c:pt>
              <c:pt idx="7">
                <c:v>-0.2609030963340625</c:v>
              </c:pt>
              <c:pt idx="8">
                <c:v>0.43671078129062496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-1.6795377933333331</c:v>
              </c:pt>
              <c:pt idx="1">
                <c:v>0.46586485800000005</c:v>
              </c:pt>
              <c:pt idx="2">
                <c:v>1.3535569330000001</c:v>
              </c:pt>
              <c:pt idx="3">
                <c:v>-0.49150400433333336</c:v>
              </c:pt>
              <c:pt idx="4">
                <c:v>0.67823325499999998</c:v>
              </c:pt>
              <c:pt idx="5">
                <c:v>4.2929881966666663</c:v>
              </c:pt>
              <c:pt idx="6">
                <c:v>1.4570249569999998</c:v>
              </c:pt>
              <c:pt idx="7">
                <c:v>3.5547682933333333</c:v>
              </c:pt>
              <c:pt idx="8">
                <c:v>-2.1067208366666672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0.37293855910058826</c:v>
              </c:pt>
              <c:pt idx="1">
                <c:v>0.44581509522941176</c:v>
              </c:pt>
              <c:pt idx="2">
                <c:v>-0.28334819458823524</c:v>
              </c:pt>
              <c:pt idx="3">
                <c:v>-0.37417559695882352</c:v>
              </c:pt>
              <c:pt idx="4">
                <c:v>1.2078440549764706</c:v>
              </c:pt>
              <c:pt idx="5">
                <c:v>-0.18664703352941175</c:v>
              </c:pt>
              <c:pt idx="6">
                <c:v>0.39741038956470587</c:v>
              </c:pt>
              <c:pt idx="7">
                <c:v>-0.48214023665882355</c:v>
              </c:pt>
              <c:pt idx="8">
                <c:v>-3.6006066988235295E-2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-0.94642205458571449</c:v>
              </c:pt>
              <c:pt idx="1">
                <c:v>-1.6372197745000001</c:v>
              </c:pt>
              <c:pt idx="2">
                <c:v>-1.0556538868857146</c:v>
              </c:pt>
              <c:pt idx="3">
                <c:v>-0.12139117751428564</c:v>
              </c:pt>
              <c:pt idx="4">
                <c:v>-0.87134597905</c:v>
              </c:pt>
              <c:pt idx="5">
                <c:v>-0.26133730400000005</c:v>
              </c:pt>
              <c:pt idx="6">
                <c:v>-1.2195926643571426</c:v>
              </c:pt>
              <c:pt idx="7">
                <c:v>0.11387958340714278</c:v>
              </c:pt>
              <c:pt idx="8">
                <c:v>0.29641492827142868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0.79423199144736834</c:v>
              </c:pt>
              <c:pt idx="1">
                <c:v>0.64967350594210538</c:v>
              </c:pt>
              <c:pt idx="2">
                <c:v>1.1478495788947369</c:v>
              </c:pt>
              <c:pt idx="3">
                <c:v>0.2661636549315789</c:v>
              </c:pt>
              <c:pt idx="4">
                <c:v>-5.7146882998947574E-3</c:v>
              </c:pt>
              <c:pt idx="5">
                <c:v>0.2327715196842105</c:v>
              </c:pt>
              <c:pt idx="6">
                <c:v>0.70403903964210546</c:v>
              </c:pt>
              <c:pt idx="7">
                <c:v>0.22561389798947373</c:v>
              </c:pt>
              <c:pt idx="8">
                <c:v>-0.58906780786842106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5360496"/>
        <c:axId val="-910983840"/>
      </c:lineChart>
      <c:catAx>
        <c:axId val="-9653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983840"/>
        <c:crosses val="autoZero"/>
        <c:auto val="1"/>
        <c:lblAlgn val="ctr"/>
        <c:lblOffset val="100"/>
        <c:noMultiLvlLbl val="0"/>
      </c:catAx>
      <c:valAx>
        <c:axId val="-9109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53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Графики!$D$42:$D$45</c:f>
              <c:numCache>
                <c:formatCode>General</c:formatCode>
                <c:ptCount val="4"/>
                <c:pt idx="0">
                  <c:v>1.6450980753046356</c:v>
                </c:pt>
                <c:pt idx="1">
                  <c:v>2.0167870980768274</c:v>
                </c:pt>
                <c:pt idx="2">
                  <c:v>2.4004749266290126</c:v>
                </c:pt>
                <c:pt idx="3">
                  <c:v>2.3595296237008792</c:v>
                </c:pt>
              </c:numCache>
            </c:numRef>
          </c:xVal>
          <c:yVal>
            <c:numRef>
              <c:f>Графики!$E$42:$E$45</c:f>
              <c:numCache>
                <c:formatCode>0.00000</c:formatCode>
                <c:ptCount val="4"/>
                <c:pt idx="0">
                  <c:v>0.74974708373087584</c:v>
                </c:pt>
                <c:pt idx="1">
                  <c:v>1.5270940393233268</c:v>
                </c:pt>
                <c:pt idx="2">
                  <c:v>1.5243648928990807</c:v>
                </c:pt>
                <c:pt idx="3">
                  <c:v>1.8882008388226073</c:v>
                </c:pt>
              </c:numCache>
            </c:numRef>
          </c:yVal>
          <c:smooth val="0"/>
        </c:ser>
        <c:ser>
          <c:idx val="1"/>
          <c:order val="1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Графики!$D$46:$D$87</c:f>
              <c:numCache>
                <c:formatCode>General</c:formatCode>
                <c:ptCount val="42"/>
                <c:pt idx="0">
                  <c:v>-0.8552454272290092</c:v>
                </c:pt>
                <c:pt idx="1">
                  <c:v>0.74429734346756371</c:v>
                </c:pt>
                <c:pt idx="2">
                  <c:v>0.17584662136898591</c:v>
                </c:pt>
                <c:pt idx="3">
                  <c:v>-0.3613091895056123</c:v>
                </c:pt>
                <c:pt idx="4">
                  <c:v>0.66407784375104573</c:v>
                </c:pt>
                <c:pt idx="5">
                  <c:v>-0.47236462061264362</c:v>
                </c:pt>
                <c:pt idx="6">
                  <c:v>-7.1279485554173808E-3</c:v>
                </c:pt>
                <c:pt idx="7">
                  <c:v>-7.5027488478993765E-2</c:v>
                </c:pt>
                <c:pt idx="8">
                  <c:v>0.63199967232943455</c:v>
                </c:pt>
                <c:pt idx="9">
                  <c:v>0.25584108327333882</c:v>
                </c:pt>
                <c:pt idx="10">
                  <c:v>-0.29303341577799391</c:v>
                </c:pt>
                <c:pt idx="11">
                  <c:v>-0.33345235351372465</c:v>
                </c:pt>
                <c:pt idx="12">
                  <c:v>0.55598953438220522</c:v>
                </c:pt>
                <c:pt idx="13">
                  <c:v>0.1537397590988735</c:v>
                </c:pt>
                <c:pt idx="14">
                  <c:v>-0.27647820223799713</c:v>
                </c:pt>
                <c:pt idx="15">
                  <c:v>0.29554382105285781</c:v>
                </c:pt>
                <c:pt idx="16">
                  <c:v>-0.73566704029120611</c:v>
                </c:pt>
                <c:pt idx="17">
                  <c:v>3.3527132941790314E-2</c:v>
                </c:pt>
                <c:pt idx="18">
                  <c:v>0.76201921528072347</c:v>
                </c:pt>
                <c:pt idx="19">
                  <c:v>0.206866456251321</c:v>
                </c:pt>
                <c:pt idx="20">
                  <c:v>0.59442235562891499</c:v>
                </c:pt>
                <c:pt idx="21">
                  <c:v>-0.1002677098943157</c:v>
                </c:pt>
                <c:pt idx="22">
                  <c:v>-0.33163290315696464</c:v>
                </c:pt>
                <c:pt idx="23">
                  <c:v>-0.39346997962482949</c:v>
                </c:pt>
                <c:pt idx="24">
                  <c:v>-0.38057949214267195</c:v>
                </c:pt>
                <c:pt idx="25">
                  <c:v>0.68963765539347199</c:v>
                </c:pt>
                <c:pt idx="26">
                  <c:v>0.16014978428007182</c:v>
                </c:pt>
                <c:pt idx="27">
                  <c:v>0.48310197852840953</c:v>
                </c:pt>
                <c:pt idx="28">
                  <c:v>-0.17354851181825315</c:v>
                </c:pt>
                <c:pt idx="29">
                  <c:v>0.484467756484109</c:v>
                </c:pt>
                <c:pt idx="30">
                  <c:v>-5.2605709804272177E-2</c:v>
                </c:pt>
                <c:pt idx="31">
                  <c:v>0.27493403227950697</c:v>
                </c:pt>
                <c:pt idx="32">
                  <c:v>0.64086387046044768</c:v>
                </c:pt>
                <c:pt idx="33">
                  <c:v>0.7443143823808136</c:v>
                </c:pt>
                <c:pt idx="34">
                  <c:v>0.16961161285855619</c:v>
                </c:pt>
                <c:pt idx="35">
                  <c:v>1.005869542554052</c:v>
                </c:pt>
                <c:pt idx="36">
                  <c:v>0.27283018865904274</c:v>
                </c:pt>
                <c:pt idx="37">
                  <c:v>-0.1260130225702788</c:v>
                </c:pt>
                <c:pt idx="38">
                  <c:v>0.5561516086677204</c:v>
                </c:pt>
                <c:pt idx="39">
                  <c:v>-0.47604844048279188</c:v>
                </c:pt>
                <c:pt idx="40">
                  <c:v>0.10518680463092887</c:v>
                </c:pt>
                <c:pt idx="41">
                  <c:v>-8.7931524454885251E-2</c:v>
                </c:pt>
              </c:numCache>
            </c:numRef>
          </c:xVal>
          <c:yVal>
            <c:numRef>
              <c:f>Графики!$E$46:$E$87</c:f>
              <c:numCache>
                <c:formatCode>0.00000</c:formatCode>
                <c:ptCount val="42"/>
                <c:pt idx="0">
                  <c:v>0.16475424583626697</c:v>
                </c:pt>
                <c:pt idx="1">
                  <c:v>-0.13192086711486234</c:v>
                </c:pt>
                <c:pt idx="2">
                  <c:v>0.25370415592097911</c:v>
                </c:pt>
                <c:pt idx="3">
                  <c:v>-1.0502625970543691</c:v>
                </c:pt>
                <c:pt idx="4">
                  <c:v>-8.7311588568459289E-2</c:v>
                </c:pt>
                <c:pt idx="5">
                  <c:v>-0.34052876250758157</c:v>
                </c:pt>
                <c:pt idx="6">
                  <c:v>-0.46889219388340092</c:v>
                </c:pt>
                <c:pt idx="7">
                  <c:v>-0.64135416676672852</c:v>
                </c:pt>
                <c:pt idx="8">
                  <c:v>0.43621763977433048</c:v>
                </c:pt>
                <c:pt idx="9">
                  <c:v>0.23673242345873224</c:v>
                </c:pt>
                <c:pt idx="10">
                  <c:v>-0.77836499856168717</c:v>
                </c:pt>
                <c:pt idx="11">
                  <c:v>-0.68823478132908256</c:v>
                </c:pt>
                <c:pt idx="12">
                  <c:v>0.36992685755264626</c:v>
                </c:pt>
                <c:pt idx="13">
                  <c:v>-0.12248831943674655</c:v>
                </c:pt>
                <c:pt idx="14">
                  <c:v>0.26612729570288401</c:v>
                </c:pt>
                <c:pt idx="15">
                  <c:v>1.8633358881888236</c:v>
                </c:pt>
                <c:pt idx="16">
                  <c:v>0.58751580709718065</c:v>
                </c:pt>
                <c:pt idx="17">
                  <c:v>-0.69636259218025331</c:v>
                </c:pt>
                <c:pt idx="18">
                  <c:v>0.24508869614022036</c:v>
                </c:pt>
                <c:pt idx="19">
                  <c:v>-0.21524912720861458</c:v>
                </c:pt>
                <c:pt idx="20">
                  <c:v>-0.24340238664447181</c:v>
                </c:pt>
                <c:pt idx="21">
                  <c:v>-5.2115210079899006E-3</c:v>
                </c:pt>
                <c:pt idx="22">
                  <c:v>-0.44097093121710818</c:v>
                </c:pt>
                <c:pt idx="23">
                  <c:v>-0.70552634103337264</c:v>
                </c:pt>
                <c:pt idx="24">
                  <c:v>-0.28465892672474047</c:v>
                </c:pt>
                <c:pt idx="25">
                  <c:v>-2.7830462251566837E-2</c:v>
                </c:pt>
                <c:pt idx="26">
                  <c:v>-0.58830442637864933</c:v>
                </c:pt>
                <c:pt idx="27">
                  <c:v>-0.42087823173699468</c:v>
                </c:pt>
                <c:pt idx="28">
                  <c:v>0.66264664325513678</c:v>
                </c:pt>
                <c:pt idx="29">
                  <c:v>0.42536730318197968</c:v>
                </c:pt>
                <c:pt idx="30">
                  <c:v>-0.37935552940187595</c:v>
                </c:pt>
                <c:pt idx="31">
                  <c:v>-0.68834654154526809</c:v>
                </c:pt>
                <c:pt idx="32">
                  <c:v>4.7587805671222727E-2</c:v>
                </c:pt>
                <c:pt idx="33">
                  <c:v>-0.46856068063637746</c:v>
                </c:pt>
                <c:pt idx="34">
                  <c:v>0.4541286851891112</c:v>
                </c:pt>
                <c:pt idx="35">
                  <c:v>0.28394978208197325</c:v>
                </c:pt>
                <c:pt idx="36">
                  <c:v>-0.30328306413293937</c:v>
                </c:pt>
                <c:pt idx="37">
                  <c:v>-0.2872649798888956</c:v>
                </c:pt>
                <c:pt idx="38">
                  <c:v>-0.1737745171200526</c:v>
                </c:pt>
                <c:pt idx="39">
                  <c:v>-2.1977582973834994E-2</c:v>
                </c:pt>
                <c:pt idx="40">
                  <c:v>-0.42508506465536783</c:v>
                </c:pt>
                <c:pt idx="41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Графики!$D$88:$D$93</c:f>
              <c:numCache>
                <c:formatCode>General</c:formatCode>
                <c:ptCount val="6"/>
                <c:pt idx="0">
                  <c:v>-1.6668915434485045</c:v>
                </c:pt>
                <c:pt idx="1">
                  <c:v>-2.1427236047222697</c:v>
                </c:pt>
                <c:pt idx="2">
                  <c:v>-3.1229598174967892</c:v>
                </c:pt>
                <c:pt idx="3">
                  <c:v>-6.2872015641378454E-2</c:v>
                </c:pt>
                <c:pt idx="4">
                  <c:v>-3.2953468409404016</c:v>
                </c:pt>
                <c:pt idx="5">
                  <c:v>-1.6420537453849324</c:v>
                </c:pt>
              </c:numCache>
            </c:numRef>
          </c:xVal>
          <c:yVal>
            <c:numRef>
              <c:f>Графики!$E$88:$E$93</c:f>
              <c:numCache>
                <c:formatCode>0.00000</c:formatCode>
                <c:ptCount val="6"/>
                <c:pt idx="0">
                  <c:v>0.72172255100594862</c:v>
                </c:pt>
                <c:pt idx="1">
                  <c:v>0.86357728933905908</c:v>
                </c:pt>
                <c:pt idx="2">
                  <c:v>2.8273862582707006</c:v>
                </c:pt>
                <c:pt idx="3">
                  <c:v>1.5962749734600787</c:v>
                </c:pt>
                <c:pt idx="4">
                  <c:v>3.4077314522301014</c:v>
                </c:pt>
                <c:pt idx="5">
                  <c:v>3.3899464444781287</c:v>
                </c:pt>
              </c:numCache>
            </c:numRef>
          </c:yVal>
          <c:smooth val="0"/>
        </c:ser>
        <c:ser>
          <c:idx val="3"/>
          <c:order val="3"/>
          <c:tx>
            <c:v>кластер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Графики!$D$94:$D$107</c:f>
              <c:numCache>
                <c:formatCode>General</c:formatCode>
                <c:ptCount val="14"/>
                <c:pt idx="0">
                  <c:v>0.55135941082757312</c:v>
                </c:pt>
                <c:pt idx="1">
                  <c:v>0.54605165183376347</c:v>
                </c:pt>
                <c:pt idx="2">
                  <c:v>1.0810174286238268</c:v>
                </c:pt>
                <c:pt idx="3">
                  <c:v>1.4474040008397731</c:v>
                </c:pt>
                <c:pt idx="4">
                  <c:v>0.37178713265683538</c:v>
                </c:pt>
                <c:pt idx="5">
                  <c:v>0.53342286344219358</c:v>
                </c:pt>
                <c:pt idx="6">
                  <c:v>0.94906750609787804</c:v>
                </c:pt>
                <c:pt idx="7">
                  <c:v>0.54948196782528946</c:v>
                </c:pt>
                <c:pt idx="8">
                  <c:v>1.3483812731330076</c:v>
                </c:pt>
                <c:pt idx="9">
                  <c:v>0.986172032352854</c:v>
                </c:pt>
                <c:pt idx="10">
                  <c:v>1.2900430873827986</c:v>
                </c:pt>
                <c:pt idx="11">
                  <c:v>1.2324174071738814</c:v>
                </c:pt>
                <c:pt idx="12">
                  <c:v>0.80174717802825035</c:v>
                </c:pt>
                <c:pt idx="13">
                  <c:v>-0.2766852919480296</c:v>
                </c:pt>
              </c:numCache>
            </c:numRef>
          </c:xVal>
          <c:yVal>
            <c:numRef>
              <c:f>Графики!$E$94:$E$107</c:f>
              <c:numCache>
                <c:formatCode>0.00000</c:formatCode>
                <c:ptCount val="14"/>
                <c:pt idx="0">
                  <c:v>6.5124851736002243E-2</c:v>
                </c:pt>
                <c:pt idx="1">
                  <c:v>-0.53505443349905213</c:v>
                </c:pt>
                <c:pt idx="2">
                  <c:v>2.4156021819374955</c:v>
                </c:pt>
                <c:pt idx="3">
                  <c:v>0.17430466749372572</c:v>
                </c:pt>
                <c:pt idx="4">
                  <c:v>-0.47906210129195392</c:v>
                </c:pt>
                <c:pt idx="5">
                  <c:v>-0.59167600626156946</c:v>
                </c:pt>
                <c:pt idx="6">
                  <c:v>0.21267326997628261</c:v>
                </c:pt>
                <c:pt idx="7">
                  <c:v>-1.1501117532461529</c:v>
                </c:pt>
                <c:pt idx="8">
                  <c:v>-0.2701249686981429</c:v>
                </c:pt>
                <c:pt idx="9">
                  <c:v>0.4507622932255928</c:v>
                </c:pt>
                <c:pt idx="10">
                  <c:v>1.3670031343710574</c:v>
                </c:pt>
                <c:pt idx="11">
                  <c:v>0.3351483900230432</c:v>
                </c:pt>
                <c:pt idx="12">
                  <c:v>0.78746018549289243</c:v>
                </c:pt>
                <c:pt idx="13">
                  <c:v>-1.1830861094987901</c:v>
                </c:pt>
              </c:numCache>
            </c:numRef>
          </c:yVal>
          <c:smooth val="0"/>
        </c:ser>
        <c:ser>
          <c:idx val="4"/>
          <c:order val="4"/>
          <c:tx>
            <c:v>Кластер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Графики!$D$108:$D$126</c:f>
              <c:numCache>
                <c:formatCode>General</c:formatCode>
                <c:ptCount val="19"/>
                <c:pt idx="0">
                  <c:v>4.1589599079267046E-3</c:v>
                </c:pt>
                <c:pt idx="1">
                  <c:v>-1.4114058720699501</c:v>
                </c:pt>
                <c:pt idx="2">
                  <c:v>-1.0919942651125929</c:v>
                </c:pt>
                <c:pt idx="3">
                  <c:v>-0.86461044381095564</c:v>
                </c:pt>
                <c:pt idx="4">
                  <c:v>-0.5112055682236194</c:v>
                </c:pt>
                <c:pt idx="5">
                  <c:v>-0.48486101111376884</c:v>
                </c:pt>
                <c:pt idx="6">
                  <c:v>-4.8631875031598937E-3</c:v>
                </c:pt>
                <c:pt idx="7">
                  <c:v>-0.73128874346715089</c:v>
                </c:pt>
                <c:pt idx="8">
                  <c:v>-0.36131840818651001</c:v>
                </c:pt>
                <c:pt idx="9">
                  <c:v>-1.1321999628286745</c:v>
                </c:pt>
                <c:pt idx="10">
                  <c:v>-0.24873459298707262</c:v>
                </c:pt>
                <c:pt idx="11">
                  <c:v>-1.4775798025292122</c:v>
                </c:pt>
                <c:pt idx="12">
                  <c:v>-1.5145933250615475</c:v>
                </c:pt>
                <c:pt idx="13">
                  <c:v>-1.0004446836060266</c:v>
                </c:pt>
                <c:pt idx="14">
                  <c:v>-1.2893231153394096</c:v>
                </c:pt>
                <c:pt idx="15">
                  <c:v>-0.33647682232699305</c:v>
                </c:pt>
                <c:pt idx="16">
                  <c:v>3.5346049848015801E-2</c:v>
                </c:pt>
                <c:pt idx="17">
                  <c:v>-0.62846576532602727</c:v>
                </c:pt>
                <c:pt idx="18">
                  <c:v>1.9663679537426107E-2</c:v>
                </c:pt>
              </c:numCache>
            </c:numRef>
          </c:xVal>
          <c:yVal>
            <c:numRef>
              <c:f>Графики!$E$108:$E$126</c:f>
              <c:numCache>
                <c:formatCode>General</c:formatCode>
                <c:ptCount val="19"/>
                <c:pt idx="0">
                  <c:v>-1.0974827049021127</c:v>
                </c:pt>
                <c:pt idx="1">
                  <c:v>-1.2493204790025558</c:v>
                </c:pt>
                <c:pt idx="2">
                  <c:v>-0.93960786836193566</c:v>
                </c:pt>
                <c:pt idx="3">
                  <c:v>1.089205572176544E-2</c:v>
                </c:pt>
                <c:pt idx="4">
                  <c:v>-0.6282348351070014</c:v>
                </c:pt>
                <c:pt idx="5">
                  <c:v>-1.1674328689694182</c:v>
                </c:pt>
                <c:pt idx="6">
                  <c:v>-0.38739049285596661</c:v>
                </c:pt>
                <c:pt idx="7">
                  <c:v>-1.0421240955729403</c:v>
                </c:pt>
                <c:pt idx="8">
                  <c:v>-1.3962398275767169</c:v>
                </c:pt>
                <c:pt idx="9">
                  <c:v>-1.6743650355145756</c:v>
                </c:pt>
                <c:pt idx="10">
                  <c:v>-0.5613889182372408</c:v>
                </c:pt>
                <c:pt idx="11">
                  <c:v>-0.72266238779301717</c:v>
                </c:pt>
                <c:pt idx="12">
                  <c:v>-0.39599386453158691</c:v>
                </c:pt>
                <c:pt idx="13">
                  <c:v>-0.95097027796243738</c:v>
                </c:pt>
                <c:pt idx="14">
                  <c:v>0.24960693064638501</c:v>
                </c:pt>
                <c:pt idx="15">
                  <c:v>-0.75536894841946534</c:v>
                </c:pt>
                <c:pt idx="16">
                  <c:v>-1.0143922311683753</c:v>
                </c:pt>
                <c:pt idx="17">
                  <c:v>-0.98018553615211512</c:v>
                </c:pt>
                <c:pt idx="18">
                  <c:v>-0.71448847453377895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727801696"/>
        <c:axId val="-727792992"/>
      </c:scatterChart>
      <c:valAx>
        <c:axId val="-7278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27792992"/>
        <c:crosses val="autoZero"/>
        <c:crossBetween val="midCat"/>
      </c:valAx>
      <c:valAx>
        <c:axId val="-7277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2780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11</xdr:col>
      <xdr:colOff>180975</xdr:colOff>
      <xdr:row>12</xdr:row>
      <xdr:rowOff>9525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2002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190500</xdr:colOff>
      <xdr:row>13</xdr:row>
      <xdr:rowOff>9525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4003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190500</xdr:colOff>
      <xdr:row>14</xdr:row>
      <xdr:rowOff>9525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6003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190500</xdr:colOff>
      <xdr:row>15</xdr:row>
      <xdr:rowOff>9525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8003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190500</xdr:colOff>
      <xdr:row>16</xdr:row>
      <xdr:rowOff>9525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0003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190500</xdr:colOff>
      <xdr:row>17</xdr:row>
      <xdr:rowOff>9525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2004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190500</xdr:colOff>
      <xdr:row>18</xdr:row>
      <xdr:rowOff>9525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4004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190500</xdr:colOff>
      <xdr:row>19</xdr:row>
      <xdr:rowOff>9525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6004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180975</xdr:colOff>
      <xdr:row>20</xdr:row>
      <xdr:rowOff>9525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8004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180975</xdr:rowOff>
    </xdr:from>
    <xdr:to>
      <xdr:col>4</xdr:col>
      <xdr:colOff>260610</xdr:colOff>
      <xdr:row>17</xdr:row>
      <xdr:rowOff>66675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95475"/>
          <a:ext cx="4680210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17</xdr:row>
      <xdr:rowOff>76200</xdr:rowOff>
    </xdr:from>
    <xdr:to>
      <xdr:col>4</xdr:col>
      <xdr:colOff>338494</xdr:colOff>
      <xdr:row>21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3314700"/>
          <a:ext cx="4739044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342899</xdr:colOff>
      <xdr:row>11</xdr:row>
      <xdr:rowOff>85725</xdr:rowOff>
    </xdr:from>
    <xdr:to>
      <xdr:col>10</xdr:col>
      <xdr:colOff>876299</xdr:colOff>
      <xdr:row>18</xdr:row>
      <xdr:rowOff>38100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2524" y="2181225"/>
          <a:ext cx="3762375" cy="12858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33</xdr:col>
      <xdr:colOff>325612</xdr:colOff>
      <xdr:row>24</xdr:row>
      <xdr:rowOff>162267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82900" y="2286000"/>
          <a:ext cx="12622387" cy="2448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585108</xdr:colOff>
      <xdr:row>42</xdr:row>
      <xdr:rowOff>2721</xdr:rowOff>
    </xdr:from>
    <xdr:to>
      <xdr:col>10</xdr:col>
      <xdr:colOff>108858</xdr:colOff>
      <xdr:row>56</xdr:row>
      <xdr:rowOff>78921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3;&#1072;&#1073;%203/&#1076;&#1072;&#1085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и"/>
      <sheetName val="исх данные"/>
      <sheetName val="функционал качества"/>
      <sheetName val="Графики"/>
      <sheetName val="Собственные числа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4%20&#1082;&#1091;&#1088;&#1089;\7%20&#1089;&#1077;&#1084;\_repo\&#1052;&#1085;&#1086;&#1075;&#1086;&#1084;&#1077;&#1088;&#1085;&#1099;&#1081;%20&#1072;&#1085;&#1072;&#1083;&#1080;&#1079;%20&#1080;%20&#1087;&#1088;&#1086;&#1075;&#1085;&#1086;&#1079;&#1080;&#1088;&#1086;&#1074;&#1072;&#1085;&#1080;&#1077;\&#1083;&#1072;&#1073;%201\&#1044;&#1072;&#1085;&#1085;&#1099;&#107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564.977532870369" createdVersion="5" refreshedVersion="5" minRefreshableVersion="3" recordCount="85">
  <cacheSource type="worksheet">
    <worksheetSource name="Таблица2" r:id="rId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3" displayName="Таблица23" ref="A1:CN87" totalsRowCount="1" headerRowDxfId="141" dataDxfId="140">
  <autoFilter ref="A1:CN86"/>
  <sortState ref="A2:BU86">
    <sortCondition ref="A1:A86"/>
  </sortState>
  <tableColumns count="92">
    <tableColumn id="1" name="Регион" dataDxfId="139" totalsRowDxfId="138"/>
    <tableColumn id="2" name="Cluster Membership-Ward" totalsRowFunction="count" dataDxfId="137" totalsRowDxfId="136"/>
    <tableColumn id="3" name="Cluster Membership-Complete" totalsRowFunction="count" dataDxfId="135" totalsRowDxfId="134"/>
    <tableColumn id="4" name="Cluster Membership-Single" totalsRowFunction="count" dataDxfId="133" totalsRowDxfId="132"/>
    <tableColumn id="5" name="CLUSTER K-means" totalsRowFunction="count" dataDxfId="131" totalsRowDxfId="130"/>
    <tableColumn id="6" name="X1" totalsRowFunction="average" dataDxfId="129" totalsRowDxfId="128"/>
    <tableColumn id="7" name="X2" totalsRowFunction="average" dataDxfId="127" totalsRowDxfId="126"/>
    <tableColumn id="8" name="X3" totalsRowFunction="average" dataDxfId="125" totalsRowDxfId="124"/>
    <tableColumn id="9" name="X4" totalsRowFunction="average" dataDxfId="123" totalsRowDxfId="122"/>
    <tableColumn id="10" name="X5" totalsRowFunction="average" dataDxfId="121" totalsRowDxfId="120"/>
    <tableColumn id="11" name="X6" totalsRowFunction="average" dataDxfId="119" totalsRowDxfId="118"/>
    <tableColumn id="12" name="X7" totalsRowFunction="average" dataDxfId="117" totalsRowDxfId="116"/>
    <tableColumn id="13" name="X8" totalsRowFunction="average" dataDxfId="115" totalsRowDxfId="114"/>
    <tableColumn id="14" name="X9" totalsRowFunction="average" dataDxfId="113" totalsRowDxfId="112"/>
    <tableColumn id="15" name="Расстояние" totalsRowFunction="sum" dataDxfId="111" totalsRowDxfId="110">
      <calculatedColumnFormula>SUMXMY2(Таблица23[[#This Row],[X1]:[X9]],Таблица23[[#Totals],[X1]:[X9]])</calculatedColumnFormula>
    </tableColumn>
    <tableColumn id="16" name="обучающая выборка" totalsRowFunction="count" dataDxfId="109" totalsRowDxfId="108"/>
    <tableColumn id="17" name="функция" totalsRowFunction="custom" dataDxfId="107" totalsRowDxfId="106">
      <totalsRowFormula>Таблица23[[#Totals],[Точность функции]]/Таблица23[[#Totals],[обучающая выборка]]</totalsRowFormula>
    </tableColumn>
    <tableColumn id="80" name="Точность функции" totalsRowFunction="sum" dataDxfId="105" totalsRowDxfId="104" dataCellStyle="Обычный_Итоги">
      <calculatedColumnFormula>IF(VALUE(RIGHT(Таблица23[[#This Row],[функция]],1))=Таблица23[[#This Row],[обучающая выборка]],1,0)</calculatedColumnFormula>
    </tableColumn>
    <tableColumn id="77" name="точность " totalsRowFunction="sum" dataDxfId="103" totalsRowDxfId="102" dataCellStyle="Обычный_Итоги">
      <calculatedColumnFormula>IF(Таблица23[[#This Row],[обучающая выборка]]=Таблица23[[#This Row],[Result Lda]],1,0)</calculatedColumnFormula>
    </tableColumn>
    <tableColumn id="19" name="Result Lda" totalsRowFunction="custom" dataDxfId="101" totalsRowDxfId="100" dataCellStyle="Обычный_Итоги">
      <totalsRowFormula>Таблица23[[#Totals],[точность ]]/Таблица23[[#Totals],[обучающая выборка]]</totalsRowFormula>
    </tableColumn>
    <tableColumn id="18" name="Observed Махаланобис" dataDxfId="99" totalsRowDxfId="98"/>
    <tableColumn id="20" name="Махал1" dataDxfId="97" totalsRowDxfId="96"/>
    <tableColumn id="21" name="Махал2" dataDxfId="95" totalsRowDxfId="94"/>
    <tableColumn id="22" name="Махал3" dataDxfId="93" totalsRowDxfId="92"/>
    <tableColumn id="23" name="Махал4" dataDxfId="91" totalsRowDxfId="90"/>
    <tableColumn id="24" name="Махал5" dataDxfId="89" totalsRowDxfId="88"/>
    <tableColumn id="25" name="Минимум Махаланобис" dataDxfId="87" totalsRowDxfId="86">
      <calculatedColumnFormula>MIN(Таблица23[[#This Row],[Махал1]:[Махал5]])</calculatedColumnFormula>
    </tableColumn>
    <tableColumn id="26" name="Махаланобис классификация" totalsRowFunction="custom" dataDxfId="85" totalsRowDxfId="84">
      <calculatedColumnFormula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calculatedColumnFormula>
      <totalsRowFormula>Таблица23[[#Totals],[Точность Махал]]/Таблица23[[#Totals],[обучающая выборка]]</totalsRowFormula>
    </tableColumn>
    <tableColumn id="27" name="Точность Махал" totalsRowFunction="sum" dataDxfId="83" totalsRowDxfId="82">
      <calculatedColumnFormula>IF(Таблица23[[#This Row],[Махаланобис классификация]]=Таблица23[[#This Row],[обучающая выборка]],1,0)</calculatedColumnFormula>
    </tableColumn>
    <tableColumn id="33" name="априор" totalsRowDxfId="81"/>
    <tableColumn id="28" name="априор1" totalsRowDxfId="80"/>
    <tableColumn id="29" name="априор2" totalsRowDxfId="79"/>
    <tableColumn id="30" name="априор3" totalsRowDxfId="78"/>
    <tableColumn id="31" name="априор4" totalsRowDxfId="77"/>
    <tableColumn id="32" name="априор5" totalsRowDxfId="76"/>
    <tableColumn id="34" name="априор макс" dataDxfId="75">
      <calculatedColumnFormula>MAX(Таблица23[[#This Row],[априор1]:[априор5]])</calculatedColumnFormula>
    </tableColumn>
    <tableColumn id="35" name="Априор Классификация" totalsRowFunction="custom" dataDxfId="74" totalsRowDxfId="73">
      <calculatedColumnFormula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calculatedColumnFormula>
      <totalsRowFormula>Таблица23[[#Totals],[Точность Априор]]/Таблица23[[#Totals],[обучающая выборка]]</totalsRowFormula>
    </tableColumn>
    <tableColumn id="36" name="Точность Априор" totalsRowFunction="sum" dataDxfId="72">
      <calculatedColumnFormula>IF(Таблица23[[#This Row],[обучающая выборка]]=Таблица23[[#This Row],[Априор Классификация]],1,0)</calculatedColumnFormula>
    </tableColumn>
    <tableColumn id="37" name="фнкция ДА ВКЛ" totalsRowFunction="custom" totalsRowDxfId="71">
      <totalsRowFormula>Таблица23[[#Totals],[точность ДА ВКЛ]]/Таблица23[[#Totals],[обучающая выборка]]</totalsRowFormula>
    </tableColumn>
    <tableColumn id="81" name="точность ДА ВКЛ" totalsRowFunction="sum" dataDxfId="70" totalsRowDxfId="69">
      <calculatedColumnFormula>IF(VALUE(RIGHT(Таблица23[[#This Row],[фнкция ДА ВКЛ]],1))=Таблица23[[#This Row],[обучающая выборка]],1,0)</calculatedColumnFormula>
    </tableColumn>
    <tableColumn id="78" name="точность" totalsRowFunction="sum" dataDxfId="68" totalsRowDxfId="67">
      <calculatedColumnFormula>IF(Таблица23[[#This Row],[обучающая выборка]]=Таблица23[[#This Row],[Result forward]],1,0)</calculatedColumnFormula>
    </tableColumn>
    <tableColumn id="75" name="Result forward" totalsRowFunction="custom" totalsRowDxfId="66">
      <totalsRowFormula>Таблица23[[#Totals],[точность]]/30</totalsRowFormula>
    </tableColumn>
    <tableColumn id="38" name="Observed МахаланобисВКЛ"/>
    <tableColumn id="39" name="Махал1ВКЛ"/>
    <tableColumn id="40" name="Махал2ВКл"/>
    <tableColumn id="41" name="Махал3ВКЛ"/>
    <tableColumn id="42" name="Махал4ВКЛ"/>
    <tableColumn id="43" name="Махал5ВКл"/>
    <tableColumn id="44" name="Ммхаланобис минимум ВКЛ" dataDxfId="65">
      <calculatedColumnFormula>MIN(Таблица23[[#This Row],[Махал1ВКЛ]:[Махал5ВКл]])</calculatedColumnFormula>
    </tableColumn>
    <tableColumn id="45" name="МахаланобисКлассификацияВКЛ" totalsRowFunction="custom" dataDxfId="64" totalsRowDxfId="63">
      <calculatedColumnFormula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calculatedColumnFormula>
      <totalsRowFormula>Таблица23[[#Totals],[Махал точность ВКЛ]]/Таблица23[[#Totals],[обучающая выборка]]</totalsRowFormula>
    </tableColumn>
    <tableColumn id="46" name="Махал точность ВКЛ" totalsRowFunction="sum" dataDxfId="62">
      <calculatedColumnFormula>IF(Таблица23[[#This Row],[обучающая выборка]]=Таблица23[[#This Row],[МахаланобисКлассификацияВКЛ]],1,0)</calculatedColumnFormula>
    </tableColumn>
    <tableColumn id="47" name="априорВКЛ"/>
    <tableColumn id="48" name="АприорВКл1"/>
    <tableColumn id="49" name="АприорВКл2"/>
    <tableColumn id="50" name="АприорВКл3"/>
    <tableColumn id="51" name="АприорВКл4"/>
    <tableColumn id="52" name="АприорВКл5"/>
    <tableColumn id="53" name="АприорВКЛ макс" dataDxfId="61">
      <calculatedColumnFormula>MAX(Таблица23[[#This Row],[АприорВКл1]:[АприорВКл5]])</calculatedColumnFormula>
    </tableColumn>
    <tableColumn id="54" name="АприорВклКлассификация" totalsRowFunction="custom" dataDxfId="60" totalsRowDxfId="59">
      <calculatedColumnFormula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calculatedColumnFormula>
      <totalsRowFormula>Таблица23[[#Totals],[Точность априор вкл]]/Таблица23[[#Totals],[обучающая выборка]]</totalsRowFormula>
    </tableColumn>
    <tableColumn id="55" name="Точность априор вкл" totalsRowFunction="sum" dataDxfId="58">
      <calculatedColumnFormula>IF(Таблица23[[#This Row],[АприорВклКлассификация]]=Таблица23[[#This Row],[обучающая выборка]],1,0)</calculatedColumnFormula>
    </tableColumn>
    <tableColumn id="56" name="Фунция ДА ИСК" totalsRowFunction="custom" totalsRowDxfId="57">
      <totalsRowFormula>Таблица23[[#Totals],[точность ДА ИСК]]/Таблица23[[#Totals],[обучающая выборка]]</totalsRowFormula>
    </tableColumn>
    <tableColumn id="82" name="точность ДА ИСК" totalsRowFunction="sum" dataDxfId="56" totalsRowDxfId="55" dataCellStyle="Обычный_Итоги">
      <calculatedColumnFormula>IF(VALUE(RIGHT(Таблица23[[#This Row],[Фунция ДА ИСК]]))=Таблица23[[#This Row],[обучающая выборка]],1,0)</calculatedColumnFormula>
    </tableColumn>
    <tableColumn id="79" name="точность2" totalsRowFunction="sum" dataDxfId="54" totalsRowDxfId="53" dataCellStyle="Обычный_Итоги">
      <calculatedColumnFormula>IF(Таблица23[[#This Row],[обучающая выборка]]=Таблица23[[#This Row],[Result backward]],1,0)</calculatedColumnFormula>
    </tableColumn>
    <tableColumn id="76" name="Result backward" totalsRowFunction="custom" dataDxfId="52" totalsRowDxfId="51" dataCellStyle="Обычный_Итоги">
      <totalsRowFormula>Таблица23[[#Totals],[точность2]]/30</totalsRowFormula>
    </tableColumn>
    <tableColumn id="57" name="Observed МахаланобисИСК"/>
    <tableColumn id="58" name="Махал1ИСК"/>
    <tableColumn id="59" name="Махал2ИСК"/>
    <tableColumn id="60" name="Махал3ИСК"/>
    <tableColumn id="61" name="Махал4ИСК"/>
    <tableColumn id="62" name="Махал5ИСК"/>
    <tableColumn id="63" name="Махал минимум ИСК">
      <calculatedColumnFormula>MIN(Таблица23[[#This Row],[Махал1ИСК]:[Махал5ИСК]])</calculatedColumnFormula>
    </tableColumn>
    <tableColumn id="64" name="МАХАЛ ИСК Классификация" totalsRowFunction="custom" totalsRowDxfId="50">
      <calculatedColumnFormula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calculatedColumnFormula>
      <totalsRowFormula>Таблица23[[#Totals],[МАХАЛ ИСК точность]]/Таблица23[[#Totals],[обучающая выборка]]</totalsRowFormula>
    </tableColumn>
    <tableColumn id="65" name="МАХАЛ ИСК точность" totalsRowFunction="sum">
      <calculatedColumnFormula>IF(Таблица23[[#This Row],[МАХАЛ ИСК Классификация]]=Таблица23[[#This Row],[обучающая выборка]],1,0)</calculatedColumnFormula>
    </tableColumn>
    <tableColumn id="66" name="априорИСК"/>
    <tableColumn id="67" name="АприорИСК1"/>
    <tableColumn id="68" name="АприорИСК2"/>
    <tableColumn id="69" name="АприорИСК3"/>
    <tableColumn id="70" name="АприорИСК4"/>
    <tableColumn id="71" name="АприорИСК5"/>
    <tableColumn id="72" name="АприорИСК максимум" dataDxfId="49">
      <calculatedColumnFormula>MAX(Таблица23[[#This Row],[АприорИСК1]]:Таблица23[[#This Row],[АприорИСК5]])</calculatedColumnFormula>
    </tableColumn>
    <tableColumn id="73" name="АприорИСК классификация" totalsRowFunction="custom" dataDxfId="48" totalsRowDxfId="47">
      <calculatedColumnFormula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calculatedColumnFormula>
      <totalsRowFormula>Таблица23[[#Totals],[АприорИскТочность]]/Таблица23[[#Totals],[обучающая выборка]]</totalsRowFormula>
    </tableColumn>
    <tableColumn id="74" name="АприорИскТочность" totalsRowFunction="sum" dataDxfId="46">
      <calculatedColumnFormula>IF(Таблица23[[#This Row],[АприорИСК классификация]]=Таблица23[[#This Row],[обучающая выборка]],1,0)</calculatedColumnFormula>
    </tableColumn>
    <tableColumn id="83" name="f1" dataDxfId="45"/>
    <tableColumn id="84" name="f2" dataDxfId="44"/>
    <tableColumn id="85" name="f3" dataDxfId="43"/>
    <tableColumn id="86" name="Ward  МГК" totalsRowFunction="custom" dataDxfId="42">
      <totalsRowFormula>SUBTOTAL(103,[1]!Таблица2[Ward  МГК])</totalsRowFormula>
    </tableColumn>
    <tableColumn id="87" name="K-Means МГК" dataDxfId="41"/>
    <tableColumn id="88" name="kmeans_new" dataDxfId="40"/>
    <tableColumn id="89" name="ward_new" dataDxfId="39"/>
    <tableColumn id="90" name="f1P" dataDxfId="38"/>
    <tableColumn id="91" name="f2P" dataDxfId="37"/>
    <tableColumn id="92" name="f3P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41:G126" totalsRowShown="0" dataDxfId="27" tableBorderDxfId="35" dataCellStyle="Обычный_Итоги">
  <autoFilter ref="A41:G126"/>
  <sortState ref="A42:G126">
    <sortCondition ref="B41:B126"/>
  </sortState>
  <tableColumns count="7">
    <tableColumn id="1" name="Регион" dataDxfId="34" dataCellStyle="Обычный_Итоги"/>
    <tableColumn id="2" name="УОРД" dataDxfId="33" dataCellStyle="Обычный_Итоги"/>
    <tableColumn id="3" name="К средних" dataDxfId="32" dataCellStyle="Обычный_Итоги"/>
    <tableColumn id="4" name="f1" dataDxfId="31" dataCellStyle="Обычный_Итоги"/>
    <tableColumn id="5" name="f2" dataDxfId="30" dataCellStyle="Обычный_Итоги"/>
    <tableColumn id="6" name="УОРД МГК" dataDxfId="29" dataCellStyle="Обычный_Итоги"/>
    <tableColumn id="7" name="К средних2" dataDxfId="28" dataCellStyle="Обычный_Итоги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Таблица15" displayName="Таблица15" ref="K41:Q126" totalsRowShown="0" dataDxfId="26" tableBorderDxfId="25" dataCellStyle="Обычный_Итоги">
  <autoFilter ref="K41:Q126"/>
  <sortState ref="K42:Q126">
    <sortCondition ref="M41:M126"/>
  </sortState>
  <tableColumns count="7">
    <tableColumn id="1" name="Регион" dataDxfId="24" dataCellStyle="Обычный_Итоги"/>
    <tableColumn id="2" name="УОРД" dataDxfId="23" dataCellStyle="Обычный_Итоги"/>
    <tableColumn id="3" name="К средних" dataDxfId="22" dataCellStyle="Обычный_Итоги"/>
    <tableColumn id="4" name="f1" dataDxfId="21" dataCellStyle="Обычный_Итоги"/>
    <tableColumn id="5" name="f2" dataDxfId="20" dataCellStyle="Обычный_Итоги"/>
    <tableColumn id="6" name="УОРД МГК" dataDxfId="19" dataCellStyle="Обычный_Итоги"/>
    <tableColumn id="7" name="К средних2" dataDxfId="18" dataCellStyle="Обычный_Итоги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16" displayName="Таблица16" ref="U41:AA126" totalsRowShown="0" dataDxfId="17" tableBorderDxfId="16" dataCellStyle="Обычный_Итоги">
  <autoFilter ref="U41:AA126"/>
  <sortState ref="U42:AA126">
    <sortCondition ref="Z41:Z126"/>
  </sortState>
  <tableColumns count="7">
    <tableColumn id="1" name="Регион" dataDxfId="15" dataCellStyle="Обычный_Итоги"/>
    <tableColumn id="2" name="УОРД" dataDxfId="14" dataCellStyle="Обычный_Итоги"/>
    <tableColumn id="3" name="К средних" dataDxfId="13" dataCellStyle="Обычный_Итоги"/>
    <tableColumn id="4" name="f1" dataDxfId="12" dataCellStyle="Обычный_Итоги"/>
    <tableColumn id="5" name="f2" dataDxfId="11" dataCellStyle="Обычный_Итоги"/>
    <tableColumn id="6" name="УОРД МГК" dataDxfId="10" dataCellStyle="Обычный_Итоги"/>
    <tableColumn id="7" name="К средних2" dataDxfId="9" dataCellStyle="Обычный_Итоги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Таблица17" displayName="Таблица17" ref="AE41:AK126" totalsRowShown="0" dataDxfId="8" tableBorderDxfId="7" dataCellStyle="Обычный_Итоги">
  <autoFilter ref="AE41:AK126"/>
  <sortState ref="AE42:AK126">
    <sortCondition ref="AK41:AK126"/>
  </sortState>
  <tableColumns count="7">
    <tableColumn id="1" name="Регион" dataDxfId="6" dataCellStyle="Обычный_Итоги"/>
    <tableColumn id="2" name="УОРД" dataDxfId="5" dataCellStyle="Обычный_Итоги"/>
    <tableColumn id="3" name="К средних" dataDxfId="4" dataCellStyle="Обычный_Итоги"/>
    <tableColumn id="4" name="f1" dataDxfId="3" dataCellStyle="Обычный_Итоги"/>
    <tableColumn id="5" name="f2" dataDxfId="2" dataCellStyle="Обычный_Итоги"/>
    <tableColumn id="6" name="УОРД МГК" dataDxfId="1" dataCellStyle="Обычный_Итоги"/>
    <tableColumn id="7" name="К средних2" dataDxfId="0" dataCellStyle="Обычный_Итоги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1"/>
  <sheetViews>
    <sheetView topLeftCell="BR25" workbookViewId="0">
      <selection activeCell="CO16" sqref="CO16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18" max="18" width="16.28515625" bestFit="1" customWidth="1"/>
    <col min="35" max="35" width="19" bestFit="1" customWidth="1"/>
    <col min="36" max="36" width="17.42578125" bestFit="1" customWidth="1"/>
    <col min="37" max="38" width="18.85546875" bestFit="1" customWidth="1"/>
    <col min="39" max="39" width="16.7109375" customWidth="1"/>
    <col min="40" max="40" width="18.7109375" bestFit="1" customWidth="1"/>
    <col min="42" max="42" width="15.28515625" bestFit="1" customWidth="1"/>
    <col min="43" max="43" width="30.42578125" bestFit="1" customWidth="1"/>
    <col min="44" max="44" width="34" bestFit="1" customWidth="1"/>
    <col min="45" max="45" width="22" bestFit="1" customWidth="1"/>
    <col min="46" max="46" width="15" bestFit="1" customWidth="1"/>
    <col min="47" max="47" width="31.140625" bestFit="1" customWidth="1"/>
    <col min="48" max="48" width="35.7109375" bestFit="1" customWidth="1"/>
    <col min="49" max="49" width="23" bestFit="1" customWidth="1"/>
    <col min="52" max="52" width="18.85546875" bestFit="1" customWidth="1"/>
    <col min="53" max="53" width="34" customWidth="1"/>
    <col min="54" max="54" width="22.42578125" bestFit="1" customWidth="1"/>
    <col min="55" max="55" width="23.28515625" customWidth="1"/>
    <col min="57" max="57" width="18.85546875" bestFit="1" customWidth="1"/>
    <col min="58" max="58" width="18.85546875" customWidth="1"/>
    <col min="61" max="61" width="17.7109375" bestFit="1" customWidth="1"/>
    <col min="63" max="63" width="19.7109375" customWidth="1"/>
    <col min="64" max="64" width="29.28515625" bestFit="1" customWidth="1"/>
    <col min="71" max="71" width="15" bestFit="1" customWidth="1"/>
  </cols>
  <sheetData>
    <row r="1" spans="1:92" ht="5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6" t="s">
        <v>119</v>
      </c>
      <c r="Q1" s="16" t="s">
        <v>120</v>
      </c>
      <c r="R1" s="16" t="s">
        <v>121</v>
      </c>
      <c r="S1" s="17" t="s">
        <v>122</v>
      </c>
      <c r="T1" s="17" t="s">
        <v>123</v>
      </c>
      <c r="U1" s="16" t="s">
        <v>124</v>
      </c>
      <c r="V1" s="16" t="s">
        <v>125</v>
      </c>
      <c r="W1" s="16" t="s">
        <v>126</v>
      </c>
      <c r="X1" s="16" t="s">
        <v>127</v>
      </c>
      <c r="Y1" s="16" t="s">
        <v>128</v>
      </c>
      <c r="Z1" s="16" t="s">
        <v>129</v>
      </c>
      <c r="AA1" s="16" t="s">
        <v>130</v>
      </c>
      <c r="AB1" s="16" t="s">
        <v>131</v>
      </c>
      <c r="AC1" s="16" t="s">
        <v>132</v>
      </c>
      <c r="AD1" s="16" t="s">
        <v>133</v>
      </c>
      <c r="AE1" s="16" t="s">
        <v>134</v>
      </c>
      <c r="AF1" s="16" t="s">
        <v>135</v>
      </c>
      <c r="AG1" s="16" t="s">
        <v>136</v>
      </c>
      <c r="AH1" s="16" t="s">
        <v>137</v>
      </c>
      <c r="AI1" s="16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s="18" t="s">
        <v>144</v>
      </c>
      <c r="AP1" s="18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s="19" t="s">
        <v>155</v>
      </c>
      <c r="BA1" s="19" t="s">
        <v>156</v>
      </c>
      <c r="BB1" s="19" t="s">
        <v>157</v>
      </c>
      <c r="BC1" s="19" t="s">
        <v>158</v>
      </c>
      <c r="BD1" s="19" t="s">
        <v>159</v>
      </c>
      <c r="BE1" s="19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s="18" t="s">
        <v>166</v>
      </c>
      <c r="BL1" s="18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s="19" t="s">
        <v>183</v>
      </c>
      <c r="CC1" s="19" t="s">
        <v>184</v>
      </c>
      <c r="CD1" s="19" t="s">
        <v>185</v>
      </c>
      <c r="CE1" s="37" t="s">
        <v>225</v>
      </c>
      <c r="CF1" s="37" t="s">
        <v>226</v>
      </c>
      <c r="CG1" s="37" t="s">
        <v>227</v>
      </c>
      <c r="CH1" s="37" t="s">
        <v>228</v>
      </c>
      <c r="CI1" s="37" t="s">
        <v>229</v>
      </c>
      <c r="CJ1" s="37" t="s">
        <v>230</v>
      </c>
      <c r="CK1" s="37" t="s">
        <v>231</v>
      </c>
      <c r="CL1" s="37" t="s">
        <v>232</v>
      </c>
      <c r="CM1" s="37" t="s">
        <v>233</v>
      </c>
      <c r="CN1" s="37" t="s">
        <v>234</v>
      </c>
    </row>
    <row r="2" spans="1:92" x14ac:dyDescent="0.25">
      <c r="A2" s="3" t="s">
        <v>15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SUMXMY2(Таблица23[[#This Row],[X1]:[X9]],Таблица23[[#Totals],[X1]:[X9]])</f>
        <v>6.393886853659148</v>
      </c>
      <c r="P2" s="20"/>
      <c r="Q2" s="20" t="s">
        <v>186</v>
      </c>
      <c r="R2" s="20">
        <f>IF(VALUE(RIGHT(Таблица23[[#This Row],[функция]],1))=Таблица23[[#This Row],[обучающая выборка]],1,0)</f>
        <v>0</v>
      </c>
      <c r="S2" s="20">
        <f>IF(Таблица23[[#This Row],[обучающая выборка]]=Таблица23[[#This Row],[Result Lda]],1,0)</f>
        <v>0</v>
      </c>
      <c r="T2" s="20">
        <v>1</v>
      </c>
      <c r="U2" s="20" t="s">
        <v>187</v>
      </c>
      <c r="V2" s="20">
        <v>81.942999999999998</v>
      </c>
      <c r="W2" s="20">
        <v>2607.674</v>
      </c>
      <c r="X2" s="20">
        <v>115.18</v>
      </c>
      <c r="Y2" s="20">
        <v>132.74299999999999</v>
      </c>
      <c r="Z2" s="20">
        <v>122.605</v>
      </c>
      <c r="AA2" s="20">
        <f>MIN(Таблица23[[#This Row],[Махал1]:[Махал5]])</f>
        <v>81.942999999999998</v>
      </c>
      <c r="AB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2" s="20">
        <f>IF(Таблица23[[#This Row],[Махаланобис классификация]]=Таблица23[[#This Row],[обучающая выборка]],1,0)</f>
        <v>0</v>
      </c>
      <c r="AD2" s="21" t="s">
        <v>187</v>
      </c>
      <c r="AE2" s="22">
        <v>0.99999996612662723</v>
      </c>
      <c r="AF2" s="22">
        <v>0</v>
      </c>
      <c r="AG2" s="22">
        <v>3.3061922756849346E-8</v>
      </c>
      <c r="AH2" s="22">
        <v>4.2310231854553647E-12</v>
      </c>
      <c r="AI2" s="22">
        <v>8.0721914518842931E-10</v>
      </c>
      <c r="AJ2">
        <f>MAX(Таблица23[[#This Row],[априор1]:[априор5]])</f>
        <v>0.99999996612662723</v>
      </c>
      <c r="AK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2">
        <f>IF(Таблица23[[#This Row],[обучающая выборка]]=Таблица23[[#This Row],[Априор Классификация]],1,0)</f>
        <v>0</v>
      </c>
      <c r="AM2" t="s">
        <v>188</v>
      </c>
      <c r="AN2">
        <f>IF(VALUE(RIGHT(Таблица23[[#This Row],[фнкция ДА ВКЛ]],1))=Таблица23[[#This Row],[обучающая выборка]],1,0)</f>
        <v>0</v>
      </c>
      <c r="AO2">
        <f>IF(Таблица23[[#This Row],[обучающая выборка]]=Таблица23[[#This Row],[Result forward]],1,0)</f>
        <v>0</v>
      </c>
      <c r="AP2">
        <v>1</v>
      </c>
      <c r="AQ2" t="s">
        <v>187</v>
      </c>
      <c r="AR2">
        <v>17.693999999999999</v>
      </c>
      <c r="AS2">
        <v>1619.192</v>
      </c>
      <c r="AT2">
        <v>15.397</v>
      </c>
      <c r="AU2">
        <v>32.177</v>
      </c>
      <c r="AV2">
        <v>34.524999999999999</v>
      </c>
      <c r="AW2">
        <f>MIN(Таблица23[[#This Row],[Махал1ВКЛ]:[Махал5ВКл]])</f>
        <v>15.397</v>
      </c>
      <c r="AX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2">
        <f>IF(Таблица23[[#This Row],[обучающая выборка]]=Таблица23[[#This Row],[МахаланобисКлассификацияВКЛ]],1,0)</f>
        <v>0</v>
      </c>
      <c r="AZ2" t="s">
        <v>187</v>
      </c>
      <c r="BA2">
        <v>0.36754999999999999</v>
      </c>
      <c r="BB2">
        <v>0</v>
      </c>
      <c r="BC2">
        <v>0.63228600000000001</v>
      </c>
      <c r="BD2">
        <v>1.2E-4</v>
      </c>
      <c r="BE2">
        <v>4.3999999999999999E-5</v>
      </c>
      <c r="BF2">
        <f>MAX(Таблица23[[#This Row],[АприорВКл1]:[АприорВКл5]])</f>
        <v>0.63228600000000001</v>
      </c>
      <c r="BG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2">
        <f>IF(Таблица23[[#This Row],[АприорВклКлассификация]]=Таблица23[[#This Row],[обучающая выборка]],1,0)</f>
        <v>0</v>
      </c>
      <c r="BI2" s="21" t="s">
        <v>188</v>
      </c>
      <c r="BJ2" s="21">
        <f>IF(VALUE(RIGHT(Таблица23[[#This Row],[Фунция ДА ИСК]]))=Таблица23[[#This Row],[обучающая выборка]],1,0)</f>
        <v>0</v>
      </c>
      <c r="BK2" s="21">
        <f>IF(Таблица23[[#This Row],[обучающая выборка]]=Таблица23[[#This Row],[Result backward]],1,0)</f>
        <v>0</v>
      </c>
      <c r="BL2" s="21">
        <v>1</v>
      </c>
      <c r="BM2" t="s">
        <v>187</v>
      </c>
      <c r="BN2">
        <v>17.693999999999999</v>
      </c>
      <c r="BO2">
        <v>1619.192</v>
      </c>
      <c r="BP2">
        <v>15.397</v>
      </c>
      <c r="BQ2">
        <v>32.177</v>
      </c>
      <c r="BR2">
        <v>34.524999999999999</v>
      </c>
      <c r="BS2">
        <f>MIN(Таблица23[[#This Row],[Махал1ИСК]:[Махал5ИСК]])</f>
        <v>15.397</v>
      </c>
      <c r="BT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2">
        <f>IF(Таблица23[[#This Row],[МАХАЛ ИСК Классификация]]=Таблица23[[#This Row],[обучающая выборка]],1,0)</f>
        <v>0</v>
      </c>
      <c r="BV2" t="s">
        <v>187</v>
      </c>
      <c r="BW2">
        <v>0.36754999999999999</v>
      </c>
      <c r="BX2">
        <v>0</v>
      </c>
      <c r="BY2">
        <v>0.63228600000000001</v>
      </c>
      <c r="BZ2">
        <v>1.2E-4</v>
      </c>
      <c r="CA2">
        <v>4.3999999999999999E-5</v>
      </c>
      <c r="CB2">
        <f>MAX(Таблица23[[#This Row],[АприорИСК1]]:Таблица23[[#This Row],[АприорИСК5]])</f>
        <v>0.63228600000000001</v>
      </c>
      <c r="CC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2">
        <f>IF(Таблица23[[#This Row],[АприорИСК классификация]]=Таблица23[[#This Row],[обучающая выборка]],1,0)</f>
        <v>0</v>
      </c>
      <c r="CE2" s="35">
        <v>4.1589599079267046E-3</v>
      </c>
      <c r="CF2" s="35">
        <v>-1.0974827049021127</v>
      </c>
      <c r="CG2" s="35">
        <v>-1.1719565948365986</v>
      </c>
      <c r="CH2" s="35">
        <v>2</v>
      </c>
      <c r="CI2" s="35">
        <v>3</v>
      </c>
      <c r="CJ2" s="36">
        <v>4</v>
      </c>
      <c r="CK2" s="35">
        <v>3</v>
      </c>
      <c r="CL2" s="36">
        <v>4.158959767909926E-3</v>
      </c>
      <c r="CM2" s="36">
        <v>-1.097482704918713</v>
      </c>
      <c r="CN2" s="36">
        <v>1.1719565945102419</v>
      </c>
    </row>
    <row r="3" spans="1:92" x14ac:dyDescent="0.25">
      <c r="A3" s="3" t="s">
        <v>16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SUMXMY2(Таблица23[[#This Row],[X1]:[X9]],Таблица23[[#Totals],[X1]:[X9]])</f>
        <v>9.9102538892762109</v>
      </c>
      <c r="P3" s="20"/>
      <c r="Q3" s="20" t="s">
        <v>189</v>
      </c>
      <c r="R3" s="20">
        <f>IF(VALUE(RIGHT(Таблица23[[#This Row],[функция]],1))=Таблица23[[#This Row],[обучающая выборка]],1,0)</f>
        <v>0</v>
      </c>
      <c r="S3" s="20">
        <f>IF(Таблица23[[#This Row],[обучающая выборка]]=Таблица23[[#This Row],[Result Lda]],1,0)</f>
        <v>0</v>
      </c>
      <c r="T3" s="20">
        <v>5</v>
      </c>
      <c r="U3" s="20" t="s">
        <v>187</v>
      </c>
      <c r="V3" s="20">
        <v>119.02</v>
      </c>
      <c r="W3" s="20">
        <v>1484.691</v>
      </c>
      <c r="X3" s="20">
        <v>78.028000000000006</v>
      </c>
      <c r="Y3" s="20">
        <v>156.05600000000001</v>
      </c>
      <c r="Z3" s="20">
        <v>68.537000000000006</v>
      </c>
      <c r="AA3" s="20">
        <f>MIN(Таблица23[[#This Row],[Махал1]:[Махал5]])</f>
        <v>68.537000000000006</v>
      </c>
      <c r="AB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" s="20">
        <f>IF(Таблица23[[#This Row],[Махаланобис классификация]]=Таблица23[[#This Row],[обучающая выборка]],1,0)</f>
        <v>0</v>
      </c>
      <c r="AD3" s="21" t="s">
        <v>187</v>
      </c>
      <c r="AE3" s="22">
        <v>1.9819580788802714E-11</v>
      </c>
      <c r="AF3" s="22">
        <v>0</v>
      </c>
      <c r="AG3" s="22">
        <v>8.6132631629823268E-3</v>
      </c>
      <c r="AH3" s="22">
        <v>8.1733675707102251E-20</v>
      </c>
      <c r="AI3" s="22">
        <v>0.99138673681719813</v>
      </c>
      <c r="AJ3">
        <f>MAX(Таблица23[[#This Row],[априор1]:[априор5]])</f>
        <v>0.99138673681719813</v>
      </c>
      <c r="AK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">
        <f>IF(Таблица23[[#This Row],[обучающая выборка]]=Таблица23[[#This Row],[Априор Классификация]],1,0)</f>
        <v>0</v>
      </c>
      <c r="AM3" t="s">
        <v>188</v>
      </c>
      <c r="AN3">
        <f>IF(VALUE(RIGHT(Таблица23[[#This Row],[фнкция ДА ВКЛ]],1))=Таблица23[[#This Row],[обучающая выборка]],1,0)</f>
        <v>0</v>
      </c>
      <c r="AO3">
        <f>IF(Таблица23[[#This Row],[обучающая выборка]]=Таблица23[[#This Row],[Result forward]],1,0)</f>
        <v>0</v>
      </c>
      <c r="AP3">
        <v>3</v>
      </c>
      <c r="AQ3" t="s">
        <v>187</v>
      </c>
      <c r="AR3">
        <v>67.02</v>
      </c>
      <c r="AS3">
        <v>975.38</v>
      </c>
      <c r="AT3">
        <v>31.681000000000001</v>
      </c>
      <c r="AU3">
        <v>93.677999999999997</v>
      </c>
      <c r="AV3">
        <v>47.881999999999998</v>
      </c>
      <c r="AW3">
        <f>MIN(Таблица23[[#This Row],[Махал1ВКЛ]:[Махал5ВКл]])</f>
        <v>31.681000000000001</v>
      </c>
      <c r="AX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3">
        <f>IF(Таблица23[[#This Row],[обучающая выборка]]=Таблица23[[#This Row],[МахаланобисКлассификацияВКЛ]],1,0)</f>
        <v>0</v>
      </c>
      <c r="AZ3" t="s">
        <v>187</v>
      </c>
      <c r="BA3">
        <v>0</v>
      </c>
      <c r="BB3">
        <v>0</v>
      </c>
      <c r="BC3">
        <v>0.99969699999999995</v>
      </c>
      <c r="BD3">
        <v>0</v>
      </c>
      <c r="BE3">
        <v>3.0299999999999999E-4</v>
      </c>
      <c r="BF3">
        <f>MAX(Таблица23[[#This Row],[АприорВКл1]:[АприорВКл5]])</f>
        <v>0.99969699999999995</v>
      </c>
      <c r="BG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3">
        <f>IF(Таблица23[[#This Row],[АприорВклКлассификация]]=Таблица23[[#This Row],[обучающая выборка]],1,0)</f>
        <v>0</v>
      </c>
      <c r="BI3" s="21" t="s">
        <v>188</v>
      </c>
      <c r="BJ3" s="21">
        <f>IF(VALUE(RIGHT(Таблица23[[#This Row],[Фунция ДА ИСК]]))=Таблица23[[#This Row],[обучающая выборка]],1,0)</f>
        <v>0</v>
      </c>
      <c r="BK3" s="21">
        <f>IF(Таблица23[[#This Row],[обучающая выборка]]=Таблица23[[#This Row],[Result backward]],1,0)</f>
        <v>0</v>
      </c>
      <c r="BL3" s="21">
        <v>3</v>
      </c>
      <c r="BM3" t="s">
        <v>187</v>
      </c>
      <c r="BN3">
        <v>67.02</v>
      </c>
      <c r="BO3">
        <v>975.38</v>
      </c>
      <c r="BP3">
        <v>31.681000000000001</v>
      </c>
      <c r="BQ3">
        <v>93.677999999999997</v>
      </c>
      <c r="BR3">
        <v>47.881999999999998</v>
      </c>
      <c r="BS3">
        <f>MIN(Таблица23[[#This Row],[Махал1ИСК]:[Махал5ИСК]])</f>
        <v>31.681000000000001</v>
      </c>
      <c r="BT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3">
        <f>IF(Таблица23[[#This Row],[МАХАЛ ИСК Классификация]]=Таблица23[[#This Row],[обучающая выборка]],1,0)</f>
        <v>0</v>
      </c>
      <c r="BV3" t="s">
        <v>187</v>
      </c>
      <c r="BW3">
        <v>0</v>
      </c>
      <c r="BX3">
        <v>0</v>
      </c>
      <c r="BY3">
        <v>0.99969699999999995</v>
      </c>
      <c r="BZ3">
        <v>0</v>
      </c>
      <c r="CA3">
        <v>3.0299999999999999E-4</v>
      </c>
      <c r="CB3">
        <f>MAX(Таблица23[[#This Row],[АприорИСК1]]:Таблица23[[#This Row],[АприорИСК5]])</f>
        <v>0.99969699999999995</v>
      </c>
      <c r="CC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3">
        <f>IF(Таблица23[[#This Row],[АприорИСК классификация]]=Таблица23[[#This Row],[обучающая выборка]],1,0)</f>
        <v>0</v>
      </c>
      <c r="CE3" s="35">
        <v>-1.4114058720699501</v>
      </c>
      <c r="CF3" s="35">
        <v>-1.2493204790025558</v>
      </c>
      <c r="CG3" s="35">
        <v>0.25490962718523219</v>
      </c>
      <c r="CH3" s="35">
        <v>3</v>
      </c>
      <c r="CI3" s="35">
        <v>3</v>
      </c>
      <c r="CJ3" s="36">
        <v>1</v>
      </c>
      <c r="CK3" s="35">
        <v>3</v>
      </c>
      <c r="CL3" s="36">
        <v>-1.411405872202111</v>
      </c>
      <c r="CM3" s="36">
        <v>-1.2493204788950361</v>
      </c>
      <c r="CN3" s="36">
        <v>-0.25490962704882753</v>
      </c>
    </row>
    <row r="4" spans="1:92" x14ac:dyDescent="0.25">
      <c r="A4" s="3" t="s">
        <v>17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SUMXMY2(Таблица23[[#This Row],[X1]:[X9]],Таблица23[[#Totals],[X1]:[X9]])</f>
        <v>4.6904455959238796</v>
      </c>
      <c r="P4" s="20"/>
      <c r="Q4" s="20" t="s">
        <v>189</v>
      </c>
      <c r="R4" s="20">
        <f>IF(VALUE(RIGHT(Таблица23[[#This Row],[функция]],1))=Таблица23[[#This Row],[обучающая выборка]],1,0)</f>
        <v>0</v>
      </c>
      <c r="S4" s="20">
        <f>IF(Таблица23[[#This Row],[обучающая выборка]]=Таблица23[[#This Row],[Result Lda]],1,0)</f>
        <v>0</v>
      </c>
      <c r="T4" s="20">
        <v>3</v>
      </c>
      <c r="U4" s="20" t="s">
        <v>187</v>
      </c>
      <c r="V4" s="20">
        <v>72.811000000000007</v>
      </c>
      <c r="W4" s="20">
        <v>1686.7270000000001</v>
      </c>
      <c r="X4" s="20">
        <v>50.006</v>
      </c>
      <c r="Y4" s="20">
        <v>82.316000000000003</v>
      </c>
      <c r="Z4" s="20">
        <v>48.933</v>
      </c>
      <c r="AA4" s="20">
        <f>MIN(Таблица23[[#This Row],[Махал1]:[Махал5]])</f>
        <v>48.933</v>
      </c>
      <c r="AB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4" s="20">
        <f>IF(Таблица23[[#This Row],[Махаланобис классификация]]=Таблица23[[#This Row],[обучающая выборка]],1,0)</f>
        <v>0</v>
      </c>
      <c r="AD4" s="21" t="s">
        <v>187</v>
      </c>
      <c r="AE4" s="22">
        <v>7.5556813775642265E-6</v>
      </c>
      <c r="AF4" s="22">
        <v>0</v>
      </c>
      <c r="AG4" s="22">
        <v>0.36894622856626963</v>
      </c>
      <c r="AH4" s="22">
        <v>2.9627248783758277E-8</v>
      </c>
      <c r="AI4" s="22">
        <v>0.6310461861251041</v>
      </c>
      <c r="AJ4">
        <f>MAX(Таблица23[[#This Row],[априор1]:[априор5]])</f>
        <v>0.6310461861251041</v>
      </c>
      <c r="AK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4">
        <f>IF(Таблица23[[#This Row],[обучающая выборка]]=Таблица23[[#This Row],[Априор Классификация]],1,0)</f>
        <v>0</v>
      </c>
      <c r="AM4" t="s">
        <v>189</v>
      </c>
      <c r="AN4">
        <f>IF(VALUE(RIGHT(Таблица23[[#This Row],[фнкция ДА ВКЛ]],1))=Таблица23[[#This Row],[обучающая выборка]],1,0)</f>
        <v>0</v>
      </c>
      <c r="AO4">
        <f>IF(Таблица23[[#This Row],[обучающая выборка]]=Таблица23[[#This Row],[Result forward]],1,0)</f>
        <v>0</v>
      </c>
      <c r="AP4">
        <v>5</v>
      </c>
      <c r="AQ4" t="s">
        <v>187</v>
      </c>
      <c r="AR4">
        <v>33.316000000000003</v>
      </c>
      <c r="AS4">
        <v>1208.2280000000001</v>
      </c>
      <c r="AT4">
        <v>31.504999999999999</v>
      </c>
      <c r="AU4">
        <v>63.561</v>
      </c>
      <c r="AV4">
        <v>5.944</v>
      </c>
      <c r="AW4">
        <f>MIN(Таблица23[[#This Row],[Махал1ВКЛ]:[Махал5ВКл]])</f>
        <v>5.944</v>
      </c>
      <c r="AX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4">
        <f>IF(Таблица23[[#This Row],[обучающая выборка]]=Таблица23[[#This Row],[МахаланобисКлассификацияВКЛ]],1,0)</f>
        <v>0</v>
      </c>
      <c r="AZ4" t="s">
        <v>187</v>
      </c>
      <c r="BA4">
        <v>1.9999999999999999E-6</v>
      </c>
      <c r="BB4">
        <v>0</v>
      </c>
      <c r="BC4">
        <v>3.0000000000000001E-6</v>
      </c>
      <c r="BD4">
        <v>0</v>
      </c>
      <c r="BE4">
        <v>0.99999499999999997</v>
      </c>
      <c r="BF4">
        <f>MAX(Таблица23[[#This Row],[АприорВКл1]:[АприорВКл5]])</f>
        <v>0.99999499999999997</v>
      </c>
      <c r="BG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4">
        <f>IF(Таблица23[[#This Row],[АприорВклКлассификация]]=Таблица23[[#This Row],[обучающая выборка]],1,0)</f>
        <v>0</v>
      </c>
      <c r="BI4" s="21" t="s">
        <v>189</v>
      </c>
      <c r="BJ4" s="21">
        <f>IF(VALUE(RIGHT(Таблица23[[#This Row],[Фунция ДА ИСК]]))=Таблица23[[#This Row],[обучающая выборка]],1,0)</f>
        <v>0</v>
      </c>
      <c r="BK4" s="21">
        <f>IF(Таблица23[[#This Row],[обучающая выборка]]=Таблица23[[#This Row],[Result backward]],1,0)</f>
        <v>0</v>
      </c>
      <c r="BL4" s="21">
        <v>5</v>
      </c>
      <c r="BM4" t="s">
        <v>187</v>
      </c>
      <c r="BN4">
        <v>33.316000000000003</v>
      </c>
      <c r="BO4">
        <v>1208.2280000000001</v>
      </c>
      <c r="BP4">
        <v>31.504999999999999</v>
      </c>
      <c r="BQ4">
        <v>63.561</v>
      </c>
      <c r="BR4">
        <v>5.944</v>
      </c>
      <c r="BS4">
        <f>MIN(Таблица23[[#This Row],[Махал1ИСК]:[Махал5ИСК]])</f>
        <v>5.944</v>
      </c>
      <c r="BT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4">
        <f>IF(Таблица23[[#This Row],[МАХАЛ ИСК Классификация]]=Таблица23[[#This Row],[обучающая выборка]],1,0)</f>
        <v>0</v>
      </c>
      <c r="BV4" t="s">
        <v>187</v>
      </c>
      <c r="BW4">
        <v>1.9999999999999999E-6</v>
      </c>
      <c r="BX4">
        <v>0</v>
      </c>
      <c r="BY4">
        <v>3.0000000000000001E-6</v>
      </c>
      <c r="BZ4">
        <v>0</v>
      </c>
      <c r="CA4">
        <v>0.99999499999999997</v>
      </c>
      <c r="CB4">
        <f>MAX(Таблица23[[#This Row],[АприорИСК1]]:Таблица23[[#This Row],[АприорИСК5]])</f>
        <v>0.99999499999999997</v>
      </c>
      <c r="CC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4">
        <f>IF(Таблица23[[#This Row],[АприорИСК классификация]]=Таблица23[[#This Row],[обучающая выборка]],1,0)</f>
        <v>0</v>
      </c>
      <c r="CE4" s="35">
        <v>-0.8552454272290092</v>
      </c>
      <c r="CF4" s="35">
        <v>0.16475424583626697</v>
      </c>
      <c r="CG4" s="35">
        <v>6.2972192774009506E-2</v>
      </c>
      <c r="CH4" s="35">
        <v>5</v>
      </c>
      <c r="CI4" s="35">
        <v>3</v>
      </c>
      <c r="CJ4" s="36">
        <v>1</v>
      </c>
      <c r="CK4" s="35">
        <v>3</v>
      </c>
      <c r="CL4" s="36">
        <v>-0.85524542739701226</v>
      </c>
      <c r="CM4" s="36">
        <v>0.1647542456204496</v>
      </c>
      <c r="CN4" s="36">
        <v>-6.2972192600724786E-2</v>
      </c>
    </row>
    <row r="5" spans="1:92" x14ac:dyDescent="0.25">
      <c r="A5" s="3" t="s">
        <v>18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SUMXMY2(Таблица23[[#This Row],[X1]:[X9]],Таблица23[[#Totals],[X1]:[X9]])</f>
        <v>2.2045060475669156</v>
      </c>
      <c r="P5" s="20">
        <v>1</v>
      </c>
      <c r="Q5" s="20" t="s">
        <v>186</v>
      </c>
      <c r="R5" s="20">
        <f>IF(VALUE(RIGHT(Таблица23[[#This Row],[функция]],1))=Таблица23[[#This Row],[обучающая выборка]],1,0)</f>
        <v>1</v>
      </c>
      <c r="S5" s="20">
        <f>IF(Таблица23[[#This Row],[обучающая выборка]]=Таблица23[[#This Row],[Result Lda]],1,0)</f>
        <v>1</v>
      </c>
      <c r="T5" s="20">
        <v>1</v>
      </c>
      <c r="U5" s="20" t="s">
        <v>186</v>
      </c>
      <c r="V5" s="20">
        <v>2.6080000000000001</v>
      </c>
      <c r="W5" s="20">
        <v>2106.9520000000002</v>
      </c>
      <c r="X5" s="20">
        <v>39.031999999999996</v>
      </c>
      <c r="Y5" s="20">
        <v>17.062999999999999</v>
      </c>
      <c r="Z5" s="20">
        <v>31.972999999999999</v>
      </c>
      <c r="AA5" s="20">
        <f>MIN(Таблица23[[#This Row],[Махал1]:[Махал5]])</f>
        <v>2.6080000000000001</v>
      </c>
      <c r="AB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" s="20">
        <f>IF(Таблица23[[#This Row],[Махаланобис классификация]]=Таблица23[[#This Row],[обучающая выборка]],1,0)</f>
        <v>1</v>
      </c>
      <c r="AD5" s="21" t="s">
        <v>186</v>
      </c>
      <c r="AE5" s="22">
        <v>0.99966973493635813</v>
      </c>
      <c r="AF5" s="22">
        <v>0</v>
      </c>
      <c r="AG5" s="22">
        <v>6.7170170052881015E-9</v>
      </c>
      <c r="AH5" s="22">
        <v>3.3002924298266244E-4</v>
      </c>
      <c r="AI5" s="22">
        <v>2.2910364229452125E-7</v>
      </c>
      <c r="AJ5">
        <f>MAX(Таблица23[[#This Row],[априор1]:[априор5]])</f>
        <v>0.99966973493635813</v>
      </c>
      <c r="AK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">
        <f>IF(Таблица23[[#This Row],[обучающая выборка]]=Таблица23[[#This Row],[Априор Классификация]],1,0)</f>
        <v>1</v>
      </c>
      <c r="AM5" t="s">
        <v>186</v>
      </c>
      <c r="AN5">
        <f>IF(VALUE(RIGHT(Таблица23[[#This Row],[фнкция ДА ВКЛ]],1))=Таблица23[[#This Row],[обучающая выборка]],1,0)</f>
        <v>1</v>
      </c>
      <c r="AO5">
        <f>IF(Таблица23[[#This Row],[обучающая выборка]]=Таблица23[[#This Row],[Result forward]],1,0)</f>
        <v>1</v>
      </c>
      <c r="AP5">
        <v>1</v>
      </c>
      <c r="AQ5" t="s">
        <v>186</v>
      </c>
      <c r="AR5">
        <v>2.0680000000000001</v>
      </c>
      <c r="AS5">
        <v>1425.124</v>
      </c>
      <c r="AT5">
        <v>32.956000000000003</v>
      </c>
      <c r="AU5">
        <v>6.4630000000000001</v>
      </c>
      <c r="AV5">
        <v>24.641999999999999</v>
      </c>
      <c r="AW5">
        <f>MIN(Таблица23[[#This Row],[Махал1ВКЛ]:[Махал5ВКл]])</f>
        <v>2.0680000000000001</v>
      </c>
      <c r="AX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">
        <f>IF(Таблица23[[#This Row],[обучающая выборка]]=Таблица23[[#This Row],[МахаланобисКлассификацияВКЛ]],1,0)</f>
        <v>1</v>
      </c>
      <c r="AZ5" t="s">
        <v>186</v>
      </c>
      <c r="BA5">
        <v>0.95192900000000003</v>
      </c>
      <c r="BB5">
        <v>0</v>
      </c>
      <c r="BC5">
        <v>0</v>
      </c>
      <c r="BD5">
        <v>4.8064000000000003E-2</v>
      </c>
      <c r="BE5">
        <v>6.9999999999999999E-6</v>
      </c>
      <c r="BF5">
        <f>MAX(Таблица23[[#This Row],[АприорВКл1]:[АприорВКл5]])</f>
        <v>0.95192900000000003</v>
      </c>
      <c r="BG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">
        <f>IF(Таблица23[[#This Row],[АприорВклКлассификация]]=Таблица23[[#This Row],[обучающая выборка]],1,0)</f>
        <v>1</v>
      </c>
      <c r="BI5" s="21" t="s">
        <v>186</v>
      </c>
      <c r="BJ5" s="21">
        <f>IF(VALUE(RIGHT(Таблица23[[#This Row],[Фунция ДА ИСК]]))=Таблица23[[#This Row],[обучающая выборка]],1,0)</f>
        <v>1</v>
      </c>
      <c r="BK5" s="21">
        <f>IF(Таблица23[[#This Row],[обучающая выборка]]=Таблица23[[#This Row],[Result backward]],1,0)</f>
        <v>1</v>
      </c>
      <c r="BL5" s="21">
        <v>1</v>
      </c>
      <c r="BM5" t="s">
        <v>186</v>
      </c>
      <c r="BN5">
        <v>2.0680000000000001</v>
      </c>
      <c r="BO5">
        <v>1425.124</v>
      </c>
      <c r="BP5">
        <v>32.956000000000003</v>
      </c>
      <c r="BQ5">
        <v>6.4630000000000001</v>
      </c>
      <c r="BR5">
        <v>24.641999999999999</v>
      </c>
      <c r="BS5">
        <f>MIN(Таблица23[[#This Row],[Махал1ИСК]:[Махал5ИСК]])</f>
        <v>2.0680000000000001</v>
      </c>
      <c r="BT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">
        <f>IF(Таблица23[[#This Row],[МАХАЛ ИСК Классификация]]=Таблица23[[#This Row],[обучающая выборка]],1,0)</f>
        <v>1</v>
      </c>
      <c r="BV5" t="s">
        <v>186</v>
      </c>
      <c r="BW5">
        <v>0.95192900000000003</v>
      </c>
      <c r="BX5">
        <v>0</v>
      </c>
      <c r="BY5">
        <v>0</v>
      </c>
      <c r="BZ5">
        <v>4.8064000000000003E-2</v>
      </c>
      <c r="CA5">
        <v>6.9999999999999999E-6</v>
      </c>
      <c r="CB5">
        <f>MAX(Таблица23[[#This Row],[АприорИСК1]]:Таблица23[[#This Row],[АприорИСК5]])</f>
        <v>0.95192900000000003</v>
      </c>
      <c r="CC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">
        <f>IF(Таблица23[[#This Row],[АприорИСК классификация]]=Таблица23[[#This Row],[обучающая выборка]],1,0)</f>
        <v>1</v>
      </c>
      <c r="CE5" s="35">
        <v>0.74429734346756371</v>
      </c>
      <c r="CF5" s="35">
        <v>-0.13192086711486234</v>
      </c>
      <c r="CG5" s="35">
        <v>0.17053097989580407</v>
      </c>
      <c r="CH5" s="35">
        <v>4</v>
      </c>
      <c r="CI5" s="35">
        <v>2</v>
      </c>
      <c r="CJ5" s="36">
        <v>3</v>
      </c>
      <c r="CK5" s="35">
        <v>1</v>
      </c>
      <c r="CL5" s="36">
        <v>0.74429734342106135</v>
      </c>
      <c r="CM5" s="36">
        <v>-0.1319208670953077</v>
      </c>
      <c r="CN5" s="36">
        <v>-0.1705309797823929</v>
      </c>
    </row>
    <row r="6" spans="1:92" x14ac:dyDescent="0.25">
      <c r="A6" s="3" t="s">
        <v>19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SUMXMY2(Таблица23[[#This Row],[X1]:[X9]],Таблица23[[#Totals],[X1]:[X9]])</f>
        <v>6.5658216998164649</v>
      </c>
      <c r="P6" s="20"/>
      <c r="Q6" s="20" t="s">
        <v>190</v>
      </c>
      <c r="R6" s="20">
        <f>IF(VALUE(RIGHT(Таблица23[[#This Row],[функция]],1))=Таблица23[[#This Row],[обучающая выборка]],1,0)</f>
        <v>0</v>
      </c>
      <c r="S6" s="20">
        <f>IF(Таблица23[[#This Row],[обучающая выборка]]=Таблица23[[#This Row],[Result Lda]],1,0)</f>
        <v>0</v>
      </c>
      <c r="T6" s="20">
        <v>4</v>
      </c>
      <c r="U6" s="20" t="s">
        <v>187</v>
      </c>
      <c r="V6" s="20">
        <v>39.94</v>
      </c>
      <c r="W6" s="20">
        <v>1831.7819999999999</v>
      </c>
      <c r="X6" s="20">
        <v>31.805</v>
      </c>
      <c r="Y6" s="20">
        <v>22.486000000000001</v>
      </c>
      <c r="Z6" s="20">
        <v>83.221999999999994</v>
      </c>
      <c r="AA6" s="20">
        <f>MIN(Таблица23[[#This Row],[Махал1]:[Махал5]])</f>
        <v>22.486000000000001</v>
      </c>
      <c r="AB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6" s="20">
        <f>IF(Таблица23[[#This Row],[Махаланобис классификация]]=Таблица23[[#This Row],[обучающая выборка]],1,0)</f>
        <v>0</v>
      </c>
      <c r="AD6" s="21" t="s">
        <v>187</v>
      </c>
      <c r="AE6" s="22">
        <v>3.5270849101001468E-4</v>
      </c>
      <c r="AF6" s="22">
        <v>0</v>
      </c>
      <c r="AG6" s="22">
        <v>1.1235551632837043E-2</v>
      </c>
      <c r="AH6" s="22">
        <v>0.98841173987607611</v>
      </c>
      <c r="AI6" s="22">
        <v>7.6847252039710549E-14</v>
      </c>
      <c r="AJ6">
        <f>MAX(Таблица23[[#This Row],[априор1]:[априор5]])</f>
        <v>0.98841173987607611</v>
      </c>
      <c r="AK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6">
        <f>IF(Таблица23[[#This Row],[обучающая выборка]]=Таблица23[[#This Row],[Априор Классификация]],1,0)</f>
        <v>0</v>
      </c>
      <c r="AM6" t="s">
        <v>186</v>
      </c>
      <c r="AN6">
        <f>IF(VALUE(RIGHT(Таблица23[[#This Row],[фнкция ДА ВКЛ]],1))=Таблица23[[#This Row],[обучающая выборка]],1,0)</f>
        <v>0</v>
      </c>
      <c r="AO6">
        <f>IF(Таблица23[[#This Row],[обучающая выборка]]=Таблица23[[#This Row],[Result forward]],1,0)</f>
        <v>0</v>
      </c>
      <c r="AP6">
        <v>1</v>
      </c>
      <c r="AQ6" t="s">
        <v>187</v>
      </c>
      <c r="AR6">
        <v>17.077000000000002</v>
      </c>
      <c r="AS6">
        <v>1326.963</v>
      </c>
      <c r="AT6">
        <v>21.477</v>
      </c>
      <c r="AU6">
        <v>17.937999999999999</v>
      </c>
      <c r="AV6">
        <v>44.564999999999998</v>
      </c>
      <c r="AW6">
        <f>MIN(Таблица23[[#This Row],[Махал1ВКЛ]:[Махал5ВКл]])</f>
        <v>17.077000000000002</v>
      </c>
      <c r="AX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">
        <f>IF(Таблица23[[#This Row],[обучающая выборка]]=Таблица23[[#This Row],[МахаланобисКлассификацияВКЛ]],1,0)</f>
        <v>0</v>
      </c>
      <c r="AZ6" t="s">
        <v>187</v>
      </c>
      <c r="BA6">
        <v>0.73750700000000002</v>
      </c>
      <c r="BB6">
        <v>0</v>
      </c>
      <c r="BC6">
        <v>4.4556999999999999E-2</v>
      </c>
      <c r="BD6">
        <v>0.21793499999999999</v>
      </c>
      <c r="BE6">
        <v>0</v>
      </c>
      <c r="BF6">
        <f>MAX(Таблица23[[#This Row],[АприорВКл1]:[АприорВКл5]])</f>
        <v>0.73750700000000002</v>
      </c>
      <c r="BG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">
        <f>IF(Таблица23[[#This Row],[АприорВклКлассификация]]=Таблица23[[#This Row],[обучающая выборка]],1,0)</f>
        <v>0</v>
      </c>
      <c r="BI6" s="21" t="s">
        <v>186</v>
      </c>
      <c r="BJ6" s="21">
        <f>IF(VALUE(RIGHT(Таблица23[[#This Row],[Фунция ДА ИСК]]))=Таблица23[[#This Row],[обучающая выборка]],1,0)</f>
        <v>0</v>
      </c>
      <c r="BK6" s="21">
        <f>IF(Таблица23[[#This Row],[обучающая выборка]]=Таблица23[[#This Row],[Result backward]],1,0)</f>
        <v>0</v>
      </c>
      <c r="BL6" s="21">
        <v>1</v>
      </c>
      <c r="BM6" t="s">
        <v>187</v>
      </c>
      <c r="BN6">
        <v>17.077000000000002</v>
      </c>
      <c r="BO6">
        <v>1326.963</v>
      </c>
      <c r="BP6">
        <v>21.477</v>
      </c>
      <c r="BQ6">
        <v>17.937999999999999</v>
      </c>
      <c r="BR6">
        <v>44.564999999999998</v>
      </c>
      <c r="BS6">
        <f>MIN(Таблица23[[#This Row],[Махал1ИСК]:[Махал5ИСК]])</f>
        <v>17.077000000000002</v>
      </c>
      <c r="BT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">
        <f>IF(Таблица23[[#This Row],[МАХАЛ ИСК Классификация]]=Таблица23[[#This Row],[обучающая выборка]],1,0)</f>
        <v>0</v>
      </c>
      <c r="BV6" t="s">
        <v>187</v>
      </c>
      <c r="BW6">
        <v>0.73750700000000002</v>
      </c>
      <c r="BX6">
        <v>0</v>
      </c>
      <c r="BY6">
        <v>4.4556999999999999E-2</v>
      </c>
      <c r="BZ6">
        <v>0.21793499999999999</v>
      </c>
      <c r="CA6">
        <v>0</v>
      </c>
      <c r="CB6">
        <f>MAX(Таблица23[[#This Row],[АприорИСК1]]:Таблица23[[#This Row],[АприорИСК5]])</f>
        <v>0.73750700000000002</v>
      </c>
      <c r="CC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">
        <f>IF(Таблица23[[#This Row],[АприорИСК классификация]]=Таблица23[[#This Row],[обучающая выборка]],1,0)</f>
        <v>0</v>
      </c>
      <c r="CE6" s="35">
        <v>0.55135941082757312</v>
      </c>
      <c r="CF6" s="35">
        <v>6.5124851736002243E-2</v>
      </c>
      <c r="CG6" s="35">
        <v>1.3046540562803774</v>
      </c>
      <c r="CH6" s="35">
        <v>4</v>
      </c>
      <c r="CI6" s="35">
        <v>2</v>
      </c>
      <c r="CJ6" s="36">
        <v>3</v>
      </c>
      <c r="CK6" s="35">
        <v>1</v>
      </c>
      <c r="CL6" s="36">
        <v>0.55135941074420869</v>
      </c>
      <c r="CM6" s="36">
        <v>6.5124851540343504E-2</v>
      </c>
      <c r="CN6" s="36">
        <v>-1.304654056210881</v>
      </c>
    </row>
    <row r="7" spans="1:92" x14ac:dyDescent="0.25">
      <c r="A7" s="3" t="s">
        <v>20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SUMXMY2(Таблица23[[#This Row],[X1]:[X9]],Таблица23[[#Totals],[X1]:[X9]])</f>
        <v>5.7380958792916532</v>
      </c>
      <c r="P7" s="20"/>
      <c r="Q7" s="20" t="s">
        <v>186</v>
      </c>
      <c r="R7" s="20">
        <f>IF(VALUE(RIGHT(Таблица23[[#This Row],[функция]],1))=Таблица23[[#This Row],[обучающая выборка]],1,0)</f>
        <v>0</v>
      </c>
      <c r="S7" s="20">
        <f>IF(Таблица23[[#This Row],[обучающая выборка]]=Таблица23[[#This Row],[Result Lda]],1,0)</f>
        <v>0</v>
      </c>
      <c r="T7" s="20">
        <v>1</v>
      </c>
      <c r="U7" s="20" t="s">
        <v>187</v>
      </c>
      <c r="V7" s="20">
        <v>27.71</v>
      </c>
      <c r="W7" s="20">
        <v>2082.009</v>
      </c>
      <c r="X7" s="20">
        <v>31.501999999999999</v>
      </c>
      <c r="Y7" s="20">
        <v>44.572000000000003</v>
      </c>
      <c r="Z7" s="20">
        <v>59.082999999999998</v>
      </c>
      <c r="AA7" s="20">
        <f>MIN(Таблица23[[#This Row],[Махал1]:[Махал5]])</f>
        <v>27.71</v>
      </c>
      <c r="AB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7" s="20">
        <f>IF(Таблица23[[#This Row],[Махаланобис классификация]]=Таблица23[[#This Row],[обучающая выборка]],1,0)</f>
        <v>0</v>
      </c>
      <c r="AD7" s="21" t="s">
        <v>187</v>
      </c>
      <c r="AE7" s="22">
        <v>0.9242026201472674</v>
      </c>
      <c r="AF7" s="22">
        <v>0</v>
      </c>
      <c r="AG7" s="22">
        <v>7.5705728796415808E-2</v>
      </c>
      <c r="AH7" s="22">
        <v>9.1573451667256533E-5</v>
      </c>
      <c r="AI7" s="22">
        <v>7.7604649412960428E-8</v>
      </c>
      <c r="AJ7">
        <f>MAX(Таблица23[[#This Row],[априор1]:[априор5]])</f>
        <v>0.9242026201472674</v>
      </c>
      <c r="AK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7">
        <f>IF(Таблица23[[#This Row],[обучающая выборка]]=Таблица23[[#This Row],[Априор Классификация]],1,0)</f>
        <v>0</v>
      </c>
      <c r="AM7" t="s">
        <v>188</v>
      </c>
      <c r="AN7">
        <f>IF(VALUE(RIGHT(Таблица23[[#This Row],[фнкция ДА ВКЛ]],1))=Таблица23[[#This Row],[обучающая выборка]],1,0)</f>
        <v>0</v>
      </c>
      <c r="AO7">
        <f>IF(Таблица23[[#This Row],[обучающая выборка]]=Таблица23[[#This Row],[Result forward]],1,0)</f>
        <v>0</v>
      </c>
      <c r="AP7">
        <v>3</v>
      </c>
      <c r="AQ7" t="s">
        <v>187</v>
      </c>
      <c r="AR7">
        <v>11.603</v>
      </c>
      <c r="AS7">
        <v>1392.7329999999999</v>
      </c>
      <c r="AT7">
        <v>4.7640000000000002</v>
      </c>
      <c r="AU7">
        <v>29.536000000000001</v>
      </c>
      <c r="AV7">
        <v>12.867000000000001</v>
      </c>
      <c r="AW7">
        <f>MIN(Таблица23[[#This Row],[Махал1ВКЛ]:[Махал5ВКл]])</f>
        <v>4.7640000000000002</v>
      </c>
      <c r="AX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">
        <f>IF(Таблица23[[#This Row],[обучающая выборка]]=Таблица23[[#This Row],[МахаланобисКлассификацияВКЛ]],1,0)</f>
        <v>0</v>
      </c>
      <c r="AZ7" t="s">
        <v>187</v>
      </c>
      <c r="BA7">
        <v>5.5687E-2</v>
      </c>
      <c r="BB7">
        <v>0</v>
      </c>
      <c r="BC7">
        <v>0.92816500000000002</v>
      </c>
      <c r="BD7">
        <v>3.0000000000000001E-6</v>
      </c>
      <c r="BE7">
        <v>1.6145E-2</v>
      </c>
      <c r="BF7">
        <f>MAX(Таблица23[[#This Row],[АприорВКл1]:[АприорВКл5]])</f>
        <v>0.92816500000000002</v>
      </c>
      <c r="BG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">
        <f>IF(Таблица23[[#This Row],[АприорВклКлассификация]]=Таблица23[[#This Row],[обучающая выборка]],1,0)</f>
        <v>0</v>
      </c>
      <c r="BI7" s="21" t="s">
        <v>188</v>
      </c>
      <c r="BJ7" s="21">
        <f>IF(VALUE(RIGHT(Таблица23[[#This Row],[Фунция ДА ИСК]]))=Таблица23[[#This Row],[обучающая выборка]],1,0)</f>
        <v>0</v>
      </c>
      <c r="BK7" s="21">
        <f>IF(Таблица23[[#This Row],[обучающая выборка]]=Таблица23[[#This Row],[Result backward]],1,0)</f>
        <v>0</v>
      </c>
      <c r="BL7" s="21">
        <v>3</v>
      </c>
      <c r="BM7" t="s">
        <v>187</v>
      </c>
      <c r="BN7">
        <v>11.603</v>
      </c>
      <c r="BO7">
        <v>1392.7329999999999</v>
      </c>
      <c r="BP7">
        <v>4.7640000000000002</v>
      </c>
      <c r="BQ7">
        <v>29.536000000000001</v>
      </c>
      <c r="BR7">
        <v>12.867000000000001</v>
      </c>
      <c r="BS7">
        <f>MIN(Таблица23[[#This Row],[Махал1ИСК]:[Махал5ИСК]])</f>
        <v>4.7640000000000002</v>
      </c>
      <c r="BT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">
        <f>IF(Таблица23[[#This Row],[МАХАЛ ИСК Классификация]]=Таблица23[[#This Row],[обучающая выборка]],1,0)</f>
        <v>0</v>
      </c>
      <c r="BV7" t="s">
        <v>187</v>
      </c>
      <c r="BW7">
        <v>5.5687E-2</v>
      </c>
      <c r="BX7">
        <v>0</v>
      </c>
      <c r="BY7">
        <v>0.92816500000000002</v>
      </c>
      <c r="BZ7">
        <v>3.0000000000000001E-6</v>
      </c>
      <c r="CA7">
        <v>1.6145E-2</v>
      </c>
      <c r="CB7">
        <f>MAX(Таблица23[[#This Row],[АприорИСК1]]:Таблица23[[#This Row],[АприорИСК5]])</f>
        <v>0.92816500000000002</v>
      </c>
      <c r="CC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">
        <f>IF(Таблица23[[#This Row],[АприорИСК классификация]]=Таблица23[[#This Row],[обучающая выборка]],1,0)</f>
        <v>0</v>
      </c>
      <c r="CE7" s="35">
        <v>0.17584662136898591</v>
      </c>
      <c r="CF7" s="35">
        <v>0.25370415592097911</v>
      </c>
      <c r="CG7" s="35">
        <v>-1.5124273436143738</v>
      </c>
      <c r="CH7" s="35">
        <v>2</v>
      </c>
      <c r="CI7" s="35">
        <v>5</v>
      </c>
      <c r="CJ7" s="36">
        <v>4</v>
      </c>
      <c r="CK7" s="35">
        <v>2</v>
      </c>
      <c r="CL7" s="36">
        <v>0.17584662118315841</v>
      </c>
      <c r="CM7" s="36">
        <v>0.25370415558575399</v>
      </c>
      <c r="CN7" s="36">
        <v>1.512427343244912</v>
      </c>
    </row>
    <row r="8" spans="1:92" x14ac:dyDescent="0.25">
      <c r="A8" s="3" t="s">
        <v>21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SUMXMY2(Таблица23[[#This Row],[X1]:[X9]],Таблица23[[#Totals],[X1]:[X9]])</f>
        <v>5.1448713876240886</v>
      </c>
      <c r="P8" s="20"/>
      <c r="Q8" s="20" t="s">
        <v>189</v>
      </c>
      <c r="R8" s="20">
        <f>IF(VALUE(RIGHT(Таблица23[[#This Row],[функция]],1))=Таблица23[[#This Row],[обучающая выборка]],1,0)</f>
        <v>0</v>
      </c>
      <c r="S8" s="20">
        <f>IF(Таблица23[[#This Row],[обучающая выборка]]=Таблица23[[#This Row],[Result Lda]],1,0)</f>
        <v>0</v>
      </c>
      <c r="T8" s="20">
        <v>5</v>
      </c>
      <c r="U8" s="20" t="s">
        <v>187</v>
      </c>
      <c r="V8" s="20">
        <v>49.106000000000002</v>
      </c>
      <c r="W8" s="20">
        <v>2111.9960000000001</v>
      </c>
      <c r="X8" s="20">
        <v>56.119</v>
      </c>
      <c r="Y8" s="20">
        <v>102.139</v>
      </c>
      <c r="Z8" s="20">
        <v>20.965</v>
      </c>
      <c r="AA8" s="20">
        <f>MIN(Таблица23[[#This Row],[Махал1]:[Махал5]])</f>
        <v>20.965</v>
      </c>
      <c r="AB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8" s="20">
        <f>IF(Таблица23[[#This Row],[Махаланобис классификация]]=Таблица23[[#This Row],[обучающая выборка]],1,0)</f>
        <v>0</v>
      </c>
      <c r="AD8" s="21" t="s">
        <v>187</v>
      </c>
      <c r="AE8" s="22">
        <v>1.4205789384235318E-6</v>
      </c>
      <c r="AF8" s="22">
        <v>0</v>
      </c>
      <c r="AG8" s="22">
        <v>2.324777006980252E-8</v>
      </c>
      <c r="AH8" s="22">
        <v>1.9684547813000826E-18</v>
      </c>
      <c r="AI8" s="22">
        <v>0.99999855617329148</v>
      </c>
      <c r="AJ8">
        <f>MAX(Таблица23[[#This Row],[априор1]:[априор5]])</f>
        <v>0.99999855617329148</v>
      </c>
      <c r="AK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8">
        <f>IF(Таблица23[[#This Row],[обучающая выборка]]=Таблица23[[#This Row],[Априор Классификация]],1,0)</f>
        <v>0</v>
      </c>
      <c r="AM8" t="s">
        <v>189</v>
      </c>
      <c r="AN8">
        <f>IF(VALUE(RIGHT(Таблица23[[#This Row],[фнкция ДА ВКЛ]],1))=Таблица23[[#This Row],[обучающая выборка]],1,0)</f>
        <v>0</v>
      </c>
      <c r="AO8">
        <f>IF(Таблица23[[#This Row],[обучающая выборка]]=Таблица23[[#This Row],[Result forward]],1,0)</f>
        <v>0</v>
      </c>
      <c r="AP8">
        <v>5</v>
      </c>
      <c r="AQ8" t="s">
        <v>187</v>
      </c>
      <c r="AR8">
        <v>18.442</v>
      </c>
      <c r="AS8">
        <v>1430.7909999999999</v>
      </c>
      <c r="AT8">
        <v>10.138999999999999</v>
      </c>
      <c r="AU8">
        <v>45.557000000000002</v>
      </c>
      <c r="AV8">
        <v>6.6790000000000003</v>
      </c>
      <c r="AW8">
        <f>MIN(Таблица23[[#This Row],[Махал1ВКЛ]:[Махал5ВКл]])</f>
        <v>6.6790000000000003</v>
      </c>
      <c r="AX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8">
        <f>IF(Таблица23[[#This Row],[обучающая выборка]]=Таблица23[[#This Row],[МахаланобисКлассификацияВКЛ]],1,0)</f>
        <v>0</v>
      </c>
      <c r="AZ8" t="s">
        <v>187</v>
      </c>
      <c r="BA8">
        <v>4.3280000000000002E-3</v>
      </c>
      <c r="BB8">
        <v>0</v>
      </c>
      <c r="BC8">
        <v>0.14993600000000001</v>
      </c>
      <c r="BD8">
        <v>0</v>
      </c>
      <c r="BE8">
        <v>0.84573699999999996</v>
      </c>
      <c r="BF8">
        <f>MAX(Таблица23[[#This Row],[АприорВКл1]:[АприорВКл5]])</f>
        <v>0.84573699999999996</v>
      </c>
      <c r="BG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8">
        <f>IF(Таблица23[[#This Row],[АприорВклКлассификация]]=Таблица23[[#This Row],[обучающая выборка]],1,0)</f>
        <v>0</v>
      </c>
      <c r="BI8" s="21" t="s">
        <v>189</v>
      </c>
      <c r="BJ8" s="21">
        <f>IF(VALUE(RIGHT(Таблица23[[#This Row],[Фунция ДА ИСК]]))=Таблица23[[#This Row],[обучающая выборка]],1,0)</f>
        <v>0</v>
      </c>
      <c r="BK8" s="21">
        <f>IF(Таблица23[[#This Row],[обучающая выборка]]=Таблица23[[#This Row],[Result backward]],1,0)</f>
        <v>0</v>
      </c>
      <c r="BL8" s="21">
        <v>5</v>
      </c>
      <c r="BM8" t="s">
        <v>187</v>
      </c>
      <c r="BN8">
        <v>18.442</v>
      </c>
      <c r="BO8">
        <v>1430.7909999999999</v>
      </c>
      <c r="BP8">
        <v>10.138999999999999</v>
      </c>
      <c r="BQ8">
        <v>45.557000000000002</v>
      </c>
      <c r="BR8">
        <v>6.6790000000000003</v>
      </c>
      <c r="BS8">
        <f>MIN(Таблица23[[#This Row],[Махал1ИСК]:[Махал5ИСК]])</f>
        <v>6.6790000000000003</v>
      </c>
      <c r="BT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8">
        <f>IF(Таблица23[[#This Row],[МАХАЛ ИСК Классификация]]=Таблица23[[#This Row],[обучающая выборка]],1,0)</f>
        <v>0</v>
      </c>
      <c r="BV8" t="s">
        <v>187</v>
      </c>
      <c r="BW8">
        <v>4.3280000000000002E-3</v>
      </c>
      <c r="BX8">
        <v>0</v>
      </c>
      <c r="BY8">
        <v>0.14993600000000001</v>
      </c>
      <c r="BZ8">
        <v>0</v>
      </c>
      <c r="CA8">
        <v>0.84573699999999996</v>
      </c>
      <c r="CB8">
        <f>MAX(Таблица23[[#This Row],[АприорИСК1]]:Таблица23[[#This Row],[АприорИСК5]])</f>
        <v>0.84573699999999996</v>
      </c>
      <c r="CC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8">
        <f>IF(Таблица23[[#This Row],[АприорИСК классификация]]=Таблица23[[#This Row],[обучающая выборка]],1,0)</f>
        <v>0</v>
      </c>
      <c r="CE8" s="35">
        <v>-0.3613091895056123</v>
      </c>
      <c r="CF8" s="35">
        <v>-1.0502625970543691</v>
      </c>
      <c r="CG8" s="35">
        <v>-0.92817035554137117</v>
      </c>
      <c r="CH8" s="35">
        <v>2</v>
      </c>
      <c r="CI8" s="35">
        <v>3</v>
      </c>
      <c r="CJ8" s="36">
        <v>4</v>
      </c>
      <c r="CK8" s="35">
        <v>3</v>
      </c>
      <c r="CL8" s="36">
        <v>-0.36130918959914282</v>
      </c>
      <c r="CM8" s="36">
        <v>-1.0502625969416279</v>
      </c>
      <c r="CN8" s="36">
        <v>0.92817035537099168</v>
      </c>
    </row>
    <row r="9" spans="1:92" x14ac:dyDescent="0.25">
      <c r="A9" s="3" t="s">
        <v>22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SUMXMY2(Таблица23[[#This Row],[X1]:[X9]],Таблица23[[#Totals],[X1]:[X9]])</f>
        <v>1.7703757037394579</v>
      </c>
      <c r="P9" s="20">
        <v>1</v>
      </c>
      <c r="Q9" s="20" t="s">
        <v>186</v>
      </c>
      <c r="R9" s="20">
        <f>IF(VALUE(RIGHT(Таблица23[[#This Row],[функция]],1))=Таблица23[[#This Row],[обучающая выборка]],1,0)</f>
        <v>1</v>
      </c>
      <c r="S9" s="20">
        <f>IF(Таблица23[[#This Row],[обучающая выборка]]=Таблица23[[#This Row],[Result Lda]],1,0)</f>
        <v>1</v>
      </c>
      <c r="T9" s="20">
        <v>1</v>
      </c>
      <c r="U9" s="20" t="s">
        <v>186</v>
      </c>
      <c r="V9" s="20">
        <v>3.0529999999999999</v>
      </c>
      <c r="W9" s="20">
        <v>2109.7040000000002</v>
      </c>
      <c r="X9" s="20">
        <v>22.75</v>
      </c>
      <c r="Y9" s="20">
        <v>12.742000000000001</v>
      </c>
      <c r="Z9" s="20">
        <v>32.729999999999997</v>
      </c>
      <c r="AA9" s="20">
        <f>MIN(Таблица23[[#This Row],[Махал1]:[Махал5]])</f>
        <v>3.0529999999999999</v>
      </c>
      <c r="AB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9" s="20">
        <f>IF(Таблица23[[#This Row],[Махаланобис классификация]]=Таблица23[[#This Row],[обучающая выборка]],1,0)</f>
        <v>1</v>
      </c>
      <c r="AD9" s="21" t="s">
        <v>186</v>
      </c>
      <c r="AE9" s="22">
        <v>0.99640584381461006</v>
      </c>
      <c r="AF9" s="22">
        <v>0</v>
      </c>
      <c r="AG9" s="22">
        <v>2.8712498758689059E-5</v>
      </c>
      <c r="AH9" s="22">
        <v>3.5652483590174859E-3</v>
      </c>
      <c r="AI9" s="22">
        <v>1.9532761390733096E-7</v>
      </c>
      <c r="AJ9">
        <f>MAX(Таблица23[[#This Row],[априор1]:[априор5]])</f>
        <v>0.99640584381461006</v>
      </c>
      <c r="AK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9">
        <f>IF(Таблица23[[#This Row],[обучающая выборка]]=Таблица23[[#This Row],[Априор Классификация]],1,0)</f>
        <v>1</v>
      </c>
      <c r="AM9" t="s">
        <v>186</v>
      </c>
      <c r="AN9">
        <f>IF(VALUE(RIGHT(Таблица23[[#This Row],[фнкция ДА ВКЛ]],1))=Таблица23[[#This Row],[обучающая выборка]],1,0)</f>
        <v>1</v>
      </c>
      <c r="AO9">
        <f>IF(Таблица23[[#This Row],[обучающая выборка]]=Таблица23[[#This Row],[Result forward]],1,0)</f>
        <v>1</v>
      </c>
      <c r="AP9">
        <v>1</v>
      </c>
      <c r="AQ9" t="s">
        <v>186</v>
      </c>
      <c r="AR9">
        <v>2.5710000000000002</v>
      </c>
      <c r="AS9">
        <v>1445.8430000000001</v>
      </c>
      <c r="AT9">
        <v>18.783000000000001</v>
      </c>
      <c r="AU9">
        <v>7.0039999999999996</v>
      </c>
      <c r="AV9">
        <v>20.744</v>
      </c>
      <c r="AW9">
        <f>MIN(Таблица23[[#This Row],[Махал1ВКЛ]:[Махал5ВКл]])</f>
        <v>2.5710000000000002</v>
      </c>
      <c r="AX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9">
        <f>IF(Таблица23[[#This Row],[обучающая выборка]]=Таблица23[[#This Row],[МахаланобисКлассификацияВКЛ]],1,0)</f>
        <v>1</v>
      </c>
      <c r="AZ9" t="s">
        <v>186</v>
      </c>
      <c r="BA9">
        <v>0.95260199999999995</v>
      </c>
      <c r="BB9">
        <v>0</v>
      </c>
      <c r="BC9">
        <v>1.5699999999999999E-4</v>
      </c>
      <c r="BD9">
        <v>4.7183000000000003E-2</v>
      </c>
      <c r="BE9">
        <v>5.8999999999999998E-5</v>
      </c>
      <c r="BF9">
        <f>MAX(Таблица23[[#This Row],[АприорВКл1]:[АприорВКл5]])</f>
        <v>0.95260199999999995</v>
      </c>
      <c r="BG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9">
        <f>IF(Таблица23[[#This Row],[АприорВклКлассификация]]=Таблица23[[#This Row],[обучающая выборка]],1,0)</f>
        <v>1</v>
      </c>
      <c r="BI9" s="21" t="s">
        <v>186</v>
      </c>
      <c r="BJ9" s="21">
        <f>IF(VALUE(RIGHT(Таблица23[[#This Row],[Фунция ДА ИСК]]))=Таблица23[[#This Row],[обучающая выборка]],1,0)</f>
        <v>1</v>
      </c>
      <c r="BK9" s="21">
        <f>IF(Таблица23[[#This Row],[обучающая выборка]]=Таблица23[[#This Row],[Result backward]],1,0)</f>
        <v>1</v>
      </c>
      <c r="BL9" s="21">
        <v>1</v>
      </c>
      <c r="BM9" t="s">
        <v>186</v>
      </c>
      <c r="BN9">
        <v>2.5710000000000002</v>
      </c>
      <c r="BO9">
        <v>1445.8430000000001</v>
      </c>
      <c r="BP9">
        <v>18.783000000000001</v>
      </c>
      <c r="BQ9">
        <v>7.0039999999999996</v>
      </c>
      <c r="BR9">
        <v>20.744</v>
      </c>
      <c r="BS9">
        <f>MIN(Таблица23[[#This Row],[Махал1ИСК]:[Махал5ИСК]])</f>
        <v>2.5710000000000002</v>
      </c>
      <c r="BT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9">
        <f>IF(Таблица23[[#This Row],[МАХАЛ ИСК Классификация]]=Таблица23[[#This Row],[обучающая выборка]],1,0)</f>
        <v>1</v>
      </c>
      <c r="BV9" t="s">
        <v>186</v>
      </c>
      <c r="BW9">
        <v>0.95260199999999995</v>
      </c>
      <c r="BX9">
        <v>0</v>
      </c>
      <c r="BY9">
        <v>1.5699999999999999E-4</v>
      </c>
      <c r="BZ9">
        <v>4.7183000000000003E-2</v>
      </c>
      <c r="CA9">
        <v>5.8999999999999998E-5</v>
      </c>
      <c r="CB9">
        <f>MAX(Таблица23[[#This Row],[АприорИСК1]]:Таблица23[[#This Row],[АприорИСК5]])</f>
        <v>0.95260199999999995</v>
      </c>
      <c r="CC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9">
        <f>IF(Таблица23[[#This Row],[АприорИСК классификация]]=Таблица23[[#This Row],[обучающая выборка]],1,0)</f>
        <v>1</v>
      </c>
      <c r="CE9" s="35">
        <v>0.66407784375104573</v>
      </c>
      <c r="CF9" s="35">
        <v>-8.7311588568459289E-2</v>
      </c>
      <c r="CG9" s="35">
        <v>-7.6054853277045989E-2</v>
      </c>
      <c r="CH9" s="35">
        <v>4</v>
      </c>
      <c r="CI9" s="35">
        <v>2</v>
      </c>
      <c r="CJ9" s="36">
        <v>3</v>
      </c>
      <c r="CK9" s="35">
        <v>1</v>
      </c>
      <c r="CL9" s="36">
        <v>0.66407784369232459</v>
      </c>
      <c r="CM9" s="36">
        <v>-8.7311588614241695E-2</v>
      </c>
      <c r="CN9" s="36">
        <v>7.6054853329541483E-2</v>
      </c>
    </row>
    <row r="10" spans="1:92" x14ac:dyDescent="0.25">
      <c r="A10" s="3" t="s">
        <v>23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SUMXMY2(Таблица23[[#This Row],[X1]:[X9]],Таблица23[[#Totals],[X1]:[X9]])</f>
        <v>4.1559908948085287</v>
      </c>
      <c r="P10" s="20">
        <v>5</v>
      </c>
      <c r="Q10" s="20" t="s">
        <v>189</v>
      </c>
      <c r="R10" s="20">
        <f>IF(VALUE(RIGHT(Таблица23[[#This Row],[функция]],1))=Таблица23[[#This Row],[обучающая выборка]],1,0)</f>
        <v>1</v>
      </c>
      <c r="S10" s="20">
        <f>IF(Таблица23[[#This Row],[обучающая выборка]]=Таблица23[[#This Row],[Result Lda]],1,0)</f>
        <v>1</v>
      </c>
      <c r="T10" s="20">
        <v>5</v>
      </c>
      <c r="U10" s="20" t="s">
        <v>189</v>
      </c>
      <c r="V10" s="20">
        <v>41.188000000000002</v>
      </c>
      <c r="W10" s="20">
        <v>2070.54</v>
      </c>
      <c r="X10" s="20">
        <v>61.046999999999997</v>
      </c>
      <c r="Y10" s="20">
        <v>84.944000000000003</v>
      </c>
      <c r="Z10" s="20">
        <v>5.7069999999999999</v>
      </c>
      <c r="AA10" s="20">
        <f>MIN(Таблица23[[#This Row],[Махал1]:[Махал5]])</f>
        <v>5.7069999999999999</v>
      </c>
      <c r="AB1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10" s="20">
        <f>IF(Таблица23[[#This Row],[Махаланобис классификация]]=Таблица23[[#This Row],[обучающая выборка]],1,0)</f>
        <v>1</v>
      </c>
      <c r="AD10" s="21" t="s">
        <v>189</v>
      </c>
      <c r="AE10" s="22">
        <v>3.6204118957567143E-8</v>
      </c>
      <c r="AF10" s="22">
        <v>0</v>
      </c>
      <c r="AG10" s="22">
        <v>9.6186208368774256E-13</v>
      </c>
      <c r="AH10" s="22">
        <v>5.1870332601023004E-18</v>
      </c>
      <c r="AI10" s="22">
        <v>0.99999996379491918</v>
      </c>
      <c r="AJ10">
        <f>MAX(Таблица23[[#This Row],[априор1]:[априор5]])</f>
        <v>0.99999996379491918</v>
      </c>
      <c r="AK1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10">
        <f>IF(Таблица23[[#This Row],[обучающая выборка]]=Таблица23[[#This Row],[Априор Классификация]],1,0)</f>
        <v>1</v>
      </c>
      <c r="AM10" t="s">
        <v>189</v>
      </c>
      <c r="AN10">
        <f>IF(VALUE(RIGHT(Таблица23[[#This Row],[фнкция ДА ВКЛ]],1))=Таблица23[[#This Row],[обучающая выборка]],1,0)</f>
        <v>1</v>
      </c>
      <c r="AO10">
        <f>IF(Таблица23[[#This Row],[обучающая выборка]]=Таблица23[[#This Row],[Result forward]],1,0)</f>
        <v>1</v>
      </c>
      <c r="AP10">
        <v>5</v>
      </c>
      <c r="AQ10" t="s">
        <v>189</v>
      </c>
      <c r="AR10">
        <v>28.157</v>
      </c>
      <c r="AS10">
        <v>1442.0239999999999</v>
      </c>
      <c r="AT10">
        <v>43.402000000000001</v>
      </c>
      <c r="AU10">
        <v>57.593000000000004</v>
      </c>
      <c r="AV10">
        <v>3.907</v>
      </c>
      <c r="AW10">
        <f>MIN(Таблица23[[#This Row],[Махал1ВКЛ]:[Махал5ВКл]])</f>
        <v>3.907</v>
      </c>
      <c r="AX1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10">
        <f>IF(Таблица23[[#This Row],[обучающая выборка]]=Таблица23[[#This Row],[МахаланобисКлассификацияВКЛ]],1,0)</f>
        <v>1</v>
      </c>
      <c r="AZ10" t="s">
        <v>189</v>
      </c>
      <c r="BA10">
        <v>1.0000000000000001E-5</v>
      </c>
      <c r="BB10">
        <v>0</v>
      </c>
      <c r="BC10">
        <v>0</v>
      </c>
      <c r="BD10">
        <v>0</v>
      </c>
      <c r="BE10">
        <v>0.99999000000000005</v>
      </c>
      <c r="BF10">
        <f>MAX(Таблица23[[#This Row],[АприорВКл1]:[АприорВКл5]])</f>
        <v>0.99999000000000005</v>
      </c>
      <c r="BG1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10">
        <f>IF(Таблица23[[#This Row],[АприорВклКлассификация]]=Таблица23[[#This Row],[обучающая выборка]],1,0)</f>
        <v>1</v>
      </c>
      <c r="BI10" s="21" t="s">
        <v>189</v>
      </c>
      <c r="BJ10" s="21">
        <f>IF(VALUE(RIGHT(Таблица23[[#This Row],[Фунция ДА ИСК]]))=Таблица23[[#This Row],[обучающая выборка]],1,0)</f>
        <v>1</v>
      </c>
      <c r="BK10" s="21">
        <f>IF(Таблица23[[#This Row],[обучающая выборка]]=Таблица23[[#This Row],[Result backward]],1,0)</f>
        <v>1</v>
      </c>
      <c r="BL10" s="21">
        <v>5</v>
      </c>
      <c r="BM10" t="s">
        <v>189</v>
      </c>
      <c r="BN10">
        <v>28.157</v>
      </c>
      <c r="BO10">
        <v>1442.0239999999999</v>
      </c>
      <c r="BP10">
        <v>43.402000000000001</v>
      </c>
      <c r="BQ10">
        <v>57.593000000000004</v>
      </c>
      <c r="BR10">
        <v>3.907</v>
      </c>
      <c r="BS10">
        <f>MIN(Таблица23[[#This Row],[Махал1ИСК]:[Махал5ИСК]])</f>
        <v>3.907</v>
      </c>
      <c r="BT1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10">
        <f>IF(Таблица23[[#This Row],[МАХАЛ ИСК Классификация]]=Таблица23[[#This Row],[обучающая выборка]],1,0)</f>
        <v>1</v>
      </c>
      <c r="BV10" t="s">
        <v>189</v>
      </c>
      <c r="BW10">
        <v>1.0000000000000001E-5</v>
      </c>
      <c r="BX10">
        <v>0</v>
      </c>
      <c r="BY10">
        <v>0</v>
      </c>
      <c r="BZ10">
        <v>0</v>
      </c>
      <c r="CA10">
        <v>0.99999000000000005</v>
      </c>
      <c r="CB10">
        <f>MAX(Таблица23[[#This Row],[АприорИСК1]]:Таблица23[[#This Row],[АприорИСК5]])</f>
        <v>0.99999000000000005</v>
      </c>
      <c r="CC1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10">
        <f>IF(Таблица23[[#This Row],[АприорИСК классификация]]=Таблица23[[#This Row],[обучающая выборка]],1,0)</f>
        <v>1</v>
      </c>
      <c r="CE10" s="35">
        <v>-0.47236462061264362</v>
      </c>
      <c r="CF10" s="35">
        <v>-0.34052876250758157</v>
      </c>
      <c r="CG10" s="35">
        <v>-0.99568697045622701</v>
      </c>
      <c r="CH10" s="35">
        <v>2</v>
      </c>
      <c r="CI10" s="35">
        <v>3</v>
      </c>
      <c r="CJ10" s="36">
        <v>4</v>
      </c>
      <c r="CK10" s="35">
        <v>3</v>
      </c>
      <c r="CL10" s="36">
        <v>-0.47236462069975521</v>
      </c>
      <c r="CM10" s="36">
        <v>-0.34052876245203012</v>
      </c>
      <c r="CN10" s="36">
        <v>0.99568697043139709</v>
      </c>
    </row>
    <row r="11" spans="1:92" x14ac:dyDescent="0.25">
      <c r="A11" s="3" t="s">
        <v>24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SUMXMY2(Таблица23[[#This Row],[X1]:[X9]],Таблица23[[#Totals],[X1]:[X9]])</f>
        <v>4.7879010546763592</v>
      </c>
      <c r="P11" s="20"/>
      <c r="Q11" s="20" t="s">
        <v>186</v>
      </c>
      <c r="R11" s="20">
        <f>IF(VALUE(RIGHT(Таблица23[[#This Row],[функция]],1))=Таблица23[[#This Row],[обучающая выборка]],1,0)</f>
        <v>0</v>
      </c>
      <c r="S11" s="20">
        <f>IF(Таблица23[[#This Row],[обучающая выборка]]=Таблица23[[#This Row],[Result Lda]],1,0)</f>
        <v>0</v>
      </c>
      <c r="T11" s="20">
        <v>1</v>
      </c>
      <c r="U11" s="20" t="s">
        <v>187</v>
      </c>
      <c r="V11" s="20">
        <v>27.201000000000001</v>
      </c>
      <c r="W11" s="20">
        <v>2119.1329999999998</v>
      </c>
      <c r="X11" s="20">
        <v>60.805999999999997</v>
      </c>
      <c r="Y11" s="20">
        <v>46.036000000000001</v>
      </c>
      <c r="Z11" s="20">
        <v>61.985999999999997</v>
      </c>
      <c r="AA11" s="20">
        <f>MIN(Таблица23[[#This Row],[Махал1]:[Махал5]])</f>
        <v>27.201000000000001</v>
      </c>
      <c r="AB1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11" s="20">
        <f>IF(Таблица23[[#This Row],[Махаланобис классификация]]=Таблица23[[#This Row],[обучающая выборка]],1,0)</f>
        <v>0</v>
      </c>
      <c r="AD11" s="21" t="s">
        <v>187</v>
      </c>
      <c r="AE11" s="22">
        <v>0.99996302030396556</v>
      </c>
      <c r="AF11" s="22">
        <v>0</v>
      </c>
      <c r="AG11" s="22">
        <v>2.7504271788941436E-8</v>
      </c>
      <c r="AH11" s="22">
        <v>3.6936946285197228E-5</v>
      </c>
      <c r="AI11" s="22">
        <v>1.5245477499112042E-8</v>
      </c>
      <c r="AJ11">
        <f>MAX(Таблица23[[#This Row],[априор1]:[априор5]])</f>
        <v>0.99996302030396556</v>
      </c>
      <c r="AK1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11">
        <f>IF(Таблица23[[#This Row],[обучающая выборка]]=Таблица23[[#This Row],[Априор Классификация]],1,0)</f>
        <v>0</v>
      </c>
      <c r="AM11" t="s">
        <v>186</v>
      </c>
      <c r="AN11">
        <f>IF(VALUE(RIGHT(Таблица23[[#This Row],[фнкция ДА ВКЛ]],1))=Таблица23[[#This Row],[обучающая выборка]],1,0)</f>
        <v>0</v>
      </c>
      <c r="AO11">
        <f>IF(Таблица23[[#This Row],[обучающая выборка]]=Таблица23[[#This Row],[Result forward]],1,0)</f>
        <v>0</v>
      </c>
      <c r="AP11">
        <v>1</v>
      </c>
      <c r="AQ11" t="s">
        <v>187</v>
      </c>
      <c r="AR11">
        <v>11.034000000000001</v>
      </c>
      <c r="AS11">
        <v>1464.8119999999999</v>
      </c>
      <c r="AT11">
        <v>35.387</v>
      </c>
      <c r="AU11">
        <v>16.626999999999999</v>
      </c>
      <c r="AV11">
        <v>43.981999999999999</v>
      </c>
      <c r="AW11">
        <f>MIN(Таблица23[[#This Row],[Махал1ВКЛ]:[Махал5ВКл]])</f>
        <v>11.034000000000001</v>
      </c>
      <c r="AX1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11">
        <f>IF(Таблица23[[#This Row],[обучающая выборка]]=Таблица23[[#This Row],[МахаланобисКлассификацияВКЛ]],1,0)</f>
        <v>0</v>
      </c>
      <c r="AZ11" t="s">
        <v>187</v>
      </c>
      <c r="BA11">
        <v>0.97299599999999997</v>
      </c>
      <c r="BB11">
        <v>0</v>
      </c>
      <c r="BC11">
        <v>3.0000000000000001E-6</v>
      </c>
      <c r="BD11">
        <v>2.7001000000000001E-2</v>
      </c>
      <c r="BE11">
        <v>0</v>
      </c>
      <c r="BF11">
        <f>MAX(Таблица23[[#This Row],[АприорВКл1]:[АприорВКл5]])</f>
        <v>0.97299599999999997</v>
      </c>
      <c r="BG1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11">
        <f>IF(Таблица23[[#This Row],[АприорВклКлассификация]]=Таблица23[[#This Row],[обучающая выборка]],1,0)</f>
        <v>0</v>
      </c>
      <c r="BI11" s="21" t="s">
        <v>186</v>
      </c>
      <c r="BJ11" s="21">
        <f>IF(VALUE(RIGHT(Таблица23[[#This Row],[Фунция ДА ИСК]]))=Таблица23[[#This Row],[обучающая выборка]],1,0)</f>
        <v>0</v>
      </c>
      <c r="BK11" s="21">
        <f>IF(Таблица23[[#This Row],[обучающая выборка]]=Таблица23[[#This Row],[Result backward]],1,0)</f>
        <v>0</v>
      </c>
      <c r="BL11" s="21">
        <v>1</v>
      </c>
      <c r="BM11" t="s">
        <v>187</v>
      </c>
      <c r="BN11">
        <v>11.034000000000001</v>
      </c>
      <c r="BO11">
        <v>1464.8119999999999</v>
      </c>
      <c r="BP11">
        <v>35.387</v>
      </c>
      <c r="BQ11">
        <v>16.626999999999999</v>
      </c>
      <c r="BR11">
        <v>43.981999999999999</v>
      </c>
      <c r="BS11">
        <f>MIN(Таблица23[[#This Row],[Махал1ИСК]:[Махал5ИСК]])</f>
        <v>11.034000000000001</v>
      </c>
      <c r="BT1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11">
        <f>IF(Таблица23[[#This Row],[МАХАЛ ИСК Классификация]]=Таблица23[[#This Row],[обучающая выборка]],1,0)</f>
        <v>0</v>
      </c>
      <c r="BV11" t="s">
        <v>187</v>
      </c>
      <c r="BW11">
        <v>0.97299599999999997</v>
      </c>
      <c r="BX11">
        <v>0</v>
      </c>
      <c r="BY11">
        <v>3.0000000000000001E-6</v>
      </c>
      <c r="BZ11">
        <v>2.7001000000000001E-2</v>
      </c>
      <c r="CA11">
        <v>0</v>
      </c>
      <c r="CB11">
        <f>MAX(Таблица23[[#This Row],[АприорИСК1]]:Таблица23[[#This Row],[АприорИСК5]])</f>
        <v>0.97299599999999997</v>
      </c>
      <c r="CC1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11">
        <f>IF(Таблица23[[#This Row],[АприорИСК классификация]]=Таблица23[[#This Row],[обучающая выборка]],1,0)</f>
        <v>0</v>
      </c>
      <c r="CE11" s="35">
        <v>0.54605165183376347</v>
      </c>
      <c r="CF11" s="35">
        <v>-0.53505443349905213</v>
      </c>
      <c r="CG11" s="35">
        <v>0.73155780838943962</v>
      </c>
      <c r="CH11" s="35">
        <v>1</v>
      </c>
      <c r="CI11" s="35">
        <v>2</v>
      </c>
      <c r="CJ11" s="36">
        <v>3</v>
      </c>
      <c r="CK11" s="35">
        <v>5</v>
      </c>
      <c r="CL11" s="36">
        <v>0.54605165178214576</v>
      </c>
      <c r="CM11" s="36">
        <v>-0.53505443346627912</v>
      </c>
      <c r="CN11" s="36">
        <v>-0.73155780841916329</v>
      </c>
    </row>
    <row r="12" spans="1:92" x14ac:dyDescent="0.25">
      <c r="A12" s="3" t="s">
        <v>25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SUMXMY2(Таблица23[[#This Row],[X1]:[X9]],Таблица23[[#Totals],[X1]:[X9]])</f>
        <v>32.064351678043934</v>
      </c>
      <c r="P12" s="20"/>
      <c r="Q12" s="20" t="s">
        <v>190</v>
      </c>
      <c r="R12" s="20">
        <f>IF(VALUE(RIGHT(Таблица23[[#This Row],[функция]],1))=Таблица23[[#This Row],[обучающая выборка]],1,0)</f>
        <v>0</v>
      </c>
      <c r="S12" s="20">
        <f>IF(Таблица23[[#This Row],[обучающая выборка]]=Таблица23[[#This Row],[Result Lda]],1,0)</f>
        <v>0</v>
      </c>
      <c r="T12" s="20">
        <v>4</v>
      </c>
      <c r="U12" s="20" t="s">
        <v>187</v>
      </c>
      <c r="V12" s="20">
        <v>376.96600000000001</v>
      </c>
      <c r="W12" s="20">
        <v>1515.896</v>
      </c>
      <c r="X12" s="20">
        <v>428.339</v>
      </c>
      <c r="Y12" s="20">
        <v>321.21100000000001</v>
      </c>
      <c r="Z12" s="20">
        <v>430.35700000000003</v>
      </c>
      <c r="AA12" s="20">
        <f>MIN(Таблица23[[#This Row],[Махал1]:[Махал5]])</f>
        <v>321.21100000000001</v>
      </c>
      <c r="AB1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12" s="20">
        <f>IF(Таблица23[[#This Row],[Махаланобис классификация]]=Таблица23[[#This Row],[обучающая выборка]],1,0)</f>
        <v>0</v>
      </c>
      <c r="AD12" s="21" t="s">
        <v>187</v>
      </c>
      <c r="AE12" s="22">
        <v>1.7192540132635267E-12</v>
      </c>
      <c r="AF12" s="22">
        <v>0</v>
      </c>
      <c r="AG12" s="22">
        <v>6.554677010337371E-24</v>
      </c>
      <c r="AH12" s="22">
        <v>0.99999999999828071</v>
      </c>
      <c r="AI12" s="22">
        <v>2.3901672907635747E-24</v>
      </c>
      <c r="AJ12">
        <f>MAX(Таблица23[[#This Row],[априор1]:[априор5]])</f>
        <v>0.99999999999828071</v>
      </c>
      <c r="AK1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12">
        <f>IF(Таблица23[[#This Row],[обучающая выборка]]=Таблица23[[#This Row],[Априор Классификация]],1,0)</f>
        <v>0</v>
      </c>
      <c r="AM12" t="s">
        <v>190</v>
      </c>
      <c r="AN12">
        <f>IF(VALUE(RIGHT(Таблица23[[#This Row],[фнкция ДА ВКЛ]],1))=Таблица23[[#This Row],[обучающая выборка]],1,0)</f>
        <v>0</v>
      </c>
      <c r="AO12">
        <f>IF(Таблица23[[#This Row],[обучающая выборка]]=Таблица23[[#This Row],[Result forward]],1,0)</f>
        <v>0</v>
      </c>
      <c r="AP12">
        <v>4</v>
      </c>
      <c r="AQ12" t="s">
        <v>187</v>
      </c>
      <c r="AR12">
        <v>172.654</v>
      </c>
      <c r="AS12">
        <v>1212.202</v>
      </c>
      <c r="AT12">
        <v>260.40800000000002</v>
      </c>
      <c r="AU12">
        <v>157.99700000000001</v>
      </c>
      <c r="AV12">
        <v>234.25800000000001</v>
      </c>
      <c r="AW12">
        <f>MIN(Таблица23[[#This Row],[Махал1ВКЛ]:[Махал5ВКл]])</f>
        <v>157.99700000000001</v>
      </c>
      <c r="AX1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12">
        <f>IF(Таблица23[[#This Row],[обучающая выборка]]=Таблица23[[#This Row],[МахаланобисКлассификацияВКЛ]],1,0)</f>
        <v>0</v>
      </c>
      <c r="AZ12" t="s">
        <v>187</v>
      </c>
      <c r="BA12">
        <v>1.4430000000000001E-3</v>
      </c>
      <c r="BB12">
        <v>0</v>
      </c>
      <c r="BC12">
        <v>0</v>
      </c>
      <c r="BD12">
        <v>0.99855700000000003</v>
      </c>
      <c r="BE12">
        <v>0</v>
      </c>
      <c r="BF12">
        <f>MAX(Таблица23[[#This Row],[АприорВКл1]:[АприорВКл5]])</f>
        <v>0.99855700000000003</v>
      </c>
      <c r="BG1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12">
        <f>IF(Таблица23[[#This Row],[АприорВклКлассификация]]=Таблица23[[#This Row],[обучающая выборка]],1,0)</f>
        <v>0</v>
      </c>
      <c r="BI12" s="21" t="s">
        <v>190</v>
      </c>
      <c r="BJ12" s="21">
        <f>IF(VALUE(RIGHT(Таблица23[[#This Row],[Фунция ДА ИСК]]))=Таблица23[[#This Row],[обучающая выборка]],1,0)</f>
        <v>0</v>
      </c>
      <c r="BK12" s="21">
        <f>IF(Таблица23[[#This Row],[обучающая выборка]]=Таблица23[[#This Row],[Result backward]],1,0)</f>
        <v>0</v>
      </c>
      <c r="BL12" s="21">
        <v>4</v>
      </c>
      <c r="BM12" t="s">
        <v>187</v>
      </c>
      <c r="BN12">
        <v>172.654</v>
      </c>
      <c r="BO12">
        <v>1212.202</v>
      </c>
      <c r="BP12">
        <v>260.40800000000002</v>
      </c>
      <c r="BQ12">
        <v>157.99700000000001</v>
      </c>
      <c r="BR12">
        <v>234.25800000000001</v>
      </c>
      <c r="BS12">
        <f>MIN(Таблица23[[#This Row],[Махал1ИСК]:[Махал5ИСК]])</f>
        <v>157.99700000000001</v>
      </c>
      <c r="BT1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12">
        <f>IF(Таблица23[[#This Row],[МАХАЛ ИСК Классификация]]=Таблица23[[#This Row],[обучающая выборка]],1,0)</f>
        <v>0</v>
      </c>
      <c r="BV12" t="s">
        <v>187</v>
      </c>
      <c r="BW12">
        <v>1.4430000000000001E-3</v>
      </c>
      <c r="BX12">
        <v>0</v>
      </c>
      <c r="BY12">
        <v>0</v>
      </c>
      <c r="BZ12">
        <v>0.99855700000000003</v>
      </c>
      <c r="CA12">
        <v>0</v>
      </c>
      <c r="CB12">
        <f>MAX(Таблица23[[#This Row],[АприорИСК1]]:Таблица23[[#This Row],[АприорИСК5]])</f>
        <v>0.99855700000000003</v>
      </c>
      <c r="CC1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12">
        <f>IF(Таблица23[[#This Row],[АприорИСК классификация]]=Таблица23[[#This Row],[обучающая выборка]],1,0)</f>
        <v>0</v>
      </c>
      <c r="CE12" s="35">
        <v>1.0810174286238268</v>
      </c>
      <c r="CF12" s="35">
        <v>2.4156021819374955</v>
      </c>
      <c r="CG12" s="35">
        <v>1.7940228759778898</v>
      </c>
      <c r="CH12" s="35">
        <v>5</v>
      </c>
      <c r="CI12" s="35">
        <v>4</v>
      </c>
      <c r="CJ12" s="36">
        <v>5</v>
      </c>
      <c r="CK12" s="35">
        <v>1</v>
      </c>
      <c r="CL12" s="36">
        <v>1.081017428660336</v>
      </c>
      <c r="CM12" s="36">
        <v>2.4156021816447422</v>
      </c>
      <c r="CN12" s="36">
        <v>-1.794022875920573</v>
      </c>
    </row>
    <row r="13" spans="1:92" x14ac:dyDescent="0.25">
      <c r="A13" s="3" t="s">
        <v>26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SUMXMY2(Таблица23[[#This Row],[X1]:[X9]],Таблица23[[#Totals],[X1]:[X9]])</f>
        <v>12.609448778618402</v>
      </c>
      <c r="P13" s="20"/>
      <c r="Q13" s="20" t="s">
        <v>189</v>
      </c>
      <c r="R13" s="20">
        <f>IF(VALUE(RIGHT(Таблица23[[#This Row],[функция]],1))=Таблица23[[#This Row],[обучающая выборка]],1,0)</f>
        <v>0</v>
      </c>
      <c r="S13" s="20">
        <f>IF(Таблица23[[#This Row],[обучающая выборка]]=Таблица23[[#This Row],[Result Lda]],1,0)</f>
        <v>0</v>
      </c>
      <c r="T13" s="20">
        <v>5</v>
      </c>
      <c r="U13" s="20" t="s">
        <v>187</v>
      </c>
      <c r="V13" s="20">
        <v>132.524</v>
      </c>
      <c r="W13" s="20">
        <v>1741.538</v>
      </c>
      <c r="X13" s="20">
        <v>128.214</v>
      </c>
      <c r="Y13" s="20">
        <v>190.42599999999999</v>
      </c>
      <c r="Z13" s="20">
        <v>89.009</v>
      </c>
      <c r="AA13" s="20">
        <f>MIN(Таблица23[[#This Row],[Махал1]:[Махал5]])</f>
        <v>89.009</v>
      </c>
      <c r="AB1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13" s="20">
        <f>IF(Таблица23[[#This Row],[Махаланобис классификация]]=Таблица23[[#This Row],[обучающая выборка]],1,0)</f>
        <v>0</v>
      </c>
      <c r="AD13" s="21" t="s">
        <v>187</v>
      </c>
      <c r="AE13" s="22">
        <v>6.5201537392810903E-10</v>
      </c>
      <c r="AF13" s="22">
        <v>0</v>
      </c>
      <c r="AG13" s="22">
        <v>3.0679723987852655E-9</v>
      </c>
      <c r="AH13" s="22">
        <v>7.9144136618713238E-23</v>
      </c>
      <c r="AI13" s="22">
        <v>0.99999999628001224</v>
      </c>
      <c r="AJ13">
        <f>MAX(Таблица23[[#This Row],[априор1]:[априор5]])</f>
        <v>0.99999999628001224</v>
      </c>
      <c r="AK1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13">
        <f>IF(Таблица23[[#This Row],[обучающая выборка]]=Таблица23[[#This Row],[Априор Классификация]],1,0)</f>
        <v>0</v>
      </c>
      <c r="AM13" t="s">
        <v>188</v>
      </c>
      <c r="AN13">
        <f>IF(VALUE(RIGHT(Таблица23[[#This Row],[фнкция ДА ВКЛ]],1))=Таблица23[[#This Row],[обучающая выборка]],1,0)</f>
        <v>0</v>
      </c>
      <c r="AO13">
        <f>IF(Таблица23[[#This Row],[обучающая выборка]]=Таблица23[[#This Row],[Result forward]],1,0)</f>
        <v>0</v>
      </c>
      <c r="AP13">
        <v>3</v>
      </c>
      <c r="AQ13" t="s">
        <v>187</v>
      </c>
      <c r="AR13">
        <v>61.655999999999999</v>
      </c>
      <c r="AS13">
        <v>1009.476</v>
      </c>
      <c r="AT13">
        <v>30.811</v>
      </c>
      <c r="AU13">
        <v>86.332999999999998</v>
      </c>
      <c r="AV13">
        <v>34.435000000000002</v>
      </c>
      <c r="AW13">
        <f>MIN(Таблица23[[#This Row],[Махал1ВКЛ]:[Махал5ВКл]])</f>
        <v>30.811</v>
      </c>
      <c r="AX1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13">
        <f>IF(Таблица23[[#This Row],[обучающая выборка]]=Таблица23[[#This Row],[МахаланобисКлассификацияВКЛ]],1,0)</f>
        <v>0</v>
      </c>
      <c r="AZ13" t="s">
        <v>187</v>
      </c>
      <c r="BA13">
        <v>0</v>
      </c>
      <c r="BB13">
        <v>0</v>
      </c>
      <c r="BC13">
        <v>0.85964200000000002</v>
      </c>
      <c r="BD13">
        <v>0</v>
      </c>
      <c r="BE13">
        <v>0.14035700000000001</v>
      </c>
      <c r="BF13">
        <f>MAX(Таблица23[[#This Row],[АприорВКл1]:[АприорВКл5]])</f>
        <v>0.85964200000000002</v>
      </c>
      <c r="BG1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13">
        <f>IF(Таблица23[[#This Row],[АприорВклКлассификация]]=Таблица23[[#This Row],[обучающая выборка]],1,0)</f>
        <v>0</v>
      </c>
      <c r="BI13" s="21" t="s">
        <v>188</v>
      </c>
      <c r="BJ13" s="21">
        <f>IF(VALUE(RIGHT(Таблица23[[#This Row],[Фунция ДА ИСК]]))=Таблица23[[#This Row],[обучающая выборка]],1,0)</f>
        <v>0</v>
      </c>
      <c r="BK13" s="21">
        <f>IF(Таблица23[[#This Row],[обучающая выборка]]=Таблица23[[#This Row],[Result backward]],1,0)</f>
        <v>0</v>
      </c>
      <c r="BL13" s="21">
        <v>3</v>
      </c>
      <c r="BM13" t="s">
        <v>187</v>
      </c>
      <c r="BN13">
        <v>61.655999999999999</v>
      </c>
      <c r="BO13">
        <v>1009.476</v>
      </c>
      <c r="BP13">
        <v>30.811</v>
      </c>
      <c r="BQ13">
        <v>86.332999999999998</v>
      </c>
      <c r="BR13">
        <v>34.435000000000002</v>
      </c>
      <c r="BS13">
        <f>MIN(Таблица23[[#This Row],[Махал1ИСК]:[Махал5ИСК]])</f>
        <v>30.811</v>
      </c>
      <c r="BT1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13">
        <f>IF(Таблица23[[#This Row],[МАХАЛ ИСК Классификация]]=Таблица23[[#This Row],[обучающая выборка]],1,0)</f>
        <v>0</v>
      </c>
      <c r="BV13" t="s">
        <v>187</v>
      </c>
      <c r="BW13">
        <v>0</v>
      </c>
      <c r="BX13">
        <v>0</v>
      </c>
      <c r="BY13">
        <v>0.85964200000000002</v>
      </c>
      <c r="BZ13">
        <v>0</v>
      </c>
      <c r="CA13">
        <v>0.14035700000000001</v>
      </c>
      <c r="CB13">
        <f>MAX(Таблица23[[#This Row],[АприорИСК1]]:Таблица23[[#This Row],[АприорИСК5]])</f>
        <v>0.85964200000000002</v>
      </c>
      <c r="CC1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13">
        <f>IF(Таблица23[[#This Row],[АприорИСК классификация]]=Таблица23[[#This Row],[обучающая выборка]],1,0)</f>
        <v>0</v>
      </c>
      <c r="CE13" s="35">
        <v>-1.0919942651125929</v>
      </c>
      <c r="CF13" s="35">
        <v>-0.93960786836193566</v>
      </c>
      <c r="CG13" s="35">
        <v>-1.9745962129488435</v>
      </c>
      <c r="CH13" s="35">
        <v>2</v>
      </c>
      <c r="CI13" s="35">
        <v>3</v>
      </c>
      <c r="CJ13" s="36">
        <v>4</v>
      </c>
      <c r="CK13" s="35">
        <v>3</v>
      </c>
      <c r="CL13" s="36">
        <v>-1.0919942652583441</v>
      </c>
      <c r="CM13" s="36">
        <v>-0.93960786829748533</v>
      </c>
      <c r="CN13" s="36">
        <v>1.974596212467703</v>
      </c>
    </row>
    <row r="14" spans="1:92" x14ac:dyDescent="0.25">
      <c r="A14" s="3" t="s">
        <v>27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SUMXMY2(Таблица23[[#This Row],[X1]:[X9]],Таблица23[[#Totals],[X1]:[X9]])</f>
        <v>8.6183786206490058</v>
      </c>
      <c r="P14" s="20"/>
      <c r="Q14" s="20" t="s">
        <v>188</v>
      </c>
      <c r="R14" s="20">
        <f>IF(VALUE(RIGHT(Таблица23[[#This Row],[функция]],1))=Таблица23[[#This Row],[обучающая выборка]],1,0)</f>
        <v>0</v>
      </c>
      <c r="S14" s="20">
        <f>IF(Таблица23[[#This Row],[обучающая выборка]]=Таблица23[[#This Row],[Result Lda]],1,0)</f>
        <v>0</v>
      </c>
      <c r="T14" s="20">
        <v>1</v>
      </c>
      <c r="U14" s="20" t="s">
        <v>187</v>
      </c>
      <c r="V14" s="20">
        <v>172.74199999999999</v>
      </c>
      <c r="W14" s="20">
        <v>1285.8309999999999</v>
      </c>
      <c r="X14" s="20">
        <v>164.58</v>
      </c>
      <c r="Y14" s="20">
        <v>189.02600000000001</v>
      </c>
      <c r="Z14" s="20">
        <v>168.04900000000001</v>
      </c>
      <c r="AA14" s="20">
        <f>MIN(Таблица23[[#This Row],[Махал1]:[Махал5]])</f>
        <v>164.58</v>
      </c>
      <c r="AB1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14" s="20">
        <f>IF(Таблица23[[#This Row],[Махаланобис классификация]]=Таблица23[[#This Row],[обучающая выборка]],1,0)</f>
        <v>0</v>
      </c>
      <c r="AD14" s="21" t="s">
        <v>187</v>
      </c>
      <c r="AE14" s="22">
        <v>2.5644001154152329E-2</v>
      </c>
      <c r="AF14" s="22">
        <v>0</v>
      </c>
      <c r="AG14" s="22">
        <v>0.82818809278992611</v>
      </c>
      <c r="AH14" s="22">
        <v>3.3923646538287255E-6</v>
      </c>
      <c r="AI14" s="22">
        <v>0.14616451369126779</v>
      </c>
      <c r="AJ14">
        <f>MAX(Таблица23[[#This Row],[априор1]:[априор5]])</f>
        <v>0.82818809278992611</v>
      </c>
      <c r="AK1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14">
        <f>IF(Таблица23[[#This Row],[обучающая выборка]]=Таблица23[[#This Row],[Априор Классификация]],1,0)</f>
        <v>0</v>
      </c>
      <c r="AM14" t="s">
        <v>188</v>
      </c>
      <c r="AN14">
        <f>IF(VALUE(RIGHT(Таблица23[[#This Row],[фнкция ДА ВКЛ]],1))=Таблица23[[#This Row],[обучающая выборка]],1,0)</f>
        <v>0</v>
      </c>
      <c r="AO14">
        <f>IF(Таблица23[[#This Row],[обучающая выборка]]=Таблица23[[#This Row],[Result forward]],1,0)</f>
        <v>0</v>
      </c>
      <c r="AP14">
        <v>3</v>
      </c>
      <c r="AQ14" t="s">
        <v>187</v>
      </c>
      <c r="AR14">
        <v>164.76300000000001</v>
      </c>
      <c r="AS14">
        <v>634.75599999999997</v>
      </c>
      <c r="AT14">
        <v>145.40100000000001</v>
      </c>
      <c r="AU14">
        <v>169.506</v>
      </c>
      <c r="AV14">
        <v>154.71100000000001</v>
      </c>
      <c r="AW14">
        <f>MIN(Таблица23[[#This Row],[Махал1ВКЛ]:[Махал5ВКл]])</f>
        <v>145.40100000000001</v>
      </c>
      <c r="AX1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14">
        <f>IF(Таблица23[[#This Row],[обучающая выборка]]=Таблица23[[#This Row],[МахаланобисКлассификацияВКЛ]],1,0)</f>
        <v>0</v>
      </c>
      <c r="AZ14" t="s">
        <v>187</v>
      </c>
      <c r="BA14">
        <v>1.13E-4</v>
      </c>
      <c r="BB14">
        <v>0</v>
      </c>
      <c r="BC14">
        <v>0.99045700000000003</v>
      </c>
      <c r="BD14">
        <v>5.0000000000000004E-6</v>
      </c>
      <c r="BE14">
        <v>9.4249999999999994E-3</v>
      </c>
      <c r="BF14">
        <f>MAX(Таблица23[[#This Row],[АприорВКл1]:[АприорВКл5]])</f>
        <v>0.99045700000000003</v>
      </c>
      <c r="BG1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14">
        <f>IF(Таблица23[[#This Row],[АприорВклКлассификация]]=Таблица23[[#This Row],[обучающая выборка]],1,0)</f>
        <v>0</v>
      </c>
      <c r="BI14" s="21" t="s">
        <v>188</v>
      </c>
      <c r="BJ14" s="21">
        <f>IF(VALUE(RIGHT(Таблица23[[#This Row],[Фунция ДА ИСК]]))=Таблица23[[#This Row],[обучающая выборка]],1,0)</f>
        <v>0</v>
      </c>
      <c r="BK14" s="21">
        <f>IF(Таблица23[[#This Row],[обучающая выборка]]=Таблица23[[#This Row],[Result backward]],1,0)</f>
        <v>0</v>
      </c>
      <c r="BL14" s="21">
        <v>3</v>
      </c>
      <c r="BM14" t="s">
        <v>187</v>
      </c>
      <c r="BN14">
        <v>164.76300000000001</v>
      </c>
      <c r="BO14">
        <v>634.75599999999997</v>
      </c>
      <c r="BP14">
        <v>145.40100000000001</v>
      </c>
      <c r="BQ14">
        <v>169.506</v>
      </c>
      <c r="BR14">
        <v>154.71100000000001</v>
      </c>
      <c r="BS14">
        <f>MIN(Таблица23[[#This Row],[Махал1ИСК]:[Махал5ИСК]])</f>
        <v>145.40100000000001</v>
      </c>
      <c r="BT1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14">
        <f>IF(Таблица23[[#This Row],[МАХАЛ ИСК Классификация]]=Таблица23[[#This Row],[обучающая выборка]],1,0)</f>
        <v>0</v>
      </c>
      <c r="BV14" t="s">
        <v>187</v>
      </c>
      <c r="BW14">
        <v>1.13E-4</v>
      </c>
      <c r="BX14">
        <v>0</v>
      </c>
      <c r="BY14">
        <v>0.99045700000000003</v>
      </c>
      <c r="BZ14">
        <v>5.0000000000000004E-6</v>
      </c>
      <c r="CA14">
        <v>9.4249999999999994E-3</v>
      </c>
      <c r="CB14">
        <f>MAX(Таблица23[[#This Row],[АприорИСК1]]:Таблица23[[#This Row],[АприорИСК5]])</f>
        <v>0.99045700000000003</v>
      </c>
      <c r="CC1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14">
        <f>IF(Таблица23[[#This Row],[АприорИСК классификация]]=Таблица23[[#This Row],[обучающая выборка]],1,0)</f>
        <v>0</v>
      </c>
      <c r="CE14" s="35">
        <v>-0.86461044381095564</v>
      </c>
      <c r="CF14" s="35">
        <v>1.089205572176544E-2</v>
      </c>
      <c r="CG14" s="35">
        <v>-1.2059772999557852</v>
      </c>
      <c r="CH14" s="35">
        <v>5</v>
      </c>
      <c r="CI14" s="35">
        <v>3</v>
      </c>
      <c r="CJ14" s="36">
        <v>4</v>
      </c>
      <c r="CK14" s="35">
        <v>2</v>
      </c>
      <c r="CL14" s="36">
        <v>-0.86461044399130282</v>
      </c>
      <c r="CM14" s="36">
        <v>1.0892055612455419E-2</v>
      </c>
      <c r="CN14" s="36">
        <v>1.2059772998189291</v>
      </c>
    </row>
    <row r="15" spans="1:92" x14ac:dyDescent="0.25">
      <c r="A15" s="3" t="s">
        <v>28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SUMXMY2(Таблица23[[#This Row],[X1]:[X9]],Таблица23[[#Totals],[X1]:[X9]])</f>
        <v>0.69999916866320588</v>
      </c>
      <c r="P15" s="20">
        <v>1</v>
      </c>
      <c r="Q15" s="20" t="s">
        <v>186</v>
      </c>
      <c r="R15" s="20">
        <f>IF(VALUE(RIGHT(Таблица23[[#This Row],[функция]],1))=Таблица23[[#This Row],[обучающая выборка]],1,0)</f>
        <v>1</v>
      </c>
      <c r="S15" s="20">
        <f>IF(Таблица23[[#This Row],[обучающая выборка]]=Таблица23[[#This Row],[Result Lda]],1,0)</f>
        <v>1</v>
      </c>
      <c r="T15" s="20">
        <v>1</v>
      </c>
      <c r="U15" s="20" t="s">
        <v>186</v>
      </c>
      <c r="V15" s="20">
        <v>5.5730000000000004</v>
      </c>
      <c r="W15" s="20">
        <v>2105.761</v>
      </c>
      <c r="X15" s="20">
        <v>22.745000000000001</v>
      </c>
      <c r="Y15" s="20">
        <v>33.865000000000002</v>
      </c>
      <c r="Z15" s="20">
        <v>11.385999999999999</v>
      </c>
      <c r="AA15" s="20">
        <f>MIN(Таблица23[[#This Row],[Махал1]:[Махал5]])</f>
        <v>5.5730000000000004</v>
      </c>
      <c r="AB1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15" s="20">
        <f>IF(Таблица23[[#This Row],[Махаланобис классификация]]=Таблица23[[#This Row],[обучающая выборка]],1,0)</f>
        <v>1</v>
      </c>
      <c r="AD15" s="21" t="s">
        <v>186</v>
      </c>
      <c r="AE15" s="22">
        <v>0.97095229641774328</v>
      </c>
      <c r="AF15" s="22">
        <v>0</v>
      </c>
      <c r="AG15" s="22">
        <v>9.8876514364712789E-5</v>
      </c>
      <c r="AH15" s="22">
        <v>3.1720253123967875E-7</v>
      </c>
      <c r="AI15" s="22">
        <v>2.8948509865360787E-2</v>
      </c>
      <c r="AJ15">
        <f>MAX(Таблица23[[#This Row],[априор1]:[априор5]])</f>
        <v>0.97095229641774328</v>
      </c>
      <c r="AK1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15">
        <f>IF(Таблица23[[#This Row],[обучающая выборка]]=Таблица23[[#This Row],[Априор Классификация]],1,0)</f>
        <v>1</v>
      </c>
      <c r="AM15" t="s">
        <v>186</v>
      </c>
      <c r="AN15">
        <f>IF(VALUE(RIGHT(Таблица23[[#This Row],[фнкция ДА ВКЛ]],1))=Таблица23[[#This Row],[обучающая выборка]],1,0)</f>
        <v>1</v>
      </c>
      <c r="AO15">
        <f>IF(Таблица23[[#This Row],[обучающая выборка]]=Таблица23[[#This Row],[Result forward]],1,0)</f>
        <v>1</v>
      </c>
      <c r="AP15">
        <v>1</v>
      </c>
      <c r="AQ15" t="s">
        <v>186</v>
      </c>
      <c r="AR15">
        <v>3.8279999999999998</v>
      </c>
      <c r="AS15">
        <v>1448.7909999999999</v>
      </c>
      <c r="AT15">
        <v>18.073</v>
      </c>
      <c r="AU15">
        <v>24.010999999999999</v>
      </c>
      <c r="AV15">
        <v>5.6630000000000003</v>
      </c>
      <c r="AW15">
        <f>MIN(Таблица23[[#This Row],[Махал1ВКЛ]:[Махал5ВКл]])</f>
        <v>3.8279999999999998</v>
      </c>
      <c r="AX1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15">
        <f>IF(Таблица23[[#This Row],[обучающая выборка]]=Таблица23[[#This Row],[МахаланобисКлассификацияВКЛ]],1,0)</f>
        <v>1</v>
      </c>
      <c r="AZ15" t="s">
        <v>186</v>
      </c>
      <c r="BA15">
        <v>0.82076300000000002</v>
      </c>
      <c r="BB15">
        <v>0</v>
      </c>
      <c r="BC15">
        <v>3.6099999999999999E-4</v>
      </c>
      <c r="BD15">
        <v>1.5E-5</v>
      </c>
      <c r="BE15">
        <v>0.17885999999999999</v>
      </c>
      <c r="BF15">
        <f>MAX(Таблица23[[#This Row],[АприорВКл1]:[АприорВКл5]])</f>
        <v>0.82076300000000002</v>
      </c>
      <c r="BG1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15">
        <f>IF(Таблица23[[#This Row],[АприорВклКлассификация]]=Таблица23[[#This Row],[обучающая выборка]],1,0)</f>
        <v>1</v>
      </c>
      <c r="BI15" s="21" t="s">
        <v>186</v>
      </c>
      <c r="BJ15" s="21">
        <f>IF(VALUE(RIGHT(Таблица23[[#This Row],[Фунция ДА ИСК]]))=Таблица23[[#This Row],[обучающая выборка]],1,0)</f>
        <v>1</v>
      </c>
      <c r="BK15" s="21">
        <f>IF(Таблица23[[#This Row],[обучающая выборка]]=Таблица23[[#This Row],[Result backward]],1,0)</f>
        <v>1</v>
      </c>
      <c r="BL15" s="21">
        <v>1</v>
      </c>
      <c r="BM15" t="s">
        <v>186</v>
      </c>
      <c r="BN15">
        <v>3.8279999999999998</v>
      </c>
      <c r="BO15">
        <v>1448.7909999999999</v>
      </c>
      <c r="BP15">
        <v>18.073</v>
      </c>
      <c r="BQ15">
        <v>24.010999999999999</v>
      </c>
      <c r="BR15">
        <v>5.6630000000000003</v>
      </c>
      <c r="BS15">
        <f>MIN(Таблица23[[#This Row],[Махал1ИСК]:[Махал5ИСК]])</f>
        <v>3.8279999999999998</v>
      </c>
      <c r="BT1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15">
        <f>IF(Таблица23[[#This Row],[МАХАЛ ИСК Классификация]]=Таблица23[[#This Row],[обучающая выборка]],1,0)</f>
        <v>1</v>
      </c>
      <c r="BV15" t="s">
        <v>186</v>
      </c>
      <c r="BW15">
        <v>0.82076300000000002</v>
      </c>
      <c r="BX15">
        <v>0</v>
      </c>
      <c r="BY15">
        <v>3.6099999999999999E-4</v>
      </c>
      <c r="BZ15">
        <v>1.5E-5</v>
      </c>
      <c r="CA15">
        <v>0.17885999999999999</v>
      </c>
      <c r="CB15">
        <f>MAX(Таблица23[[#This Row],[АприорИСК1]]:Таблица23[[#This Row],[АприорИСК5]])</f>
        <v>0.82076300000000002</v>
      </c>
      <c r="CC1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15">
        <f>IF(Таблица23[[#This Row],[АприорИСК классификация]]=Таблица23[[#This Row],[обучающая выборка]],1,0)</f>
        <v>1</v>
      </c>
      <c r="CE15" s="35">
        <v>-7.1279485554173808E-3</v>
      </c>
      <c r="CF15" s="35">
        <v>-0.46889219388340092</v>
      </c>
      <c r="CG15" s="35">
        <v>-3.0037675972604344E-2</v>
      </c>
      <c r="CH15" s="35">
        <v>2</v>
      </c>
      <c r="CI15" s="35">
        <v>2</v>
      </c>
      <c r="CJ15" s="36">
        <v>1</v>
      </c>
      <c r="CK15" s="35">
        <v>3</v>
      </c>
      <c r="CL15" s="36">
        <v>-7.1279486616828234E-3</v>
      </c>
      <c r="CM15" s="36">
        <v>-0.46889219390184289</v>
      </c>
      <c r="CN15" s="36">
        <v>3.003767606492613E-2</v>
      </c>
    </row>
    <row r="16" spans="1:92" x14ac:dyDescent="0.25">
      <c r="A16" s="3" t="s">
        <v>29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SUMXMY2(Таблица23[[#This Row],[X1]:[X9]],Таблица23[[#Totals],[X1]:[X9]])</f>
        <v>2.8088081469136594</v>
      </c>
      <c r="P16" s="20"/>
      <c r="Q16" s="20" t="s">
        <v>186</v>
      </c>
      <c r="R16" s="20">
        <f>IF(VALUE(RIGHT(Таблица23[[#This Row],[функция]],1))=Таблица23[[#This Row],[обучающая выборка]],1,0)</f>
        <v>0</v>
      </c>
      <c r="S16" s="20">
        <f>IF(Таблица23[[#This Row],[обучающая выборка]]=Таблица23[[#This Row],[Result Lda]],1,0)</f>
        <v>0</v>
      </c>
      <c r="T16" s="20">
        <v>1</v>
      </c>
      <c r="U16" s="20" t="s">
        <v>187</v>
      </c>
      <c r="V16" s="20">
        <v>15.88</v>
      </c>
      <c r="W16" s="20">
        <v>2370.3510000000001</v>
      </c>
      <c r="X16" s="20">
        <v>42.567</v>
      </c>
      <c r="Y16" s="20">
        <v>58.109000000000002</v>
      </c>
      <c r="Z16" s="20">
        <v>38.366</v>
      </c>
      <c r="AA16" s="20">
        <f>MIN(Таблица23[[#This Row],[Махал1]:[Махал5]])</f>
        <v>15.88</v>
      </c>
      <c r="AB1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16" s="20">
        <f>IF(Таблица23[[#This Row],[Махаланобис классификация]]=Таблица23[[#This Row],[обучающая выборка]],1,0)</f>
        <v>0</v>
      </c>
      <c r="AD16" s="21" t="s">
        <v>187</v>
      </c>
      <c r="AE16" s="22">
        <v>0.99999197932235651</v>
      </c>
      <c r="AF16" s="22">
        <v>0</v>
      </c>
      <c r="AG16" s="22">
        <v>8.748054292019538E-7</v>
      </c>
      <c r="AH16" s="22">
        <v>3.0742248103322582E-10</v>
      </c>
      <c r="AI16" s="22">
        <v>7.1455647917916773E-6</v>
      </c>
      <c r="AJ16">
        <f>MAX(Таблица23[[#This Row],[априор1]:[априор5]])</f>
        <v>0.99999197932235651</v>
      </c>
      <c r="AK1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16">
        <f>IF(Таблица23[[#This Row],[обучающая выборка]]=Таблица23[[#This Row],[Априор Классификация]],1,0)</f>
        <v>0</v>
      </c>
      <c r="AM16" t="s">
        <v>186</v>
      </c>
      <c r="AN16">
        <f>IF(VALUE(RIGHT(Таблица23[[#This Row],[фнкция ДА ВКЛ]],1))=Таблица23[[#This Row],[обучающая выборка]],1,0)</f>
        <v>0</v>
      </c>
      <c r="AO16">
        <f>IF(Таблица23[[#This Row],[обучающая выборка]]=Таблица23[[#This Row],[Result forward]],1,0)</f>
        <v>0</v>
      </c>
      <c r="AP16">
        <v>1</v>
      </c>
      <c r="AQ16" t="s">
        <v>187</v>
      </c>
      <c r="AR16">
        <v>10.177</v>
      </c>
      <c r="AS16">
        <v>1583.269</v>
      </c>
      <c r="AT16">
        <v>23.797000000000001</v>
      </c>
      <c r="AU16">
        <v>35.055999999999997</v>
      </c>
      <c r="AV16">
        <v>17.728999999999999</v>
      </c>
      <c r="AW16">
        <f>MIN(Таблица23[[#This Row],[Махал1ВКЛ]:[Махал5ВКл]])</f>
        <v>10.177</v>
      </c>
      <c r="AX1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16">
        <f>IF(Таблица23[[#This Row],[обучающая выборка]]=Таблица23[[#This Row],[МахаланобисКлассификацияВКЛ]],1,0)</f>
        <v>0</v>
      </c>
      <c r="AZ16" t="s">
        <v>187</v>
      </c>
      <c r="BA16">
        <v>0.98706899999999997</v>
      </c>
      <c r="BB16">
        <v>0</v>
      </c>
      <c r="BC16">
        <v>5.9400000000000002E-4</v>
      </c>
      <c r="BD16">
        <v>1.9999999999999999E-6</v>
      </c>
      <c r="BE16">
        <v>1.2336E-2</v>
      </c>
      <c r="BF16">
        <f>MAX(Таблица23[[#This Row],[АприорВКл1]:[АприорВКл5]])</f>
        <v>0.98706899999999997</v>
      </c>
      <c r="BG1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16">
        <f>IF(Таблица23[[#This Row],[АприорВклКлассификация]]=Таблица23[[#This Row],[обучающая выборка]],1,0)</f>
        <v>0</v>
      </c>
      <c r="BI16" s="21" t="s">
        <v>186</v>
      </c>
      <c r="BJ16" s="21">
        <f>IF(VALUE(RIGHT(Таблица23[[#This Row],[Фунция ДА ИСК]]))=Таблица23[[#This Row],[обучающая выборка]],1,0)</f>
        <v>0</v>
      </c>
      <c r="BK16" s="21">
        <f>IF(Таблица23[[#This Row],[обучающая выборка]]=Таблица23[[#This Row],[Result backward]],1,0)</f>
        <v>0</v>
      </c>
      <c r="BL16" s="21">
        <v>1</v>
      </c>
      <c r="BM16" t="s">
        <v>187</v>
      </c>
      <c r="BN16">
        <v>10.177</v>
      </c>
      <c r="BO16">
        <v>1583.269</v>
      </c>
      <c r="BP16">
        <v>23.797000000000001</v>
      </c>
      <c r="BQ16">
        <v>35.055999999999997</v>
      </c>
      <c r="BR16">
        <v>17.728999999999999</v>
      </c>
      <c r="BS16">
        <f>MIN(Таблица23[[#This Row],[Махал1ИСК]:[Махал5ИСК]])</f>
        <v>10.177</v>
      </c>
      <c r="BT1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16">
        <f>IF(Таблица23[[#This Row],[МАХАЛ ИСК Классификация]]=Таблица23[[#This Row],[обучающая выборка]],1,0)</f>
        <v>0</v>
      </c>
      <c r="BV16" t="s">
        <v>187</v>
      </c>
      <c r="BW16">
        <v>0.98706899999999997</v>
      </c>
      <c r="BX16">
        <v>0</v>
      </c>
      <c r="BY16">
        <v>5.9400000000000002E-4</v>
      </c>
      <c r="BZ16">
        <v>1.9999999999999999E-6</v>
      </c>
      <c r="CA16">
        <v>1.2336E-2</v>
      </c>
      <c r="CB16">
        <f>MAX(Таблица23[[#This Row],[АприорИСК1]]:Таблица23[[#This Row],[АприорИСК5]])</f>
        <v>0.98706899999999997</v>
      </c>
      <c r="CC1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16">
        <f>IF(Таблица23[[#This Row],[АприорИСК классификация]]=Таблица23[[#This Row],[обучающая выборка]],1,0)</f>
        <v>0</v>
      </c>
      <c r="CE16" s="35">
        <v>-7.5027488478993765E-2</v>
      </c>
      <c r="CF16" s="35">
        <v>-0.64135416676672852</v>
      </c>
      <c r="CG16" s="35">
        <v>-0.64052298501621641</v>
      </c>
      <c r="CH16" s="35">
        <v>2</v>
      </c>
      <c r="CI16" s="35">
        <v>3</v>
      </c>
      <c r="CJ16" s="36">
        <v>4</v>
      </c>
      <c r="CK16" s="35">
        <v>3</v>
      </c>
      <c r="CL16" s="36">
        <v>-7.5027488633856901E-2</v>
      </c>
      <c r="CM16" s="36">
        <v>-0.64135416683531632</v>
      </c>
      <c r="CN16" s="36">
        <v>0.64052298504462901</v>
      </c>
    </row>
    <row r="17" spans="1:92" x14ac:dyDescent="0.25">
      <c r="A17" s="3" t="s">
        <v>30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SUMXMY2(Таблица23[[#This Row],[X1]:[X9]],Таблица23[[#Totals],[X1]:[X9]])</f>
        <v>12.413932537795384</v>
      </c>
      <c r="P17" s="20">
        <v>4</v>
      </c>
      <c r="Q17" s="20" t="s">
        <v>190</v>
      </c>
      <c r="R17" s="20">
        <f>IF(VALUE(RIGHT(Таблица23[[#This Row],[функция]],1))=Таблица23[[#This Row],[обучающая выборка]],1,0)</f>
        <v>1</v>
      </c>
      <c r="S17" s="20">
        <f>IF(Таблица23[[#This Row],[обучающая выборка]]=Таблица23[[#This Row],[Result Lda]],1,0)</f>
        <v>1</v>
      </c>
      <c r="T17" s="20">
        <v>4</v>
      </c>
      <c r="U17" s="20" t="s">
        <v>190</v>
      </c>
      <c r="V17" s="20">
        <v>30</v>
      </c>
      <c r="W17" s="20">
        <v>2045.7809999999999</v>
      </c>
      <c r="X17" s="20">
        <v>53.353000000000002</v>
      </c>
      <c r="Y17" s="20">
        <v>9.0079999999999991</v>
      </c>
      <c r="Z17" s="20">
        <v>81.638999999999996</v>
      </c>
      <c r="AA17" s="20">
        <f>MIN(Таблица23[[#This Row],[Махал1]:[Махал5]])</f>
        <v>9.0079999999999991</v>
      </c>
      <c r="AB1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17" s="20">
        <f>IF(Таблица23[[#This Row],[Махаланобис классификация]]=Таблица23[[#This Row],[обучающая выборка]],1,0)</f>
        <v>1</v>
      </c>
      <c r="AD17" s="21" t="s">
        <v>190</v>
      </c>
      <c r="AE17" s="22">
        <v>6.0820258407540717E-5</v>
      </c>
      <c r="AF17" s="22">
        <v>0</v>
      </c>
      <c r="AG17" s="22">
        <v>2.816489311536172E-10</v>
      </c>
      <c r="AH17" s="22">
        <v>0.99993917945994326</v>
      </c>
      <c r="AI17" s="22">
        <v>2.0302471940664844E-16</v>
      </c>
      <c r="AJ17">
        <f>MAX(Таблица23[[#This Row],[априор1]:[априор5]])</f>
        <v>0.99993917945994326</v>
      </c>
      <c r="AK1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17">
        <f>IF(Таблица23[[#This Row],[обучающая выборка]]=Таблица23[[#This Row],[Априор Классификация]],1,0)</f>
        <v>1</v>
      </c>
      <c r="AM17" t="s">
        <v>190</v>
      </c>
      <c r="AN17">
        <f>IF(VALUE(RIGHT(Таблица23[[#This Row],[фнкция ДА ВКЛ]],1))=Таблица23[[#This Row],[обучающая выборка]],1,0)</f>
        <v>1</v>
      </c>
      <c r="AO17">
        <f>IF(Таблица23[[#This Row],[обучающая выборка]]=Таблица23[[#This Row],[Result forward]],1,0)</f>
        <v>1</v>
      </c>
      <c r="AP17">
        <v>4</v>
      </c>
      <c r="AQ17" t="s">
        <v>190</v>
      </c>
      <c r="AR17">
        <v>20.827000000000002</v>
      </c>
      <c r="AS17">
        <v>1428.1289999999999</v>
      </c>
      <c r="AT17">
        <v>39.594999999999999</v>
      </c>
      <c r="AU17">
        <v>2.867</v>
      </c>
      <c r="AV17">
        <v>52.186</v>
      </c>
      <c r="AW17">
        <f>MIN(Таблица23[[#This Row],[Махал1ВКЛ]:[Махал5ВКл]])</f>
        <v>2.867</v>
      </c>
      <c r="AX1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17">
        <f>IF(Таблица23[[#This Row],[обучающая выборка]]=Таблица23[[#This Row],[МахаланобисКлассификацияВКЛ]],1,0)</f>
        <v>1</v>
      </c>
      <c r="AZ17" t="s">
        <v>190</v>
      </c>
      <c r="BA17">
        <v>2.7700000000000001E-4</v>
      </c>
      <c r="BB17">
        <v>0</v>
      </c>
      <c r="BC17">
        <v>0</v>
      </c>
      <c r="BD17">
        <v>0.99972300000000003</v>
      </c>
      <c r="BE17">
        <v>0</v>
      </c>
      <c r="BF17">
        <f>MAX(Таблица23[[#This Row],[АприорВКл1]:[АприорВКл5]])</f>
        <v>0.99972300000000003</v>
      </c>
      <c r="BG1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17">
        <f>IF(Таблица23[[#This Row],[АприорВклКлассификация]]=Таблица23[[#This Row],[обучающая выборка]],1,0)</f>
        <v>1</v>
      </c>
      <c r="BI17" s="21" t="s">
        <v>190</v>
      </c>
      <c r="BJ17" s="21">
        <f>IF(VALUE(RIGHT(Таблица23[[#This Row],[Фунция ДА ИСК]]))=Таблица23[[#This Row],[обучающая выборка]],1,0)</f>
        <v>1</v>
      </c>
      <c r="BK17" s="21">
        <f>IF(Таблица23[[#This Row],[обучающая выборка]]=Таблица23[[#This Row],[Result backward]],1,0)</f>
        <v>1</v>
      </c>
      <c r="BL17" s="21">
        <v>4</v>
      </c>
      <c r="BM17" t="s">
        <v>190</v>
      </c>
      <c r="BN17">
        <v>20.827000000000002</v>
      </c>
      <c r="BO17">
        <v>1428.1289999999999</v>
      </c>
      <c r="BP17">
        <v>39.594999999999999</v>
      </c>
      <c r="BQ17">
        <v>2.867</v>
      </c>
      <c r="BR17">
        <v>52.186</v>
      </c>
      <c r="BS17">
        <f>MIN(Таблица23[[#This Row],[Махал1ИСК]:[Махал5ИСК]])</f>
        <v>2.867</v>
      </c>
      <c r="BT1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17">
        <f>IF(Таблица23[[#This Row],[МАХАЛ ИСК Классификация]]=Таблица23[[#This Row],[обучающая выборка]],1,0)</f>
        <v>1</v>
      </c>
      <c r="BV17" t="s">
        <v>190</v>
      </c>
      <c r="BW17">
        <v>2.7700000000000001E-4</v>
      </c>
      <c r="BX17">
        <v>0</v>
      </c>
      <c r="BY17">
        <v>0</v>
      </c>
      <c r="BZ17">
        <v>0.99972300000000003</v>
      </c>
      <c r="CA17">
        <v>0</v>
      </c>
      <c r="CB17">
        <f>MAX(Таблица23[[#This Row],[АприорИСК1]]:Таблица23[[#This Row],[АприорИСК5]])</f>
        <v>0.99972300000000003</v>
      </c>
      <c r="CC1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17">
        <f>IF(Таблица23[[#This Row],[АприорИСК классификация]]=Таблица23[[#This Row],[обучающая выборка]],1,0)</f>
        <v>1</v>
      </c>
      <c r="CE17" s="35">
        <v>1.6450980753046356</v>
      </c>
      <c r="CF17" s="35">
        <v>0.74974708373087584</v>
      </c>
      <c r="CG17" s="35">
        <v>-0.4035248786846688</v>
      </c>
      <c r="CH17" s="35">
        <v>4</v>
      </c>
      <c r="CI17" s="35">
        <v>4</v>
      </c>
      <c r="CJ17" s="36">
        <v>5</v>
      </c>
      <c r="CK17" s="35">
        <v>1</v>
      </c>
      <c r="CL17" s="36">
        <v>1.645098075330216</v>
      </c>
      <c r="CM17" s="36">
        <v>0.74974708361428066</v>
      </c>
      <c r="CN17" s="36">
        <v>0.4035248784717691</v>
      </c>
    </row>
    <row r="18" spans="1:92" x14ac:dyDescent="0.25">
      <c r="A18" s="3" t="s">
        <v>31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SUMXMY2(Таблица23[[#This Row],[X1]:[X9]],Таблица23[[#Totals],[X1]:[X9]])</f>
        <v>4.2165720346286006</v>
      </c>
      <c r="P18" s="20"/>
      <c r="Q18" s="20" t="s">
        <v>186</v>
      </c>
      <c r="R18" s="20">
        <f>IF(VALUE(RIGHT(Таблица23[[#This Row],[функция]],1))=Таблица23[[#This Row],[обучающая выборка]],1,0)</f>
        <v>0</v>
      </c>
      <c r="S18" s="20">
        <f>IF(Таблица23[[#This Row],[обучающая выборка]]=Таблица23[[#This Row],[Result Lda]],1,0)</f>
        <v>0</v>
      </c>
      <c r="T18" s="20">
        <v>1</v>
      </c>
      <c r="U18" s="20" t="s">
        <v>187</v>
      </c>
      <c r="V18" s="20">
        <v>19.257999999999999</v>
      </c>
      <c r="W18" s="20">
        <v>2032.9670000000001</v>
      </c>
      <c r="X18" s="20">
        <v>58.902999999999999</v>
      </c>
      <c r="Y18" s="20">
        <v>34.773000000000003</v>
      </c>
      <c r="Z18" s="20">
        <v>28.762</v>
      </c>
      <c r="AA18" s="20">
        <f>MIN(Таблица23[[#This Row],[Махал1]:[Махал5]])</f>
        <v>19.257999999999999</v>
      </c>
      <c r="AB1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18" s="20">
        <f>IF(Таблица23[[#This Row],[Махаланобис классификация]]=Таблица23[[#This Row],[обучающая выборка]],1,0)</f>
        <v>0</v>
      </c>
      <c r="AD18" s="21" t="s">
        <v>187</v>
      </c>
      <c r="AE18" s="22">
        <v>0.99512117737124128</v>
      </c>
      <c r="AF18" s="22">
        <v>0</v>
      </c>
      <c r="AG18" s="22">
        <v>1.3361346305865804E-9</v>
      </c>
      <c r="AH18" s="22">
        <v>1.9339074047750935E-4</v>
      </c>
      <c r="AI18" s="22">
        <v>4.6854305521465472E-3</v>
      </c>
      <c r="AJ18">
        <f>MAX(Таблица23[[#This Row],[априор1]:[априор5]])</f>
        <v>0.99512117737124128</v>
      </c>
      <c r="AK1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18">
        <f>IF(Таблица23[[#This Row],[обучающая выборка]]=Таблица23[[#This Row],[Априор Классификация]],1,0)</f>
        <v>0</v>
      </c>
      <c r="AM18" t="s">
        <v>186</v>
      </c>
      <c r="AN18">
        <f>IF(VALUE(RIGHT(Таблица23[[#This Row],[фнкция ДА ВКЛ]],1))=Таблица23[[#This Row],[обучающая выборка]],1,0)</f>
        <v>0</v>
      </c>
      <c r="AO18">
        <f>IF(Таблица23[[#This Row],[обучающая выборка]]=Таблица23[[#This Row],[Result forward]],1,0)</f>
        <v>0</v>
      </c>
      <c r="AP18">
        <v>1</v>
      </c>
      <c r="AQ18" t="s">
        <v>187</v>
      </c>
      <c r="AR18">
        <v>8.7379999999999995</v>
      </c>
      <c r="AS18">
        <v>1396.326</v>
      </c>
      <c r="AT18">
        <v>36.820999999999998</v>
      </c>
      <c r="AU18">
        <v>13.923</v>
      </c>
      <c r="AV18">
        <v>13.138</v>
      </c>
      <c r="AW18">
        <f>MIN(Таблица23[[#This Row],[Махал1ВКЛ]:[Махал5ВКл]])</f>
        <v>8.7379999999999995</v>
      </c>
      <c r="AX1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18">
        <f>IF(Таблица23[[#This Row],[обучающая выборка]]=Таблица23[[#This Row],[МахаланобисКлассификацияВКЛ]],1,0)</f>
        <v>0</v>
      </c>
      <c r="AZ18" t="s">
        <v>187</v>
      </c>
      <c r="BA18">
        <v>0.91369500000000003</v>
      </c>
      <c r="BB18">
        <v>0</v>
      </c>
      <c r="BC18">
        <v>0</v>
      </c>
      <c r="BD18">
        <v>3.1081999999999999E-2</v>
      </c>
      <c r="BE18">
        <v>5.5222E-2</v>
      </c>
      <c r="BF18">
        <f>MAX(Таблица23[[#This Row],[АприорВКл1]:[АприорВКл5]])</f>
        <v>0.91369500000000003</v>
      </c>
      <c r="BG1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18">
        <f>IF(Таблица23[[#This Row],[АприорВклКлассификация]]=Таблица23[[#This Row],[обучающая выборка]],1,0)</f>
        <v>0</v>
      </c>
      <c r="BI18" s="21" t="s">
        <v>186</v>
      </c>
      <c r="BJ18" s="21">
        <f>IF(VALUE(RIGHT(Таблица23[[#This Row],[Фунция ДА ИСК]]))=Таблица23[[#This Row],[обучающая выборка]],1,0)</f>
        <v>0</v>
      </c>
      <c r="BK18" s="21">
        <f>IF(Таблица23[[#This Row],[обучающая выборка]]=Таблица23[[#This Row],[Result backward]],1,0)</f>
        <v>0</v>
      </c>
      <c r="BL18" s="21">
        <v>1</v>
      </c>
      <c r="BM18" t="s">
        <v>187</v>
      </c>
      <c r="BN18">
        <v>8.7379999999999995</v>
      </c>
      <c r="BO18">
        <v>1396.326</v>
      </c>
      <c r="BP18">
        <v>36.820999999999998</v>
      </c>
      <c r="BQ18">
        <v>13.923</v>
      </c>
      <c r="BR18">
        <v>13.138</v>
      </c>
      <c r="BS18">
        <f>MIN(Таблица23[[#This Row],[Махал1ИСК]:[Махал5ИСК]])</f>
        <v>8.7379999999999995</v>
      </c>
      <c r="BT1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18">
        <f>IF(Таблица23[[#This Row],[МАХАЛ ИСК Классификация]]=Таблица23[[#This Row],[обучающая выборка]],1,0)</f>
        <v>0</v>
      </c>
      <c r="BV18" t="s">
        <v>187</v>
      </c>
      <c r="BW18">
        <v>0.91369500000000003</v>
      </c>
      <c r="BX18">
        <v>0</v>
      </c>
      <c r="BY18">
        <v>0</v>
      </c>
      <c r="BZ18">
        <v>3.1081999999999999E-2</v>
      </c>
      <c r="CA18">
        <v>5.5222E-2</v>
      </c>
      <c r="CB18">
        <f>MAX(Таблица23[[#This Row],[АприорИСК1]]:Таблица23[[#This Row],[АприорИСК5]])</f>
        <v>0.91369500000000003</v>
      </c>
      <c r="CC1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18">
        <f>IF(Таблица23[[#This Row],[АприорИСК классификация]]=Таблица23[[#This Row],[обучающая выборка]],1,0)</f>
        <v>0</v>
      </c>
      <c r="CE18" s="35">
        <v>0.63199967232943455</v>
      </c>
      <c r="CF18" s="35">
        <v>0.43621763977433048</v>
      </c>
      <c r="CG18" s="35">
        <v>-1.0942816573963916</v>
      </c>
      <c r="CH18" s="35">
        <v>5</v>
      </c>
      <c r="CI18" s="35">
        <v>5</v>
      </c>
      <c r="CJ18" s="36">
        <v>4</v>
      </c>
      <c r="CK18" s="35">
        <v>2</v>
      </c>
      <c r="CL18" s="36">
        <v>0.63199967230217335</v>
      </c>
      <c r="CM18" s="36">
        <v>0.43621763973295258</v>
      </c>
      <c r="CN18" s="36">
        <v>1.094281657101783</v>
      </c>
    </row>
    <row r="19" spans="1:92" x14ac:dyDescent="0.25">
      <c r="A19" s="3" t="s">
        <v>32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SUMXMY2(Таблица23[[#This Row],[X1]:[X9]],Таблица23[[#Totals],[X1]:[X9]])</f>
        <v>5.1571064200729735</v>
      </c>
      <c r="P19" s="20"/>
      <c r="Q19" s="20" t="s">
        <v>189</v>
      </c>
      <c r="R19" s="20">
        <f>IF(VALUE(RIGHT(Таблица23[[#This Row],[функция]],1))=Таблица23[[#This Row],[обучающая выборка]],1,0)</f>
        <v>0</v>
      </c>
      <c r="S19" s="20">
        <f>IF(Таблица23[[#This Row],[обучающая выборка]]=Таблица23[[#This Row],[Result Lda]],1,0)</f>
        <v>0</v>
      </c>
      <c r="T19" s="20">
        <v>1</v>
      </c>
      <c r="U19" s="20" t="s">
        <v>187</v>
      </c>
      <c r="V19" s="20">
        <v>33.430999999999997</v>
      </c>
      <c r="W19" s="20">
        <v>1960.7380000000001</v>
      </c>
      <c r="X19" s="20">
        <v>54.816000000000003</v>
      </c>
      <c r="Y19" s="20">
        <v>60.037999999999997</v>
      </c>
      <c r="Z19" s="20">
        <v>12.95</v>
      </c>
      <c r="AA19" s="20">
        <f>MIN(Таблица23[[#This Row],[Махал1]:[Махал5]])</f>
        <v>12.95</v>
      </c>
      <c r="AB1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19" s="20">
        <f>IF(Таблица23[[#This Row],[Махаланобис классификация]]=Таблица23[[#This Row],[обучающая выборка]],1,0)</f>
        <v>0</v>
      </c>
      <c r="AD19" s="21" t="s">
        <v>187</v>
      </c>
      <c r="AE19" s="22">
        <v>6.5432227965527402E-5</v>
      </c>
      <c r="AF19" s="22">
        <v>0</v>
      </c>
      <c r="AG19" s="22">
        <v>8.1058227457621553E-10</v>
      </c>
      <c r="AH19" s="22">
        <v>4.9624275105918162E-11</v>
      </c>
      <c r="AI19" s="22">
        <v>0.99993456691182792</v>
      </c>
      <c r="AJ19">
        <f>MAX(Таблица23[[#This Row],[априор1]:[априор5]])</f>
        <v>0.99993456691182792</v>
      </c>
      <c r="AK1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19">
        <f>IF(Таблица23[[#This Row],[обучающая выборка]]=Таблица23[[#This Row],[Априор Классификация]],1,0)</f>
        <v>0</v>
      </c>
      <c r="AM19" t="s">
        <v>189</v>
      </c>
      <c r="AN19">
        <f>IF(VALUE(RIGHT(Таблица23[[#This Row],[фнкция ДА ВКЛ]],1))=Таблица23[[#This Row],[обучающая выборка]],1,0)</f>
        <v>0</v>
      </c>
      <c r="AO19">
        <f>IF(Таблица23[[#This Row],[обучающая выборка]]=Таблица23[[#This Row],[Result forward]],1,0)</f>
        <v>0</v>
      </c>
      <c r="AP19">
        <v>1</v>
      </c>
      <c r="AQ19" t="s">
        <v>187</v>
      </c>
      <c r="AR19">
        <v>16.931999999999999</v>
      </c>
      <c r="AS19">
        <v>1393.318</v>
      </c>
      <c r="AT19">
        <v>39.192</v>
      </c>
      <c r="AU19">
        <v>36.595999999999997</v>
      </c>
      <c r="AV19">
        <v>8.5229999999999997</v>
      </c>
      <c r="AW19">
        <f>MIN(Таблица23[[#This Row],[Махал1ВКЛ]:[Махал5ВКл]])</f>
        <v>8.5229999999999997</v>
      </c>
      <c r="AX1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19">
        <f>IF(Таблица23[[#This Row],[обучающая выборка]]=Таблица23[[#This Row],[МахаланобисКлассификацияВКЛ]],1,0)</f>
        <v>0</v>
      </c>
      <c r="AZ19" t="s">
        <v>187</v>
      </c>
      <c r="BA19">
        <v>2.6637999999999998E-2</v>
      </c>
      <c r="BB19">
        <v>0</v>
      </c>
      <c r="BC19">
        <v>0</v>
      </c>
      <c r="BD19">
        <v>9.9999999999999995E-7</v>
      </c>
      <c r="BE19">
        <v>0.97336100000000003</v>
      </c>
      <c r="BF19">
        <f>MAX(Таблица23[[#This Row],[АприорВКл1]:[АприорВКл5]])</f>
        <v>0.97336100000000003</v>
      </c>
      <c r="BG1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19">
        <f>IF(Таблица23[[#This Row],[АприорВклКлассификация]]=Таблица23[[#This Row],[обучающая выборка]],1,0)</f>
        <v>0</v>
      </c>
      <c r="BI19" s="21" t="s">
        <v>189</v>
      </c>
      <c r="BJ19" s="21">
        <f>IF(VALUE(RIGHT(Таблица23[[#This Row],[Фунция ДА ИСК]]))=Таблица23[[#This Row],[обучающая выборка]],1,0)</f>
        <v>0</v>
      </c>
      <c r="BK19" s="21">
        <f>IF(Таблица23[[#This Row],[обучающая выборка]]=Таблица23[[#This Row],[Result backward]],1,0)</f>
        <v>0</v>
      </c>
      <c r="BL19" s="21">
        <v>1</v>
      </c>
      <c r="BM19" t="s">
        <v>187</v>
      </c>
      <c r="BN19">
        <v>16.931999999999999</v>
      </c>
      <c r="BO19">
        <v>1393.318</v>
      </c>
      <c r="BP19">
        <v>39.192</v>
      </c>
      <c r="BQ19">
        <v>36.595999999999997</v>
      </c>
      <c r="BR19">
        <v>8.5229999999999997</v>
      </c>
      <c r="BS19">
        <f>MIN(Таблица23[[#This Row],[Махал1ИСК]:[Махал5ИСК]])</f>
        <v>8.5229999999999997</v>
      </c>
      <c r="BT1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19">
        <f>IF(Таблица23[[#This Row],[МАХАЛ ИСК Классификация]]=Таблица23[[#This Row],[обучающая выборка]],1,0)</f>
        <v>0</v>
      </c>
      <c r="BV19" t="s">
        <v>187</v>
      </c>
      <c r="BW19">
        <v>2.6637999999999998E-2</v>
      </c>
      <c r="BX19">
        <v>0</v>
      </c>
      <c r="BY19">
        <v>0</v>
      </c>
      <c r="BZ19">
        <v>9.9999999999999995E-7</v>
      </c>
      <c r="CA19">
        <v>0.97336100000000003</v>
      </c>
      <c r="CB19">
        <f>MAX(Таблица23[[#This Row],[АприорИСК1]]:Таблица23[[#This Row],[АприорИСК5]])</f>
        <v>0.97336100000000003</v>
      </c>
      <c r="CC1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19">
        <f>IF(Таблица23[[#This Row],[АприорИСК классификация]]=Таблица23[[#This Row],[обучающая выборка]],1,0)</f>
        <v>0</v>
      </c>
      <c r="CE19" s="35">
        <v>0.25584108327333882</v>
      </c>
      <c r="CF19" s="35">
        <v>0.23673242345873224</v>
      </c>
      <c r="CG19" s="35">
        <v>-1.1332402931595624</v>
      </c>
      <c r="CH19" s="35">
        <v>2</v>
      </c>
      <c r="CI19" s="35">
        <v>5</v>
      </c>
      <c r="CJ19" s="36">
        <v>4</v>
      </c>
      <c r="CK19" s="35">
        <v>2</v>
      </c>
      <c r="CL19" s="36">
        <v>0.25584108322038018</v>
      </c>
      <c r="CM19" s="36">
        <v>0.23673242345801579</v>
      </c>
      <c r="CN19" s="36">
        <v>1.133240293150755</v>
      </c>
    </row>
    <row r="20" spans="1:92" x14ac:dyDescent="0.25">
      <c r="A20" s="3" t="s">
        <v>33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SUMXMY2(Таблица23[[#This Row],[X1]:[X9]],Таблица23[[#Totals],[X1]:[X9]])</f>
        <v>12.800402445326565</v>
      </c>
      <c r="P20" s="20"/>
      <c r="Q20" s="20" t="s">
        <v>189</v>
      </c>
      <c r="R20" s="20">
        <f>IF(VALUE(RIGHT(Таблица23[[#This Row],[функция]],1))=Таблица23[[#This Row],[обучающая выборка]],1,0)</f>
        <v>0</v>
      </c>
      <c r="S20" s="20">
        <f>IF(Таблица23[[#This Row],[обучающая выборка]]=Таблица23[[#This Row],[Result Lda]],1,0)</f>
        <v>0</v>
      </c>
      <c r="T20" s="20">
        <v>3</v>
      </c>
      <c r="U20" s="20" t="s">
        <v>187</v>
      </c>
      <c r="V20" s="20">
        <v>532.09100000000001</v>
      </c>
      <c r="W20" s="20">
        <v>620.77800000000002</v>
      </c>
      <c r="X20" s="20">
        <v>453.80799999999999</v>
      </c>
      <c r="Y20" s="20">
        <v>508.38200000000001</v>
      </c>
      <c r="Z20" s="20">
        <v>430.95299999999997</v>
      </c>
      <c r="AA20" s="20">
        <f>MIN(Таблица23[[#This Row],[Махал1]:[Махал5]])</f>
        <v>430.95299999999997</v>
      </c>
      <c r="AB2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0" s="20">
        <f>IF(Таблица23[[#This Row],[Махаланобис классификация]]=Таблица23[[#This Row],[обучающая выборка]],1,0)</f>
        <v>0</v>
      </c>
      <c r="AD20" s="21" t="s">
        <v>187</v>
      </c>
      <c r="AE20" s="22">
        <v>2.0023797328723369E-22</v>
      </c>
      <c r="AF20" s="22">
        <v>0</v>
      </c>
      <c r="AG20" s="22">
        <v>1.0895281501897645E-5</v>
      </c>
      <c r="AH20" s="22">
        <v>1.2808735418333403E-17</v>
      </c>
      <c r="AI20" s="22">
        <v>0.99998910471849811</v>
      </c>
      <c r="AJ20">
        <f>MAX(Таблица23[[#This Row],[априор1]:[априор5]])</f>
        <v>0.99998910471849811</v>
      </c>
      <c r="AK2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0">
        <f>IF(Таблица23[[#This Row],[обучающая выборка]]=Таблица23[[#This Row],[Априор Классификация]],1,0)</f>
        <v>0</v>
      </c>
      <c r="AM20" t="s">
        <v>189</v>
      </c>
      <c r="AN20">
        <f>IF(VALUE(RIGHT(Таблица23[[#This Row],[фнкция ДА ВКЛ]],1))=Таблица23[[#This Row],[обучающая выборка]],1,0)</f>
        <v>0</v>
      </c>
      <c r="AO20">
        <f>IF(Таблица23[[#This Row],[обучающая выборка]]=Таблица23[[#This Row],[Result forward]],1,0)</f>
        <v>0</v>
      </c>
      <c r="AP20">
        <v>5</v>
      </c>
      <c r="AQ20" t="s">
        <v>187</v>
      </c>
      <c r="AR20">
        <v>293.09899999999999</v>
      </c>
      <c r="AS20">
        <v>446.745</v>
      </c>
      <c r="AT20">
        <v>268.233</v>
      </c>
      <c r="AU20">
        <v>307.30399999999997</v>
      </c>
      <c r="AV20">
        <v>251.71100000000001</v>
      </c>
      <c r="AW20">
        <f>MIN(Таблица23[[#This Row],[Махал1ВКЛ]:[Махал5ВКл]])</f>
        <v>251.71100000000001</v>
      </c>
      <c r="AX2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20">
        <f>IF(Таблица23[[#This Row],[обучающая выборка]]=Таблица23[[#This Row],[МахаланобисКлассификацияВКЛ]],1,0)</f>
        <v>0</v>
      </c>
      <c r="AZ20" t="s">
        <v>187</v>
      </c>
      <c r="BA20">
        <v>0</v>
      </c>
      <c r="BB20">
        <v>0</v>
      </c>
      <c r="BC20">
        <v>2.5799999999999998E-4</v>
      </c>
      <c r="BD20">
        <v>0</v>
      </c>
      <c r="BE20">
        <v>0.99974200000000002</v>
      </c>
      <c r="BF20">
        <f>MAX(Таблица23[[#This Row],[АприорВКл1]:[АприорВКл5]])</f>
        <v>0.99974200000000002</v>
      </c>
      <c r="BG2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20">
        <f>IF(Таблица23[[#This Row],[АприорВклКлассификация]]=Таблица23[[#This Row],[обучающая выборка]],1,0)</f>
        <v>0</v>
      </c>
      <c r="BI20" s="21" t="s">
        <v>189</v>
      </c>
      <c r="BJ20" s="21">
        <f>IF(VALUE(RIGHT(Таблица23[[#This Row],[Фунция ДА ИСК]]))=Таблица23[[#This Row],[обучающая выборка]],1,0)</f>
        <v>0</v>
      </c>
      <c r="BK20" s="21">
        <f>IF(Таблица23[[#This Row],[обучающая выборка]]=Таблица23[[#This Row],[Result backward]],1,0)</f>
        <v>0</v>
      </c>
      <c r="BL20" s="21">
        <v>5</v>
      </c>
      <c r="BM20" t="s">
        <v>187</v>
      </c>
      <c r="BN20">
        <v>293.09899999999999</v>
      </c>
      <c r="BO20">
        <v>446.745</v>
      </c>
      <c r="BP20">
        <v>268.233</v>
      </c>
      <c r="BQ20">
        <v>307.30399999999997</v>
      </c>
      <c r="BR20">
        <v>251.71100000000001</v>
      </c>
      <c r="BS20">
        <f>MIN(Таблица23[[#This Row],[Махал1ИСК]:[Махал5ИСК]])</f>
        <v>251.71100000000001</v>
      </c>
      <c r="BT2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20">
        <f>IF(Таблица23[[#This Row],[МАХАЛ ИСК Классификация]]=Таблица23[[#This Row],[обучающая выборка]],1,0)</f>
        <v>0</v>
      </c>
      <c r="BV20" t="s">
        <v>187</v>
      </c>
      <c r="BW20">
        <v>0</v>
      </c>
      <c r="BX20">
        <v>0</v>
      </c>
      <c r="BY20">
        <v>2.5799999999999998E-4</v>
      </c>
      <c r="BZ20">
        <v>0</v>
      </c>
      <c r="CA20">
        <v>0.99974200000000002</v>
      </c>
      <c r="CB20">
        <f>MAX(Таблица23[[#This Row],[АприорИСК1]]:Таблица23[[#This Row],[АприорИСК5]])</f>
        <v>0.99974200000000002</v>
      </c>
      <c r="CC2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20">
        <f>IF(Таблица23[[#This Row],[АприорИСК классификация]]=Таблица23[[#This Row],[обучающая выборка]],1,0)</f>
        <v>0</v>
      </c>
      <c r="CE20" s="35">
        <v>-1.6668915434485045</v>
      </c>
      <c r="CF20" s="35">
        <v>0.72172255100594862</v>
      </c>
      <c r="CG20" s="35">
        <v>0.962055515593776</v>
      </c>
      <c r="CH20" s="35">
        <v>2</v>
      </c>
      <c r="CI20" s="35">
        <v>1</v>
      </c>
      <c r="CJ20" s="36">
        <v>1</v>
      </c>
      <c r="CK20" s="35">
        <v>4</v>
      </c>
      <c r="CL20" s="36">
        <v>-1.6668915435031859</v>
      </c>
      <c r="CM20" s="36">
        <v>0.72172255099168603</v>
      </c>
      <c r="CN20" s="36">
        <v>-0.96205551519315058</v>
      </c>
    </row>
    <row r="21" spans="1:92" x14ac:dyDescent="0.25">
      <c r="A21" s="3" t="s">
        <v>34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SUMXMY2(Таблица23[[#This Row],[X1]:[X9]],Таблица23[[#Totals],[X1]:[X9]])</f>
        <v>9.6872021226572436</v>
      </c>
      <c r="P21" s="20">
        <v>4</v>
      </c>
      <c r="Q21" s="20" t="s">
        <v>190</v>
      </c>
      <c r="R21" s="20">
        <f>IF(VALUE(RIGHT(Таблица23[[#This Row],[функция]],1))=Таблица23[[#This Row],[обучающая выборка]],1,0)</f>
        <v>1</v>
      </c>
      <c r="S21" s="20">
        <f>IF(Таблица23[[#This Row],[обучающая выборка]]=Таблица23[[#This Row],[Result Lda]],1,0)</f>
        <v>1</v>
      </c>
      <c r="T21" s="20">
        <v>4</v>
      </c>
      <c r="U21" s="20" t="s">
        <v>190</v>
      </c>
      <c r="V21" s="20">
        <v>20.988</v>
      </c>
      <c r="W21" s="20">
        <v>1988.4480000000001</v>
      </c>
      <c r="X21" s="20">
        <v>52.564999999999998</v>
      </c>
      <c r="Y21" s="20">
        <v>10.794</v>
      </c>
      <c r="Z21" s="20">
        <v>55.25</v>
      </c>
      <c r="AA21" s="20">
        <f>MIN(Таблица23[[#This Row],[Махал1]:[Махал5]])</f>
        <v>10.794</v>
      </c>
      <c r="AB2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21" s="20">
        <f>IF(Таблица23[[#This Row],[Махаланобис классификация]]=Таблица23[[#This Row],[обучающая выборка]],1,0)</f>
        <v>1</v>
      </c>
      <c r="AD21" s="21" t="s">
        <v>190</v>
      </c>
      <c r="AE21" s="22">
        <v>1.3279528785361622E-2</v>
      </c>
      <c r="AF21" s="22">
        <v>0</v>
      </c>
      <c r="AG21" s="22">
        <v>1.0069699510817317E-9</v>
      </c>
      <c r="AH21" s="22">
        <v>0.9867204699446307</v>
      </c>
      <c r="AI21" s="22">
        <v>2.630377857206759E-10</v>
      </c>
      <c r="AJ21">
        <f>MAX(Таблица23[[#This Row],[априор1]:[априор5]])</f>
        <v>0.9867204699446307</v>
      </c>
      <c r="AK2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21">
        <f>IF(Таблица23[[#This Row],[обучающая выборка]]=Таблица23[[#This Row],[Априор Классификация]],1,0)</f>
        <v>1</v>
      </c>
      <c r="AM21" t="s">
        <v>190</v>
      </c>
      <c r="AN21">
        <f>IF(VALUE(RIGHT(Таблица23[[#This Row],[фнкция ДА ВКЛ]],1))=Таблица23[[#This Row],[обучающая выборка]],1,0)</f>
        <v>1</v>
      </c>
      <c r="AO21">
        <f>IF(Таблица23[[#This Row],[обучающая выборка]]=Таблица23[[#This Row],[Result forward]],1,0)</f>
        <v>1</v>
      </c>
      <c r="AP21">
        <v>4</v>
      </c>
      <c r="AQ21" t="s">
        <v>190</v>
      </c>
      <c r="AR21">
        <v>17.763000000000002</v>
      </c>
      <c r="AS21">
        <v>1357.008</v>
      </c>
      <c r="AT21">
        <v>49.276000000000003</v>
      </c>
      <c r="AU21">
        <v>2.1970000000000001</v>
      </c>
      <c r="AV21">
        <v>49.505000000000003</v>
      </c>
      <c r="AW21">
        <f>MIN(Таблица23[[#This Row],[Махал1ВКЛ]:[Махал5ВКл]])</f>
        <v>2.1970000000000001</v>
      </c>
      <c r="AX2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21">
        <f>IF(Таблица23[[#This Row],[обучающая выборка]]=Таблица23[[#This Row],[МахаланобисКлассификацияВКЛ]],1,0)</f>
        <v>1</v>
      </c>
      <c r="AZ21" t="s">
        <v>190</v>
      </c>
      <c r="BA21">
        <v>9.1600000000000004E-4</v>
      </c>
      <c r="BB21">
        <v>0</v>
      </c>
      <c r="BC21">
        <v>0</v>
      </c>
      <c r="BD21">
        <v>0.99908399999999997</v>
      </c>
      <c r="BE21">
        <v>0</v>
      </c>
      <c r="BF21">
        <f>MAX(Таблица23[[#This Row],[АприорВКл1]:[АприорВКл5]])</f>
        <v>0.99908399999999997</v>
      </c>
      <c r="BG2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21">
        <f>IF(Таблица23[[#This Row],[АприорВклКлассификация]]=Таблица23[[#This Row],[обучающая выборка]],1,0)</f>
        <v>1</v>
      </c>
      <c r="BI21" s="21" t="s">
        <v>190</v>
      </c>
      <c r="BJ21" s="21">
        <f>IF(VALUE(RIGHT(Таблица23[[#This Row],[Фунция ДА ИСК]]))=Таблица23[[#This Row],[обучающая выборка]],1,0)</f>
        <v>1</v>
      </c>
      <c r="BK21" s="21">
        <f>IF(Таблица23[[#This Row],[обучающая выборка]]=Таблица23[[#This Row],[Result backward]],1,0)</f>
        <v>1</v>
      </c>
      <c r="BL21" s="21">
        <v>4</v>
      </c>
      <c r="BM21" t="s">
        <v>190</v>
      </c>
      <c r="BN21">
        <v>17.763000000000002</v>
      </c>
      <c r="BO21">
        <v>1357.008</v>
      </c>
      <c r="BP21">
        <v>49.276000000000003</v>
      </c>
      <c r="BQ21">
        <v>2.1970000000000001</v>
      </c>
      <c r="BR21">
        <v>49.505000000000003</v>
      </c>
      <c r="BS21">
        <f>MIN(Таблица23[[#This Row],[Махал1ИСК]:[Махал5ИСК]])</f>
        <v>2.1970000000000001</v>
      </c>
      <c r="BT2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21">
        <f>IF(Таблица23[[#This Row],[МАХАЛ ИСК Классификация]]=Таблица23[[#This Row],[обучающая выборка]],1,0)</f>
        <v>1</v>
      </c>
      <c r="BV21" t="s">
        <v>190</v>
      </c>
      <c r="BW21">
        <v>9.1600000000000004E-4</v>
      </c>
      <c r="BX21">
        <v>0</v>
      </c>
      <c r="BY21">
        <v>0</v>
      </c>
      <c r="BZ21">
        <v>0.99908399999999997</v>
      </c>
      <c r="CA21">
        <v>0</v>
      </c>
      <c r="CB21">
        <f>MAX(Таблица23[[#This Row],[АприорИСК1]]:Таблица23[[#This Row],[АприорИСК5]])</f>
        <v>0.99908399999999997</v>
      </c>
      <c r="CC2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21">
        <f>IF(Таблица23[[#This Row],[АприорИСК классификация]]=Таблица23[[#This Row],[обучающая выборка]],1,0)</f>
        <v>1</v>
      </c>
      <c r="CE21" s="35">
        <v>1.4474040008397731</v>
      </c>
      <c r="CF21" s="35">
        <v>0.17430466749372572</v>
      </c>
      <c r="CG21" s="35">
        <v>0.56426744862850386</v>
      </c>
      <c r="CH21" s="35">
        <v>5</v>
      </c>
      <c r="CI21" s="35">
        <v>4</v>
      </c>
      <c r="CJ21" s="36">
        <v>3</v>
      </c>
      <c r="CK21" s="35">
        <v>1</v>
      </c>
      <c r="CL21" s="36">
        <v>1.4474040008946281</v>
      </c>
      <c r="CM21" s="36">
        <v>0.1743046675989974</v>
      </c>
      <c r="CN21" s="36">
        <v>-0.56426744844041266</v>
      </c>
    </row>
    <row r="22" spans="1:92" x14ac:dyDescent="0.25">
      <c r="A22" s="3" t="s">
        <v>35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SUMXMY2(Таблица23[[#This Row],[X1]:[X9]],Таблица23[[#Totals],[X1]:[X9]])</f>
        <v>3.0636332457298527</v>
      </c>
      <c r="P22" s="20">
        <v>3</v>
      </c>
      <c r="Q22" s="20" t="s">
        <v>188</v>
      </c>
      <c r="R22" s="20">
        <f>IF(VALUE(RIGHT(Таблица23[[#This Row],[функция]],1))=Таблица23[[#This Row],[обучающая выборка]],1,0)</f>
        <v>1</v>
      </c>
      <c r="S22" s="20">
        <f>IF(Таблица23[[#This Row],[обучающая выборка]]=Таблица23[[#This Row],[Result Lda]],1,0)</f>
        <v>1</v>
      </c>
      <c r="T22" s="20">
        <v>3</v>
      </c>
      <c r="U22" s="20" t="s">
        <v>188</v>
      </c>
      <c r="V22" s="20">
        <v>41.215000000000003</v>
      </c>
      <c r="W22" s="20">
        <v>1741.098</v>
      </c>
      <c r="X22" s="20">
        <v>9.4589999999999996</v>
      </c>
      <c r="Y22" s="20">
        <v>57</v>
      </c>
      <c r="Z22" s="20">
        <v>41.16</v>
      </c>
      <c r="AA22" s="20">
        <f>MIN(Таблица23[[#This Row],[Махал1]:[Махал5]])</f>
        <v>9.4589999999999996</v>
      </c>
      <c r="AB2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22" s="20">
        <f>IF(Таблица23[[#This Row],[Махаланобис классификация]]=Таблица23[[#This Row],[обучающая выборка]],1,0)</f>
        <v>1</v>
      </c>
      <c r="AD22" s="21" t="s">
        <v>188</v>
      </c>
      <c r="AE22" s="22">
        <v>2.3312540401021691E-7</v>
      </c>
      <c r="AF22" s="22">
        <v>0</v>
      </c>
      <c r="AG22" s="22">
        <v>0.9999996361445378</v>
      </c>
      <c r="AH22" s="22">
        <v>3.958143843462665E-11</v>
      </c>
      <c r="AI22" s="22">
        <v>1.3069047676541253E-7</v>
      </c>
      <c r="AJ22">
        <f>MAX(Таблица23[[#This Row],[априор1]:[априор5]])</f>
        <v>0.9999996361445378</v>
      </c>
      <c r="AK2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22">
        <f>IF(Таблица23[[#This Row],[обучающая выборка]]=Таблица23[[#This Row],[Априор Классификация]],1,0)</f>
        <v>1</v>
      </c>
      <c r="AM22" t="s">
        <v>188</v>
      </c>
      <c r="AN22">
        <f>IF(VALUE(RIGHT(Таблица23[[#This Row],[фнкция ДА ВКЛ]],1))=Таблица23[[#This Row],[обучающая выборка]],1,0)</f>
        <v>1</v>
      </c>
      <c r="AO22">
        <f>IF(Таблица23[[#This Row],[обучающая выборка]]=Таблица23[[#This Row],[Result forward]],1,0)</f>
        <v>1</v>
      </c>
      <c r="AP22">
        <v>3</v>
      </c>
      <c r="AQ22" t="s">
        <v>188</v>
      </c>
      <c r="AR22">
        <v>35.325000000000003</v>
      </c>
      <c r="AS22">
        <v>1154.422</v>
      </c>
      <c r="AT22">
        <v>8.6720000000000006</v>
      </c>
      <c r="AU22">
        <v>53.488</v>
      </c>
      <c r="AV22">
        <v>29.748999999999999</v>
      </c>
      <c r="AW22">
        <f>MIN(Таблица23[[#This Row],[Махал1ВКЛ]:[Махал5ВКл]])</f>
        <v>8.6720000000000006</v>
      </c>
      <c r="AX2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22">
        <f>IF(Таблица23[[#This Row],[обучающая выборка]]=Таблица23[[#This Row],[МахаланобисКлассификацияВКЛ]],1,0)</f>
        <v>1</v>
      </c>
      <c r="AZ22" t="s">
        <v>188</v>
      </c>
      <c r="BA22">
        <v>3.0000000000000001E-6</v>
      </c>
      <c r="BB22">
        <v>0</v>
      </c>
      <c r="BC22">
        <v>0.99997100000000005</v>
      </c>
      <c r="BD22">
        <v>0</v>
      </c>
      <c r="BE22">
        <v>2.6999999999999999E-5</v>
      </c>
      <c r="BF22">
        <f>MAX(Таблица23[[#This Row],[АприорВКл1]:[АприорВКл5]])</f>
        <v>0.99997100000000005</v>
      </c>
      <c r="BG2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22">
        <f>IF(Таблица23[[#This Row],[АприорВклКлассификация]]=Таблица23[[#This Row],[обучающая выборка]],1,0)</f>
        <v>1</v>
      </c>
      <c r="BI22" s="21" t="s">
        <v>188</v>
      </c>
      <c r="BJ22" s="21">
        <f>IF(VALUE(RIGHT(Таблица23[[#This Row],[Фунция ДА ИСК]]))=Таблица23[[#This Row],[обучающая выборка]],1,0)</f>
        <v>1</v>
      </c>
      <c r="BK22" s="21">
        <f>IF(Таблица23[[#This Row],[обучающая выборка]]=Таблица23[[#This Row],[Result backward]],1,0)</f>
        <v>1</v>
      </c>
      <c r="BL22" s="21">
        <v>3</v>
      </c>
      <c r="BM22" t="s">
        <v>188</v>
      </c>
      <c r="BN22">
        <v>35.325000000000003</v>
      </c>
      <c r="BO22">
        <v>1154.422</v>
      </c>
      <c r="BP22">
        <v>8.6720000000000006</v>
      </c>
      <c r="BQ22">
        <v>53.488</v>
      </c>
      <c r="BR22">
        <v>29.748999999999999</v>
      </c>
      <c r="BS22">
        <f>MIN(Таблица23[[#This Row],[Махал1ИСК]:[Махал5ИСК]])</f>
        <v>8.6720000000000006</v>
      </c>
      <c r="BT2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22">
        <f>IF(Таблица23[[#This Row],[МАХАЛ ИСК Классификация]]=Таблица23[[#This Row],[обучающая выборка]],1,0)</f>
        <v>1</v>
      </c>
      <c r="BV22" t="s">
        <v>188</v>
      </c>
      <c r="BW22">
        <v>3.0000000000000001E-6</v>
      </c>
      <c r="BX22">
        <v>0</v>
      </c>
      <c r="BY22">
        <v>0.99997100000000005</v>
      </c>
      <c r="BZ22">
        <v>0</v>
      </c>
      <c r="CA22">
        <v>2.6999999999999999E-5</v>
      </c>
      <c r="CB22">
        <f>MAX(Таблица23[[#This Row],[АприорИСК1]]:Таблица23[[#This Row],[АприорИСК5]])</f>
        <v>0.99997100000000005</v>
      </c>
      <c r="CC2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22">
        <f>IF(Таблица23[[#This Row],[АприорИСК классификация]]=Таблица23[[#This Row],[обучающая выборка]],1,0)</f>
        <v>1</v>
      </c>
      <c r="CE22" s="35">
        <v>-0.5112055682236194</v>
      </c>
      <c r="CF22" s="35">
        <v>-0.6282348351070014</v>
      </c>
      <c r="CG22" s="35">
        <v>3.3058912517997946E-2</v>
      </c>
      <c r="CH22" s="35">
        <v>4</v>
      </c>
      <c r="CI22" s="35">
        <v>3</v>
      </c>
      <c r="CJ22" s="36">
        <v>1</v>
      </c>
      <c r="CK22" s="35">
        <v>3</v>
      </c>
      <c r="CL22" s="36">
        <v>-0.51120556838711473</v>
      </c>
      <c r="CM22" s="36">
        <v>-0.62823483522325718</v>
      </c>
      <c r="CN22" s="36">
        <v>-3.3058912389420013E-2</v>
      </c>
    </row>
    <row r="23" spans="1:92" x14ac:dyDescent="0.25">
      <c r="A23" s="3" t="s">
        <v>36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SUMXMY2(Таблица23[[#This Row],[X1]:[X9]],Таблица23[[#Totals],[X1]:[X9]])</f>
        <v>3.8042268031625897</v>
      </c>
      <c r="P23" s="20">
        <v>5</v>
      </c>
      <c r="Q23" s="20" t="s">
        <v>189</v>
      </c>
      <c r="R23" s="20">
        <f>IF(VALUE(RIGHT(Таблица23[[#This Row],[функция]],1))=Таблица23[[#This Row],[обучающая выборка]],1,0)</f>
        <v>1</v>
      </c>
      <c r="S23" s="20">
        <f>IF(Таблица23[[#This Row],[обучающая выборка]]=Таблица23[[#This Row],[Result Lda]],1,0)</f>
        <v>1</v>
      </c>
      <c r="T23" s="20">
        <v>5</v>
      </c>
      <c r="U23" s="20" t="s">
        <v>189</v>
      </c>
      <c r="V23" s="20">
        <v>23.975999999999999</v>
      </c>
      <c r="W23" s="20">
        <v>2177.3760000000002</v>
      </c>
      <c r="X23" s="20">
        <v>56.777999999999999</v>
      </c>
      <c r="Y23" s="20">
        <v>67.131</v>
      </c>
      <c r="Z23" s="20">
        <v>9.7309999999999999</v>
      </c>
      <c r="AA23" s="20">
        <f>MIN(Таблица23[[#This Row],[Махал1]:[Махал5]])</f>
        <v>9.7309999999999999</v>
      </c>
      <c r="AB2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3" s="20">
        <f>IF(Таблица23[[#This Row],[Махаланобис классификация]]=Таблица23[[#This Row],[обучающая выборка]],1,0)</f>
        <v>1</v>
      </c>
      <c r="AD23" s="21" t="s">
        <v>189</v>
      </c>
      <c r="AE23" s="22">
        <v>1.4765592294999257E-3</v>
      </c>
      <c r="AF23" s="22">
        <v>0</v>
      </c>
      <c r="AG23" s="22">
        <v>6.0694939823719121E-11</v>
      </c>
      <c r="AH23" s="22">
        <v>2.856244228393035E-13</v>
      </c>
      <c r="AI23" s="22">
        <v>0.99852344070951948</v>
      </c>
      <c r="AJ23">
        <f>MAX(Таблица23[[#This Row],[априор1]:[априор5]])</f>
        <v>0.99852344070951948</v>
      </c>
      <c r="AK2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3">
        <f>IF(Таблица23[[#This Row],[обучающая выборка]]=Таблица23[[#This Row],[Априор Классификация]],1,0)</f>
        <v>1</v>
      </c>
      <c r="AM23" t="s">
        <v>189</v>
      </c>
      <c r="AN23">
        <f>IF(VALUE(RIGHT(Таблица23[[#This Row],[фнкция ДА ВКЛ]],1))=Таблица23[[#This Row],[обучающая выборка]],1,0)</f>
        <v>1</v>
      </c>
      <c r="AO23">
        <f>IF(Таблица23[[#This Row],[обучающая выборка]]=Таблица23[[#This Row],[Result forward]],1,0)</f>
        <v>1</v>
      </c>
      <c r="AP23">
        <v>5</v>
      </c>
      <c r="AQ23" t="s">
        <v>189</v>
      </c>
      <c r="AR23">
        <v>10.91</v>
      </c>
      <c r="AS23">
        <v>1445.3779999999999</v>
      </c>
      <c r="AT23">
        <v>34.276000000000003</v>
      </c>
      <c r="AU23">
        <v>30.89</v>
      </c>
      <c r="AV23">
        <v>4.2210000000000001</v>
      </c>
      <c r="AW23">
        <f>MIN(Таблица23[[#This Row],[Махал1ВКЛ]:[Махал5ВКл]])</f>
        <v>4.2210000000000001</v>
      </c>
      <c r="AX2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23">
        <f>IF(Таблица23[[#This Row],[обучающая выборка]]=Таблица23[[#This Row],[МахаланобисКлассификацияВКЛ]],1,0)</f>
        <v>1</v>
      </c>
      <c r="AZ23" t="s">
        <v>189</v>
      </c>
      <c r="BA23">
        <v>6.0740000000000002E-2</v>
      </c>
      <c r="BB23">
        <v>0</v>
      </c>
      <c r="BC23">
        <v>0</v>
      </c>
      <c r="BD23">
        <v>9.9999999999999995E-7</v>
      </c>
      <c r="BE23">
        <v>0.93925899999999996</v>
      </c>
      <c r="BF23">
        <f>MAX(Таблица23[[#This Row],[АприорВКл1]:[АприорВКл5]])</f>
        <v>0.93925899999999996</v>
      </c>
      <c r="BG2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23">
        <f>IF(Таблица23[[#This Row],[АприорВклКлассификация]]=Таблица23[[#This Row],[обучающая выборка]],1,0)</f>
        <v>1</v>
      </c>
      <c r="BI23" s="21" t="s">
        <v>189</v>
      </c>
      <c r="BJ23" s="21">
        <f>IF(VALUE(RIGHT(Таблица23[[#This Row],[Фунция ДА ИСК]]))=Таблица23[[#This Row],[обучающая выборка]],1,0)</f>
        <v>1</v>
      </c>
      <c r="BK23" s="21">
        <f>IF(Таблица23[[#This Row],[обучающая выборка]]=Таблица23[[#This Row],[Result backward]],1,0)</f>
        <v>1</v>
      </c>
      <c r="BL23" s="21">
        <v>5</v>
      </c>
      <c r="BM23" t="s">
        <v>189</v>
      </c>
      <c r="BN23">
        <v>10.91</v>
      </c>
      <c r="BO23">
        <v>1445.3779999999999</v>
      </c>
      <c r="BP23">
        <v>34.276000000000003</v>
      </c>
      <c r="BQ23">
        <v>30.89</v>
      </c>
      <c r="BR23">
        <v>4.2210000000000001</v>
      </c>
      <c r="BS23">
        <f>MIN(Таблица23[[#This Row],[Махал1ИСК]:[Махал5ИСК]])</f>
        <v>4.2210000000000001</v>
      </c>
      <c r="BT2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23">
        <f>IF(Таблица23[[#This Row],[МАХАЛ ИСК Классификация]]=Таблица23[[#This Row],[обучающая выборка]],1,0)</f>
        <v>1</v>
      </c>
      <c r="BV23" t="s">
        <v>189</v>
      </c>
      <c r="BW23">
        <v>6.0740000000000002E-2</v>
      </c>
      <c r="BX23">
        <v>0</v>
      </c>
      <c r="BY23">
        <v>0</v>
      </c>
      <c r="BZ23">
        <v>9.9999999999999995E-7</v>
      </c>
      <c r="CA23">
        <v>0.93925899999999996</v>
      </c>
      <c r="CB23">
        <f>MAX(Таблица23[[#This Row],[АприорИСК1]]:Таблица23[[#This Row],[АприорИСК5]])</f>
        <v>0.93925899999999996</v>
      </c>
      <c r="CC2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23">
        <f>IF(Таблица23[[#This Row],[АприорИСК классификация]]=Таблица23[[#This Row],[обучающая выборка]],1,0)</f>
        <v>1</v>
      </c>
      <c r="CE23" s="35">
        <v>-0.29303341577799391</v>
      </c>
      <c r="CF23" s="35">
        <v>-0.77836499856168717</v>
      </c>
      <c r="CG23" s="35">
        <v>-0.15289972498111309</v>
      </c>
      <c r="CH23" s="35">
        <v>1</v>
      </c>
      <c r="CI23" s="35">
        <v>3</v>
      </c>
      <c r="CJ23" s="36">
        <v>1</v>
      </c>
      <c r="CK23" s="35">
        <v>3</v>
      </c>
      <c r="CL23" s="36">
        <v>-0.29303341583869602</v>
      </c>
      <c r="CM23" s="36">
        <v>-0.77836499838971684</v>
      </c>
      <c r="CN23" s="36">
        <v>0.15289972513935571</v>
      </c>
    </row>
    <row r="24" spans="1:92" x14ac:dyDescent="0.25">
      <c r="A24" s="3" t="s">
        <v>37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SUMXMY2(Таблица23[[#This Row],[X1]:[X9]],Таблица23[[#Totals],[X1]:[X9]])</f>
        <v>2.5048975545449186</v>
      </c>
      <c r="P24" s="20">
        <v>5</v>
      </c>
      <c r="Q24" s="20" t="s">
        <v>189</v>
      </c>
      <c r="R24" s="20">
        <f>IF(VALUE(RIGHT(Таблица23[[#This Row],[функция]],1))=Таблица23[[#This Row],[обучающая выборка]],1,0)</f>
        <v>1</v>
      </c>
      <c r="S24" s="20">
        <f>IF(Таблица23[[#This Row],[обучающая выборка]]=Таблица23[[#This Row],[Result Lda]],1,0)</f>
        <v>1</v>
      </c>
      <c r="T24" s="20">
        <v>5</v>
      </c>
      <c r="U24" s="20" t="s">
        <v>189</v>
      </c>
      <c r="V24" s="20">
        <v>26.15</v>
      </c>
      <c r="W24" s="20">
        <v>2000.5740000000001</v>
      </c>
      <c r="X24" s="20">
        <v>29.084</v>
      </c>
      <c r="Y24" s="20">
        <v>56.584000000000003</v>
      </c>
      <c r="Z24" s="20">
        <v>2.7080000000000002</v>
      </c>
      <c r="AA24" s="20">
        <f>MIN(Таблица23[[#This Row],[Махал1]:[Махал5]])</f>
        <v>2.7080000000000002</v>
      </c>
      <c r="AB2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4" s="20">
        <f>IF(Таблица23[[#This Row],[Махаланобис классификация]]=Таблица23[[#This Row],[обучающая выборка]],1,0)</f>
        <v>1</v>
      </c>
      <c r="AD24" s="21" t="s">
        <v>189</v>
      </c>
      <c r="AE24" s="22">
        <v>1.4893835647175088E-5</v>
      </c>
      <c r="AF24" s="22">
        <v>0</v>
      </c>
      <c r="AG24" s="22">
        <v>1.8729825131276272E-6</v>
      </c>
      <c r="AH24" s="22">
        <v>1.6661947696900677E-12</v>
      </c>
      <c r="AI24" s="22">
        <v>0.99998323318017346</v>
      </c>
      <c r="AJ24">
        <f>MAX(Таблица23[[#This Row],[априор1]:[априор5]])</f>
        <v>0.99998323318017346</v>
      </c>
      <c r="AK2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4">
        <f>IF(Таблица23[[#This Row],[обучающая выборка]]=Таблица23[[#This Row],[Априор Классификация]],1,0)</f>
        <v>1</v>
      </c>
      <c r="AM24" t="s">
        <v>189</v>
      </c>
      <c r="AN24">
        <f>IF(VALUE(RIGHT(Таблица23[[#This Row],[фнкция ДА ВКЛ]],1))=Таблица23[[#This Row],[обучающая выборка]],1,0)</f>
        <v>1</v>
      </c>
      <c r="AO24">
        <f>IF(Таблица23[[#This Row],[обучающая выборка]]=Таблица23[[#This Row],[Result forward]],1,0)</f>
        <v>1</v>
      </c>
      <c r="AP24">
        <v>5</v>
      </c>
      <c r="AQ24" t="s">
        <v>189</v>
      </c>
      <c r="AR24">
        <v>14.569000000000001</v>
      </c>
      <c r="AS24">
        <v>1399.4760000000001</v>
      </c>
      <c r="AT24">
        <v>18.344000000000001</v>
      </c>
      <c r="AU24">
        <v>35.084000000000003</v>
      </c>
      <c r="AV24">
        <v>2.2709999999999999</v>
      </c>
      <c r="AW24">
        <f>MIN(Таблица23[[#This Row],[Махал1ВКЛ]:[Махал5ВКл]])</f>
        <v>2.2709999999999999</v>
      </c>
      <c r="AX2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24">
        <f>IF(Таблица23[[#This Row],[обучающая выборка]]=Таблица23[[#This Row],[МахаланобисКлассификацияВКЛ]],1,0)</f>
        <v>1</v>
      </c>
      <c r="AZ24" t="s">
        <v>189</v>
      </c>
      <c r="BA24">
        <v>3.8990000000000001E-3</v>
      </c>
      <c r="BB24">
        <v>0</v>
      </c>
      <c r="BC24">
        <v>3.2200000000000002E-4</v>
      </c>
      <c r="BD24">
        <v>0</v>
      </c>
      <c r="BE24">
        <v>0.99577899999999997</v>
      </c>
      <c r="BF24">
        <f>MAX(Таблица23[[#This Row],[АприорВКл1]:[АприорВКл5]])</f>
        <v>0.99577899999999997</v>
      </c>
      <c r="BG2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24">
        <f>IF(Таблица23[[#This Row],[АприорВклКлассификация]]=Таблица23[[#This Row],[обучающая выборка]],1,0)</f>
        <v>1</v>
      </c>
      <c r="BI24" s="21" t="s">
        <v>189</v>
      </c>
      <c r="BJ24" s="21">
        <f>IF(VALUE(RIGHT(Таблица23[[#This Row],[Фунция ДА ИСК]]))=Таблица23[[#This Row],[обучающая выборка]],1,0)</f>
        <v>1</v>
      </c>
      <c r="BK24" s="21">
        <f>IF(Таблица23[[#This Row],[обучающая выборка]]=Таблица23[[#This Row],[Result backward]],1,0)</f>
        <v>1</v>
      </c>
      <c r="BL24" s="21">
        <v>5</v>
      </c>
      <c r="BM24" t="s">
        <v>189</v>
      </c>
      <c r="BN24">
        <v>14.569000000000001</v>
      </c>
      <c r="BO24">
        <v>1399.4760000000001</v>
      </c>
      <c r="BP24">
        <v>18.344000000000001</v>
      </c>
      <c r="BQ24">
        <v>35.084000000000003</v>
      </c>
      <c r="BR24">
        <v>2.2709999999999999</v>
      </c>
      <c r="BS24">
        <f>MIN(Таблица23[[#This Row],[Махал1ИСК]:[Махал5ИСК]])</f>
        <v>2.2709999999999999</v>
      </c>
      <c r="BT2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24">
        <f>IF(Таблица23[[#This Row],[МАХАЛ ИСК Классификация]]=Таблица23[[#This Row],[обучающая выборка]],1,0)</f>
        <v>1</v>
      </c>
      <c r="BV24" t="s">
        <v>189</v>
      </c>
      <c r="BW24">
        <v>3.8990000000000001E-3</v>
      </c>
      <c r="BX24">
        <v>0</v>
      </c>
      <c r="BY24">
        <v>3.2200000000000002E-4</v>
      </c>
      <c r="BZ24">
        <v>0</v>
      </c>
      <c r="CA24">
        <v>0.99577899999999997</v>
      </c>
      <c r="CB24">
        <f>MAX(Таблица23[[#This Row],[АприорИСК1]]:Таблица23[[#This Row],[АприорИСК5]])</f>
        <v>0.99577899999999997</v>
      </c>
      <c r="CC2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24">
        <f>IF(Таблица23[[#This Row],[АприорИСК классификация]]=Таблица23[[#This Row],[обучающая выборка]],1,0)</f>
        <v>1</v>
      </c>
      <c r="CE24" s="35">
        <v>-0.33345235351372465</v>
      </c>
      <c r="CF24" s="35">
        <v>-0.68823478132908256</v>
      </c>
      <c r="CG24" s="35">
        <v>4.4906081310625734E-2</v>
      </c>
      <c r="CH24" s="35">
        <v>5</v>
      </c>
      <c r="CI24" s="35">
        <v>2</v>
      </c>
      <c r="CJ24" s="36">
        <v>1</v>
      </c>
      <c r="CK24" s="35">
        <v>3</v>
      </c>
      <c r="CL24" s="36">
        <v>-0.33345235357644498</v>
      </c>
      <c r="CM24" s="36">
        <v>-0.68823478122990644</v>
      </c>
      <c r="CN24" s="36">
        <v>-4.4906081187513103E-2</v>
      </c>
    </row>
    <row r="25" spans="1:92" x14ac:dyDescent="0.25">
      <c r="A25" s="3" t="s">
        <v>38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SUMXMY2(Таблица23[[#This Row],[X1]:[X9]],Таблица23[[#Totals],[X1]:[X9]])</f>
        <v>2.9034443673773915</v>
      </c>
      <c r="P25" s="20"/>
      <c r="Q25" s="20" t="s">
        <v>189</v>
      </c>
      <c r="R25" s="20">
        <f>IF(VALUE(RIGHT(Таблица23[[#This Row],[функция]],1))=Таблица23[[#This Row],[обучающая выборка]],1,0)</f>
        <v>0</v>
      </c>
      <c r="S25" s="20">
        <f>IF(Таблица23[[#This Row],[обучающая выборка]]=Таблица23[[#This Row],[Result Lda]],1,0)</f>
        <v>0</v>
      </c>
      <c r="T25" s="20">
        <v>1</v>
      </c>
      <c r="U25" s="20" t="s">
        <v>187</v>
      </c>
      <c r="V25" s="20">
        <v>36.115000000000002</v>
      </c>
      <c r="W25" s="20">
        <v>1843.3019999999999</v>
      </c>
      <c r="X25" s="20">
        <v>34.170999999999999</v>
      </c>
      <c r="Y25" s="20">
        <v>34.283999999999999</v>
      </c>
      <c r="Z25" s="20">
        <v>30.925999999999998</v>
      </c>
      <c r="AA25" s="20">
        <f>MIN(Таблица23[[#This Row],[Махал1]:[Махал5]])</f>
        <v>30.925999999999998</v>
      </c>
      <c r="AB2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5" s="20">
        <f>IF(Таблица23[[#This Row],[Махаланобис классификация]]=Таблица23[[#This Row],[обучающая выборка]],1,0)</f>
        <v>0</v>
      </c>
      <c r="AD25" s="21" t="s">
        <v>187</v>
      </c>
      <c r="AE25" s="22">
        <v>9.1909708578011964E-2</v>
      </c>
      <c r="AF25" s="22">
        <v>0</v>
      </c>
      <c r="AG25" s="22">
        <v>0.13253756899159108</v>
      </c>
      <c r="AH25" s="22">
        <v>0.10438148280582799</v>
      </c>
      <c r="AI25" s="22">
        <v>0.67117123962456882</v>
      </c>
      <c r="AJ25">
        <f>MAX(Таблица23[[#This Row],[априор1]:[априор5]])</f>
        <v>0.67117123962456882</v>
      </c>
      <c r="AK2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5">
        <f>IF(Таблица23[[#This Row],[обучающая выборка]]=Таблица23[[#This Row],[Априор Классификация]],1,0)</f>
        <v>0</v>
      </c>
      <c r="AM25" t="s">
        <v>186</v>
      </c>
      <c r="AN25">
        <f>IF(VALUE(RIGHT(Таблица23[[#This Row],[фнкция ДА ВКЛ]],1))=Таблица23[[#This Row],[обучающая выборка]],1,0)</f>
        <v>0</v>
      </c>
      <c r="AO25">
        <f>IF(Таблица23[[#This Row],[обучающая выборка]]=Таблица23[[#This Row],[Result forward]],1,0)</f>
        <v>0</v>
      </c>
      <c r="AP25">
        <v>1</v>
      </c>
      <c r="AQ25" t="s">
        <v>187</v>
      </c>
      <c r="AR25">
        <v>6.4340000000000002</v>
      </c>
      <c r="AS25">
        <v>1397.627</v>
      </c>
      <c r="AT25">
        <v>17.350999999999999</v>
      </c>
      <c r="AU25">
        <v>11.695</v>
      </c>
      <c r="AV25">
        <v>14.03</v>
      </c>
      <c r="AW25">
        <f>MIN(Таблица23[[#This Row],[Махал1ВКЛ]:[Махал5ВКл]])</f>
        <v>6.4340000000000002</v>
      </c>
      <c r="AX2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25">
        <f>IF(Таблица23[[#This Row],[обучающая выборка]]=Таблица23[[#This Row],[МахаланобисКлассификацияВКЛ]],1,0)</f>
        <v>0</v>
      </c>
      <c r="AZ25" t="s">
        <v>187</v>
      </c>
      <c r="BA25">
        <v>0.95484100000000005</v>
      </c>
      <c r="BB25">
        <v>0</v>
      </c>
      <c r="BC25">
        <v>2.2179999999999999E-3</v>
      </c>
      <c r="BD25">
        <v>3.1268999999999998E-2</v>
      </c>
      <c r="BE25">
        <v>1.1672E-2</v>
      </c>
      <c r="BF25">
        <f>MAX(Таблица23[[#This Row],[АприорВКл1]:[АприорВКл5]])</f>
        <v>0.95484100000000005</v>
      </c>
      <c r="BG2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25">
        <f>IF(Таблица23[[#This Row],[АприорВклКлассификация]]=Таблица23[[#This Row],[обучающая выборка]],1,0)</f>
        <v>0</v>
      </c>
      <c r="BI25" s="21" t="s">
        <v>186</v>
      </c>
      <c r="BJ25" s="21">
        <f>IF(VALUE(RIGHT(Таблица23[[#This Row],[Фунция ДА ИСК]]))=Таблица23[[#This Row],[обучающая выборка]],1,0)</f>
        <v>0</v>
      </c>
      <c r="BK25" s="21">
        <f>IF(Таблица23[[#This Row],[обучающая выборка]]=Таблица23[[#This Row],[Result backward]],1,0)</f>
        <v>0</v>
      </c>
      <c r="BL25" s="21">
        <v>1</v>
      </c>
      <c r="BM25" t="s">
        <v>187</v>
      </c>
      <c r="BN25">
        <v>6.4340000000000002</v>
      </c>
      <c r="BO25">
        <v>1397.627</v>
      </c>
      <c r="BP25">
        <v>17.350999999999999</v>
      </c>
      <c r="BQ25">
        <v>11.695</v>
      </c>
      <c r="BR25">
        <v>14.03</v>
      </c>
      <c r="BS25">
        <f>MIN(Таблица23[[#This Row],[Махал1ИСК]:[Махал5ИСК]])</f>
        <v>6.4340000000000002</v>
      </c>
      <c r="BT2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25">
        <f>IF(Таблица23[[#This Row],[МАХАЛ ИСК Классификация]]=Таблица23[[#This Row],[обучающая выборка]],1,0)</f>
        <v>0</v>
      </c>
      <c r="BV25" t="s">
        <v>187</v>
      </c>
      <c r="BW25">
        <v>0.95484100000000005</v>
      </c>
      <c r="BX25">
        <v>0</v>
      </c>
      <c r="BY25">
        <v>2.2179999999999999E-3</v>
      </c>
      <c r="BZ25">
        <v>3.1268999999999998E-2</v>
      </c>
      <c r="CA25">
        <v>1.1672E-2</v>
      </c>
      <c r="CB25">
        <f>MAX(Таблица23[[#This Row],[АприорИСК1]]:Таблица23[[#This Row],[АприорИСК5]])</f>
        <v>0.95484100000000005</v>
      </c>
      <c r="CC2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25">
        <f>IF(Таблица23[[#This Row],[АприорИСК классификация]]=Таблица23[[#This Row],[обучающая выборка]],1,0)</f>
        <v>0</v>
      </c>
      <c r="CE25" s="35">
        <v>0.55598953438220522</v>
      </c>
      <c r="CF25" s="35">
        <v>0.36992685755264626</v>
      </c>
      <c r="CG25" s="35">
        <v>-0.1519485561814376</v>
      </c>
      <c r="CH25" s="35">
        <v>5</v>
      </c>
      <c r="CI25" s="35">
        <v>4</v>
      </c>
      <c r="CJ25" s="36">
        <v>3</v>
      </c>
      <c r="CK25" s="35">
        <v>1</v>
      </c>
      <c r="CL25" s="36">
        <v>0.55598953439067955</v>
      </c>
      <c r="CM25" s="36">
        <v>0.36992685752735338</v>
      </c>
      <c r="CN25" s="36">
        <v>0.1519485562046535</v>
      </c>
    </row>
    <row r="26" spans="1:92" x14ac:dyDescent="0.25">
      <c r="A26" s="3" t="s">
        <v>39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SUMXMY2(Таблица23[[#This Row],[X1]:[X9]],Таблица23[[#Totals],[X1]:[X9]])</f>
        <v>0.78785227245208</v>
      </c>
      <c r="P26" s="20">
        <v>1</v>
      </c>
      <c r="Q26" s="20" t="s">
        <v>186</v>
      </c>
      <c r="R26" s="20">
        <f>IF(VALUE(RIGHT(Таблица23[[#This Row],[функция]],1))=Таблица23[[#This Row],[обучающая выборка]],1,0)</f>
        <v>1</v>
      </c>
      <c r="S26" s="20">
        <f>IF(Таблица23[[#This Row],[обучающая выборка]]=Таблица23[[#This Row],[Result Lda]],1,0)</f>
        <v>1</v>
      </c>
      <c r="T26" s="20">
        <v>1</v>
      </c>
      <c r="U26" s="20" t="s">
        <v>186</v>
      </c>
      <c r="V26" s="20">
        <v>9.4920000000000009</v>
      </c>
      <c r="W26" s="20">
        <v>2166.33</v>
      </c>
      <c r="X26" s="20">
        <v>32.466999999999999</v>
      </c>
      <c r="Y26" s="20">
        <v>33.151000000000003</v>
      </c>
      <c r="Z26" s="20">
        <v>26.635000000000002</v>
      </c>
      <c r="AA26" s="20">
        <f>MIN(Таблица23[[#This Row],[Махал1]:[Махал5]])</f>
        <v>9.4920000000000009</v>
      </c>
      <c r="AB2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26" s="20">
        <f>IF(Таблица23[[#This Row],[Махаланобис классификация]]=Таблица23[[#This Row],[обучающая выборка]],1,0)</f>
        <v>1</v>
      </c>
      <c r="AD26" s="21" t="s">
        <v>186</v>
      </c>
      <c r="AE26" s="22">
        <v>0.99988779400788519</v>
      </c>
      <c r="AF26" s="22">
        <v>0</v>
      </c>
      <c r="AG26" s="22">
        <v>5.5935237373561883E-6</v>
      </c>
      <c r="AH26" s="22">
        <v>3.311719367587234E-6</v>
      </c>
      <c r="AI26" s="22">
        <v>1.0330074900988491E-4</v>
      </c>
      <c r="AJ26">
        <f>MAX(Таблица23[[#This Row],[априор1]:[априор5]])</f>
        <v>0.99988779400788519</v>
      </c>
      <c r="AK2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26">
        <f>IF(Таблица23[[#This Row],[обучающая выборка]]=Таблица23[[#This Row],[Априор Классификация]],1,0)</f>
        <v>1</v>
      </c>
      <c r="AM26" t="s">
        <v>186</v>
      </c>
      <c r="AN26">
        <f>IF(VALUE(RIGHT(Таблица23[[#This Row],[фнкция ДА ВКЛ]],1))=Таблица23[[#This Row],[обучающая выборка]],1,0)</f>
        <v>1</v>
      </c>
      <c r="AO26">
        <f>IF(Таблица23[[#This Row],[обучающая выборка]]=Таблица23[[#This Row],[Result forward]],1,0)</f>
        <v>1</v>
      </c>
      <c r="AP26">
        <v>1</v>
      </c>
      <c r="AQ26" t="s">
        <v>186</v>
      </c>
      <c r="AR26">
        <v>3.0750000000000002</v>
      </c>
      <c r="AS26">
        <v>1491.5409999999999</v>
      </c>
      <c r="AT26">
        <v>18.643999999999998</v>
      </c>
      <c r="AU26">
        <v>16.841999999999999</v>
      </c>
      <c r="AV26">
        <v>10.81</v>
      </c>
      <c r="AW26">
        <f>MIN(Таблица23[[#This Row],[Махал1ВКЛ]:[Махал5ВКл]])</f>
        <v>3.0750000000000002</v>
      </c>
      <c r="AX2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26">
        <f>IF(Таблица23[[#This Row],[обучающая выборка]]=Таблица23[[#This Row],[МахаланобисКлассификацияВКЛ]],1,0)</f>
        <v>1</v>
      </c>
      <c r="AZ26" t="s">
        <v>186</v>
      </c>
      <c r="BA26">
        <v>0.988043</v>
      </c>
      <c r="BB26">
        <v>0</v>
      </c>
      <c r="BC26">
        <v>2.24E-4</v>
      </c>
      <c r="BD26">
        <v>4.6000000000000001E-4</v>
      </c>
      <c r="BE26">
        <v>1.1273E-2</v>
      </c>
      <c r="BF26">
        <f>MAX(Таблица23[[#This Row],[АприорВКл1]:[АприорВКл5]])</f>
        <v>0.988043</v>
      </c>
      <c r="BG2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26">
        <f>IF(Таблица23[[#This Row],[АприорВклКлассификация]]=Таблица23[[#This Row],[обучающая выборка]],1,0)</f>
        <v>1</v>
      </c>
      <c r="BI26" s="21" t="s">
        <v>186</v>
      </c>
      <c r="BJ26" s="21">
        <f>IF(VALUE(RIGHT(Таблица23[[#This Row],[Фунция ДА ИСК]]))=Таблица23[[#This Row],[обучающая выборка]],1,0)</f>
        <v>1</v>
      </c>
      <c r="BK26" s="21">
        <f>IF(Таблица23[[#This Row],[обучающая выборка]]=Таблица23[[#This Row],[Result backward]],1,0)</f>
        <v>1</v>
      </c>
      <c r="BL26" s="21">
        <v>1</v>
      </c>
      <c r="BM26" t="s">
        <v>186</v>
      </c>
      <c r="BN26">
        <v>3.0750000000000002</v>
      </c>
      <c r="BO26">
        <v>1491.5409999999999</v>
      </c>
      <c r="BP26">
        <v>18.643999999999998</v>
      </c>
      <c r="BQ26">
        <v>16.841999999999999</v>
      </c>
      <c r="BR26">
        <v>10.81</v>
      </c>
      <c r="BS26">
        <f>MIN(Таблица23[[#This Row],[Махал1ИСК]:[Махал5ИСК]])</f>
        <v>3.0750000000000002</v>
      </c>
      <c r="BT2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26">
        <f>IF(Таблица23[[#This Row],[МАХАЛ ИСК Классификация]]=Таблица23[[#This Row],[обучающая выборка]],1,0)</f>
        <v>1</v>
      </c>
      <c r="BV26" t="s">
        <v>186</v>
      </c>
      <c r="BW26">
        <v>0.988043</v>
      </c>
      <c r="BX26">
        <v>0</v>
      </c>
      <c r="BY26">
        <v>2.24E-4</v>
      </c>
      <c r="BZ26">
        <v>4.6000000000000001E-4</v>
      </c>
      <c r="CA26">
        <v>1.1273E-2</v>
      </c>
      <c r="CB26">
        <f>MAX(Таблица23[[#This Row],[АприорИСК1]]:Таблица23[[#This Row],[АприорИСК5]])</f>
        <v>0.988043</v>
      </c>
      <c r="CC2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26">
        <f>IF(Таблица23[[#This Row],[АприорИСК классификация]]=Таблица23[[#This Row],[обучающая выборка]],1,0)</f>
        <v>1</v>
      </c>
      <c r="CE26" s="35">
        <v>0.1537397590988735</v>
      </c>
      <c r="CF26" s="35">
        <v>-0.12248831943674655</v>
      </c>
      <c r="CG26" s="35">
        <v>-0.63020048737084589</v>
      </c>
      <c r="CH26" s="35">
        <v>2</v>
      </c>
      <c r="CI26" s="35">
        <v>3</v>
      </c>
      <c r="CJ26" s="36">
        <v>4</v>
      </c>
      <c r="CK26" s="35">
        <v>3</v>
      </c>
      <c r="CL26" s="36">
        <v>0.15373975901280851</v>
      </c>
      <c r="CM26" s="36">
        <v>-0.1224883195016486</v>
      </c>
      <c r="CN26" s="36">
        <v>0.63020048729591793</v>
      </c>
    </row>
    <row r="27" spans="1:92" x14ac:dyDescent="0.25">
      <c r="A27" s="3" t="s">
        <v>40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SUMXMY2(Таблица23[[#This Row],[X1]:[X9]],Таблица23[[#Totals],[X1]:[X9]])</f>
        <v>8.2523299787466176</v>
      </c>
      <c r="P27" s="20">
        <v>3</v>
      </c>
      <c r="Q27" s="20" t="s">
        <v>188</v>
      </c>
      <c r="R27" s="20">
        <f>IF(VALUE(RIGHT(Таблица23[[#This Row],[функция]],1))=Таблица23[[#This Row],[обучающая выборка]],1,0)</f>
        <v>1</v>
      </c>
      <c r="S27" s="20">
        <f>IF(Таблица23[[#This Row],[обучающая выборка]]=Таблица23[[#This Row],[Result Lda]],1,0)</f>
        <v>1</v>
      </c>
      <c r="T27" s="20">
        <v>3</v>
      </c>
      <c r="U27" s="20" t="s">
        <v>188</v>
      </c>
      <c r="V27" s="20">
        <v>43.280999999999999</v>
      </c>
      <c r="W27" s="20">
        <v>1998.7249999999999</v>
      </c>
      <c r="X27" s="20">
        <v>11.327</v>
      </c>
      <c r="Y27" s="20">
        <v>54.156999999999996</v>
      </c>
      <c r="Z27" s="20">
        <v>64.497</v>
      </c>
      <c r="AA27" s="20">
        <f>MIN(Таблица23[[#This Row],[Махал1]:[Махал5]])</f>
        <v>11.327</v>
      </c>
      <c r="AB2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27" s="20">
        <f>IF(Таблица23[[#This Row],[Махаланобис классификация]]=Таблица23[[#This Row],[обучающая выборка]],1,0)</f>
        <v>1</v>
      </c>
      <c r="AD27" s="21" t="s">
        <v>188</v>
      </c>
      <c r="AE27" s="22">
        <v>2.1110371556749331E-7</v>
      </c>
      <c r="AF27" s="22">
        <v>0</v>
      </c>
      <c r="AG27" s="22">
        <v>0.99999978847614757</v>
      </c>
      <c r="AH27" s="22">
        <v>4.1729101005550508E-10</v>
      </c>
      <c r="AI27" s="22">
        <v>2.8458596271273647E-12</v>
      </c>
      <c r="AJ27">
        <f>MAX(Таблица23[[#This Row],[априор1]:[априор5]])</f>
        <v>0.99999978847614757</v>
      </c>
      <c r="AK2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27">
        <f>IF(Таблица23[[#This Row],[обучающая выборка]]=Таблица23[[#This Row],[Априор Классификация]],1,0)</f>
        <v>1</v>
      </c>
      <c r="AM27" t="s">
        <v>188</v>
      </c>
      <c r="AN27">
        <f>IF(VALUE(RIGHT(Таблица23[[#This Row],[фнкция ДА ВКЛ]],1))=Таблица23[[#This Row],[обучающая выборка]],1,0)</f>
        <v>1</v>
      </c>
      <c r="AO27">
        <f>IF(Таблица23[[#This Row],[обучающая выборка]]=Таблица23[[#This Row],[Result forward]],1,0)</f>
        <v>1</v>
      </c>
      <c r="AP27">
        <v>3</v>
      </c>
      <c r="AQ27" t="s">
        <v>188</v>
      </c>
      <c r="AR27">
        <v>28.640999999999998</v>
      </c>
      <c r="AS27">
        <v>1319.94</v>
      </c>
      <c r="AT27">
        <v>2.0070000000000001</v>
      </c>
      <c r="AU27">
        <v>39.835000000000001</v>
      </c>
      <c r="AV27">
        <v>35.225000000000001</v>
      </c>
      <c r="AW27">
        <f>MIN(Таблица23[[#This Row],[Махал1ВКЛ]:[Махал5ВКл]])</f>
        <v>2.0070000000000001</v>
      </c>
      <c r="AX2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27">
        <f>IF(Таблица23[[#This Row],[обучающая выборка]]=Таблица23[[#This Row],[МахаланобисКлассификацияВКЛ]],1,0)</f>
        <v>1</v>
      </c>
      <c r="AZ27" t="s">
        <v>188</v>
      </c>
      <c r="BA27">
        <v>3.0000000000000001E-6</v>
      </c>
      <c r="BB27">
        <v>0</v>
      </c>
      <c r="BC27">
        <v>0.99999700000000002</v>
      </c>
      <c r="BD27">
        <v>0</v>
      </c>
      <c r="BE27">
        <v>0</v>
      </c>
      <c r="BF27">
        <f>MAX(Таблица23[[#This Row],[АприорВКл1]:[АприорВКл5]])</f>
        <v>0.99999700000000002</v>
      </c>
      <c r="BG2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27">
        <f>IF(Таблица23[[#This Row],[АприорВклКлассификация]]=Таблица23[[#This Row],[обучающая выборка]],1,0)</f>
        <v>1</v>
      </c>
      <c r="BI27" s="21" t="s">
        <v>188</v>
      </c>
      <c r="BJ27" s="21">
        <f>IF(VALUE(RIGHT(Таблица23[[#This Row],[Фунция ДА ИСК]]))=Таблица23[[#This Row],[обучающая выборка]],1,0)</f>
        <v>1</v>
      </c>
      <c r="BK27" s="21">
        <f>IF(Таблица23[[#This Row],[обучающая выборка]]=Таблица23[[#This Row],[Result backward]],1,0)</f>
        <v>1</v>
      </c>
      <c r="BL27" s="21">
        <v>3</v>
      </c>
      <c r="BM27" t="s">
        <v>188</v>
      </c>
      <c r="BN27">
        <v>28.640999999999998</v>
      </c>
      <c r="BO27">
        <v>1319.94</v>
      </c>
      <c r="BP27">
        <v>2.0070000000000001</v>
      </c>
      <c r="BQ27">
        <v>39.835000000000001</v>
      </c>
      <c r="BR27">
        <v>35.225000000000001</v>
      </c>
      <c r="BS27">
        <f>MIN(Таблица23[[#This Row],[Махал1ИСК]:[Махал5ИСК]])</f>
        <v>2.0070000000000001</v>
      </c>
      <c r="BT2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27">
        <f>IF(Таблица23[[#This Row],[МАХАЛ ИСК Классификация]]=Таблица23[[#This Row],[обучающая выборка]],1,0)</f>
        <v>1</v>
      </c>
      <c r="BV27" t="s">
        <v>188</v>
      </c>
      <c r="BW27">
        <v>3.0000000000000001E-6</v>
      </c>
      <c r="BX27">
        <v>0</v>
      </c>
      <c r="BY27">
        <v>0.99999700000000002</v>
      </c>
      <c r="BZ27">
        <v>0</v>
      </c>
      <c r="CA27">
        <v>0</v>
      </c>
      <c r="CB27">
        <f>MAX(Таблица23[[#This Row],[АприорИСК1]]:Таблица23[[#This Row],[АприорИСК5]])</f>
        <v>0.99999700000000002</v>
      </c>
      <c r="CC2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27">
        <f>IF(Таблица23[[#This Row],[АприорИСК классификация]]=Таблица23[[#This Row],[обучающая выборка]],1,0)</f>
        <v>1</v>
      </c>
      <c r="CE27" s="35">
        <v>-0.48486101111376884</v>
      </c>
      <c r="CF27" s="35">
        <v>-1.1674328689694182</v>
      </c>
      <c r="CG27" s="35">
        <v>1.1482292496937001</v>
      </c>
      <c r="CH27" s="35">
        <v>5</v>
      </c>
      <c r="CI27" s="35">
        <v>2</v>
      </c>
      <c r="CJ27" s="36">
        <v>1</v>
      </c>
      <c r="CK27" s="35">
        <v>5</v>
      </c>
      <c r="CL27" s="36">
        <v>-0.48486101125148762</v>
      </c>
      <c r="CM27" s="36">
        <v>-1.1674328690061639</v>
      </c>
      <c r="CN27" s="36">
        <v>-1.148229249366427</v>
      </c>
    </row>
    <row r="28" spans="1:92" x14ac:dyDescent="0.25">
      <c r="A28" s="3" t="s">
        <v>41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SUMXMY2(Таблица23[[#This Row],[X1]:[X9]],Таблица23[[#Totals],[X1]:[X9]])</f>
        <v>3.406241559376638</v>
      </c>
      <c r="P28" s="20"/>
      <c r="Q28" s="20" t="s">
        <v>186</v>
      </c>
      <c r="R28" s="20">
        <f>IF(VALUE(RIGHT(Таблица23[[#This Row],[функция]],1))=Таблица23[[#This Row],[обучающая выборка]],1,0)</f>
        <v>0</v>
      </c>
      <c r="S28" s="20">
        <f>IF(Таблица23[[#This Row],[обучающая выборка]]=Таблица23[[#This Row],[Result Lda]],1,0)</f>
        <v>0</v>
      </c>
      <c r="T28" s="20">
        <v>1</v>
      </c>
      <c r="U28" s="20" t="s">
        <v>187</v>
      </c>
      <c r="V28" s="20">
        <v>12.619</v>
      </c>
      <c r="W28" s="20">
        <v>2016.046</v>
      </c>
      <c r="X28" s="20">
        <v>27.436</v>
      </c>
      <c r="Y28" s="20">
        <v>24.460999999999999</v>
      </c>
      <c r="Z28" s="20">
        <v>37.567</v>
      </c>
      <c r="AA28" s="20">
        <f>MIN(Таблица23[[#This Row],[Махал1]:[Махал5]])</f>
        <v>12.619</v>
      </c>
      <c r="AB2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28" s="20">
        <f>IF(Таблица23[[#This Row],[Махаланобис классификация]]=Таблица23[[#This Row],[обучающая выборка]],1,0)</f>
        <v>0</v>
      </c>
      <c r="AD28" s="21" t="s">
        <v>187</v>
      </c>
      <c r="AE28" s="22">
        <v>0.99844976165319299</v>
      </c>
      <c r="AF28" s="22">
        <v>0</v>
      </c>
      <c r="AG28" s="22">
        <v>3.3019743265195762E-4</v>
      </c>
      <c r="AH28" s="22">
        <v>1.2179573150640135E-3</v>
      </c>
      <c r="AI28" s="22">
        <v>2.0835990909394041E-6</v>
      </c>
      <c r="AJ28">
        <f>MAX(Таблица23[[#This Row],[априор1]:[априор5]])</f>
        <v>0.99844976165319299</v>
      </c>
      <c r="AK2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28">
        <f>IF(Таблица23[[#This Row],[обучающая выборка]]=Таблица23[[#This Row],[Априор Классификация]],1,0)</f>
        <v>0</v>
      </c>
      <c r="AM28" t="s">
        <v>186</v>
      </c>
      <c r="AN28">
        <f>IF(VALUE(RIGHT(Таблица23[[#This Row],[фнкция ДА ВКЛ]],1))=Таблица23[[#This Row],[обучающая выборка]],1,0)</f>
        <v>0</v>
      </c>
      <c r="AO28">
        <f>IF(Таблица23[[#This Row],[обучающая выборка]]=Таблица23[[#This Row],[Result forward]],1,0)</f>
        <v>0</v>
      </c>
      <c r="AP28">
        <v>1</v>
      </c>
      <c r="AQ28" t="s">
        <v>187</v>
      </c>
      <c r="AR28">
        <v>2.427</v>
      </c>
      <c r="AS28">
        <v>1415.701</v>
      </c>
      <c r="AT28">
        <v>24.939</v>
      </c>
      <c r="AU28">
        <v>13.73</v>
      </c>
      <c r="AV28">
        <v>27.268999999999998</v>
      </c>
      <c r="AW28">
        <f>MIN(Таблица23[[#This Row],[Махал1ВКЛ]:[Махал5ВКл]])</f>
        <v>2.427</v>
      </c>
      <c r="AX2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28">
        <f>IF(Таблица23[[#This Row],[обучающая выборка]]=Таблица23[[#This Row],[МахаланобисКлассификацияВКЛ]],1,0)</f>
        <v>0</v>
      </c>
      <c r="AZ28" t="s">
        <v>187</v>
      </c>
      <c r="BA28">
        <v>0.99839599999999995</v>
      </c>
      <c r="BB28">
        <v>0</v>
      </c>
      <c r="BC28">
        <v>6.9999999999999999E-6</v>
      </c>
      <c r="BD28">
        <v>1.5939999999999999E-3</v>
      </c>
      <c r="BE28">
        <v>1.9999999999999999E-6</v>
      </c>
      <c r="BF28">
        <f>MAX(Таблица23[[#This Row],[АприорВКл1]:[АприорВКл5]])</f>
        <v>0.99839599999999995</v>
      </c>
      <c r="BG2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28">
        <f>IF(Таблица23[[#This Row],[АприорВклКлассификация]]=Таблица23[[#This Row],[обучающая выборка]],1,0)</f>
        <v>0</v>
      </c>
      <c r="BI28" s="21" t="s">
        <v>186</v>
      </c>
      <c r="BJ28" s="21">
        <f>IF(VALUE(RIGHT(Таблица23[[#This Row],[Фунция ДА ИСК]]))=Таблица23[[#This Row],[обучающая выборка]],1,0)</f>
        <v>0</v>
      </c>
      <c r="BK28" s="21">
        <f>IF(Таблица23[[#This Row],[обучающая выборка]]=Таблица23[[#This Row],[Result backward]],1,0)</f>
        <v>0</v>
      </c>
      <c r="BL28" s="21">
        <v>1</v>
      </c>
      <c r="BM28" t="s">
        <v>187</v>
      </c>
      <c r="BN28">
        <v>2.427</v>
      </c>
      <c r="BO28">
        <v>1415.701</v>
      </c>
      <c r="BP28">
        <v>24.939</v>
      </c>
      <c r="BQ28">
        <v>13.73</v>
      </c>
      <c r="BR28">
        <v>27.268999999999998</v>
      </c>
      <c r="BS28">
        <f>MIN(Таблица23[[#This Row],[Махал1ИСК]:[Махал5ИСК]])</f>
        <v>2.427</v>
      </c>
      <c r="BT2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28">
        <f>IF(Таблица23[[#This Row],[МАХАЛ ИСК Классификация]]=Таблица23[[#This Row],[обучающая выборка]],1,0)</f>
        <v>0</v>
      </c>
      <c r="BV28" t="s">
        <v>187</v>
      </c>
      <c r="BW28">
        <v>0.99839599999999995</v>
      </c>
      <c r="BX28">
        <v>0</v>
      </c>
      <c r="BY28">
        <v>6.9999999999999999E-6</v>
      </c>
      <c r="BZ28">
        <v>1.5939999999999999E-3</v>
      </c>
      <c r="CA28">
        <v>1.9999999999999999E-6</v>
      </c>
      <c r="CB28">
        <f>MAX(Таблица23[[#This Row],[АприорИСК1]]:Таблица23[[#This Row],[АприорИСК5]])</f>
        <v>0.99839599999999995</v>
      </c>
      <c r="CC2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28">
        <f>IF(Таблица23[[#This Row],[АприорИСК классификация]]=Таблица23[[#This Row],[обучающая выборка]],1,0)</f>
        <v>0</v>
      </c>
      <c r="CE28" s="35">
        <v>0.37178713265683538</v>
      </c>
      <c r="CF28" s="35">
        <v>-0.47906210129195392</v>
      </c>
      <c r="CG28" s="35">
        <v>1.1829842322312998</v>
      </c>
      <c r="CH28" s="35">
        <v>4</v>
      </c>
      <c r="CI28" s="35">
        <v>2</v>
      </c>
      <c r="CJ28" s="36">
        <v>3</v>
      </c>
      <c r="CK28" s="35">
        <v>5</v>
      </c>
      <c r="CL28" s="36">
        <v>0.37178713258116619</v>
      </c>
      <c r="CM28" s="36">
        <v>-0.47906210128175603</v>
      </c>
      <c r="CN28" s="36">
        <v>-1.1829842318738699</v>
      </c>
    </row>
    <row r="29" spans="1:92" x14ac:dyDescent="0.25">
      <c r="A29" s="3" t="s">
        <v>42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SUMXMY2(Таблица23[[#This Row],[X1]:[X9]],Таблица23[[#Totals],[X1]:[X9]])</f>
        <v>6.7372535080252494</v>
      </c>
      <c r="P29" s="20"/>
      <c r="Q29" s="20" t="s">
        <v>189</v>
      </c>
      <c r="R29" s="20">
        <f>IF(VALUE(RIGHT(Таблица23[[#This Row],[функция]],1))=Таблица23[[#This Row],[обучающая выборка]],1,0)</f>
        <v>0</v>
      </c>
      <c r="S29" s="20">
        <f>IF(Таблица23[[#This Row],[обучающая выборка]]=Таблица23[[#This Row],[Result Lda]],1,0)</f>
        <v>0</v>
      </c>
      <c r="T29" s="20">
        <v>5</v>
      </c>
      <c r="U29" s="20" t="s">
        <v>187</v>
      </c>
      <c r="V29" s="20">
        <v>134.31399999999999</v>
      </c>
      <c r="W29" s="20">
        <v>1750.191</v>
      </c>
      <c r="X29" s="20">
        <v>95.463999999999999</v>
      </c>
      <c r="Y29" s="20">
        <v>134.899</v>
      </c>
      <c r="Z29" s="20">
        <v>77.799000000000007</v>
      </c>
      <c r="AA29" s="20">
        <f>MIN(Таблица23[[#This Row],[Махал1]:[Махал5]])</f>
        <v>77.799000000000007</v>
      </c>
      <c r="AB2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9" s="20">
        <f>IF(Таблица23[[#This Row],[Махаланобис классификация]]=Таблица23[[#This Row],[обучающая выборка]],1,0)</f>
        <v>0</v>
      </c>
      <c r="AD29" s="21" t="s">
        <v>187</v>
      </c>
      <c r="AE29" s="22">
        <v>9.7954443501303062E-13</v>
      </c>
      <c r="AF29" s="22">
        <v>0</v>
      </c>
      <c r="AG29" s="22">
        <v>1.4587459749014657E-4</v>
      </c>
      <c r="AH29" s="22">
        <v>3.3240056104910137E-13</v>
      </c>
      <c r="AI29" s="22">
        <v>0.99985412540119789</v>
      </c>
      <c r="AJ29">
        <f>MAX(Таблица23[[#This Row],[априор1]:[априор5]])</f>
        <v>0.99985412540119789</v>
      </c>
      <c r="AK2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9">
        <f>IF(Таблица23[[#This Row],[обучающая выборка]]=Таблица23[[#This Row],[Априор Классификация]],1,0)</f>
        <v>0</v>
      </c>
      <c r="AM29" t="s">
        <v>189</v>
      </c>
      <c r="AN29">
        <f>IF(VALUE(RIGHT(Таблица23[[#This Row],[фнкция ДА ВКЛ]],1))=Таблица23[[#This Row],[обучающая выборка]],1,0)</f>
        <v>0</v>
      </c>
      <c r="AO29">
        <f>IF(Таблица23[[#This Row],[обучающая выборка]]=Таблица23[[#This Row],[Result forward]],1,0)</f>
        <v>0</v>
      </c>
      <c r="AP29">
        <v>5</v>
      </c>
      <c r="AQ29" t="s">
        <v>187</v>
      </c>
      <c r="AR29">
        <v>46.828000000000003</v>
      </c>
      <c r="AS29">
        <v>1367.7270000000001</v>
      </c>
      <c r="AT29">
        <v>39.593000000000004</v>
      </c>
      <c r="AU29">
        <v>70.134</v>
      </c>
      <c r="AV29">
        <v>13.076000000000001</v>
      </c>
      <c r="AW29">
        <f>MIN(Таблица23[[#This Row],[Махал1ВКЛ]:[Махал5ВКл]])</f>
        <v>13.076000000000001</v>
      </c>
      <c r="AX2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29">
        <f>IF(Таблица23[[#This Row],[обучающая выборка]]=Таблица23[[#This Row],[МахаланобисКлассификацияВКЛ]],1,0)</f>
        <v>0</v>
      </c>
      <c r="AZ29" t="s">
        <v>187</v>
      </c>
      <c r="BA29">
        <v>0</v>
      </c>
      <c r="BB29">
        <v>0</v>
      </c>
      <c r="BC29">
        <v>1.9999999999999999E-6</v>
      </c>
      <c r="BD29">
        <v>0</v>
      </c>
      <c r="BE29">
        <v>0.99999800000000005</v>
      </c>
      <c r="BF29">
        <f>MAX(Таблица23[[#This Row],[АприорВКл1]:[АприорВКл5]])</f>
        <v>0.99999800000000005</v>
      </c>
      <c r="BG2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29">
        <f>IF(Таблица23[[#This Row],[АприорВклКлассификация]]=Таблица23[[#This Row],[обучающая выборка]],1,0)</f>
        <v>0</v>
      </c>
      <c r="BI29" s="21" t="s">
        <v>189</v>
      </c>
      <c r="BJ29" s="21">
        <f>IF(VALUE(RIGHT(Таблица23[[#This Row],[Фунция ДА ИСК]]))=Таблица23[[#This Row],[обучающая выборка]],1,0)</f>
        <v>0</v>
      </c>
      <c r="BK29" s="21">
        <f>IF(Таблица23[[#This Row],[обучающая выборка]]=Таблица23[[#This Row],[Result backward]],1,0)</f>
        <v>0</v>
      </c>
      <c r="BL29" s="21">
        <v>5</v>
      </c>
      <c r="BM29" t="s">
        <v>187</v>
      </c>
      <c r="BN29">
        <v>46.828000000000003</v>
      </c>
      <c r="BO29">
        <v>1367.7270000000001</v>
      </c>
      <c r="BP29">
        <v>39.593000000000004</v>
      </c>
      <c r="BQ29">
        <v>70.134</v>
      </c>
      <c r="BR29">
        <v>13.076000000000001</v>
      </c>
      <c r="BS29">
        <f>MIN(Таблица23[[#This Row],[Махал1ИСК]:[Махал5ИСК]])</f>
        <v>13.076000000000001</v>
      </c>
      <c r="BT2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29">
        <f>IF(Таблица23[[#This Row],[МАХАЛ ИСК Классификация]]=Таблица23[[#This Row],[обучающая выборка]],1,0)</f>
        <v>0</v>
      </c>
      <c r="BV29" t="s">
        <v>187</v>
      </c>
      <c r="BW29">
        <v>0</v>
      </c>
      <c r="BX29">
        <v>0</v>
      </c>
      <c r="BY29">
        <v>1.9999999999999999E-6</v>
      </c>
      <c r="BZ29">
        <v>0</v>
      </c>
      <c r="CA29">
        <v>0.99999800000000005</v>
      </c>
      <c r="CB29">
        <f>MAX(Таблица23[[#This Row],[АприорИСК1]]:Таблица23[[#This Row],[АприорИСК5]])</f>
        <v>0.99999800000000005</v>
      </c>
      <c r="CC2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29">
        <f>IF(Таблица23[[#This Row],[АприорИСК классификация]]=Таблица23[[#This Row],[обучающая выборка]],1,0)</f>
        <v>0</v>
      </c>
      <c r="CE29" s="35">
        <v>-0.27647820223799713</v>
      </c>
      <c r="CF29" s="35">
        <v>0.26612729570288401</v>
      </c>
      <c r="CG29" s="35">
        <v>-4.4117898623385887E-2</v>
      </c>
      <c r="CH29" s="35">
        <v>2</v>
      </c>
      <c r="CI29" s="35">
        <v>2</v>
      </c>
      <c r="CJ29" s="36">
        <v>1</v>
      </c>
      <c r="CK29" s="35">
        <v>3</v>
      </c>
      <c r="CL29" s="36">
        <v>-0.2764782022669241</v>
      </c>
      <c r="CM29" s="36">
        <v>0.26612729566572901</v>
      </c>
      <c r="CN29" s="36">
        <v>4.4117898871793668E-2</v>
      </c>
    </row>
    <row r="30" spans="1:92" x14ac:dyDescent="0.25">
      <c r="A30" s="3" t="s">
        <v>43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SUMXMY2(Таблица23[[#This Row],[X1]:[X9]],Таблица23[[#Totals],[X1]:[X9]])</f>
        <v>3.105143675171409</v>
      </c>
      <c r="P30" s="20">
        <v>3</v>
      </c>
      <c r="Q30" s="20" t="s">
        <v>188</v>
      </c>
      <c r="R30" s="20">
        <f>IF(VALUE(RIGHT(Таблица23[[#This Row],[функция]],1))=Таблица23[[#This Row],[обучающая выборка]],1,0)</f>
        <v>1</v>
      </c>
      <c r="S30" s="20">
        <f>IF(Таблица23[[#This Row],[обучающая выборка]]=Таблица23[[#This Row],[Result Lda]],1,0)</f>
        <v>1</v>
      </c>
      <c r="T30" s="20">
        <v>3</v>
      </c>
      <c r="U30" s="20" t="s">
        <v>188</v>
      </c>
      <c r="V30" s="20">
        <v>39.915999999999997</v>
      </c>
      <c r="W30" s="20">
        <v>1835.913</v>
      </c>
      <c r="X30" s="20">
        <v>9.0589999999999993</v>
      </c>
      <c r="Y30" s="20">
        <v>44.911999999999999</v>
      </c>
      <c r="Z30" s="20">
        <v>41.268999999999998</v>
      </c>
      <c r="AA30" s="20">
        <f>MIN(Таблица23[[#This Row],[Махал1]:[Махал5]])</f>
        <v>9.0589999999999993</v>
      </c>
      <c r="AB3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30" s="20">
        <f>IF(Таблица23[[#This Row],[Махаланобис классификация]]=Таблица23[[#This Row],[обучающая выборка]],1,0)</f>
        <v>1</v>
      </c>
      <c r="AD30" s="21" t="s">
        <v>188</v>
      </c>
      <c r="AE30" s="22">
        <v>3.653428775389718E-7</v>
      </c>
      <c r="AF30" s="22">
        <v>0</v>
      </c>
      <c r="AG30" s="22">
        <v>0.99999951972628187</v>
      </c>
      <c r="AH30" s="22">
        <v>1.3655367399224479E-8</v>
      </c>
      <c r="AI30" s="22">
        <v>1.0127547318967895E-7</v>
      </c>
      <c r="AJ30">
        <f>MAX(Таблица23[[#This Row],[априор1]:[априор5]])</f>
        <v>0.99999951972628187</v>
      </c>
      <c r="AK3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30">
        <f>IF(Таблица23[[#This Row],[обучающая выборка]]=Таблица23[[#This Row],[Априор Классификация]],1,0)</f>
        <v>1</v>
      </c>
      <c r="AM30" t="s">
        <v>188</v>
      </c>
      <c r="AN30">
        <f>IF(VALUE(RIGHT(Таблица23[[#This Row],[фнкция ДА ВКЛ]],1))=Таблица23[[#This Row],[обучающая выборка]],1,0)</f>
        <v>1</v>
      </c>
      <c r="AO30">
        <f>IF(Таблица23[[#This Row],[обучающая выборка]]=Таблица23[[#This Row],[Result forward]],1,0)</f>
        <v>1</v>
      </c>
      <c r="AP30">
        <v>3</v>
      </c>
      <c r="AQ30" t="s">
        <v>188</v>
      </c>
      <c r="AR30">
        <v>24.504999999999999</v>
      </c>
      <c r="AS30">
        <v>1343.9459999999999</v>
      </c>
      <c r="AT30">
        <v>1.621</v>
      </c>
      <c r="AU30">
        <v>36.377000000000002</v>
      </c>
      <c r="AV30">
        <v>27.05</v>
      </c>
      <c r="AW30">
        <f>MIN(Таблица23[[#This Row],[Махал1ВКЛ]:[Махал5ВКл]])</f>
        <v>1.621</v>
      </c>
      <c r="AX3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30">
        <f>IF(Таблица23[[#This Row],[обучающая выборка]]=Таблица23[[#This Row],[МахаланобисКлассификацияВКЛ]],1,0)</f>
        <v>1</v>
      </c>
      <c r="AZ30" t="s">
        <v>188</v>
      </c>
      <c r="BA30">
        <v>2.0000000000000002E-5</v>
      </c>
      <c r="BB30">
        <v>0</v>
      </c>
      <c r="BC30">
        <v>0.999977</v>
      </c>
      <c r="BD30">
        <v>0</v>
      </c>
      <c r="BE30">
        <v>3.0000000000000001E-6</v>
      </c>
      <c r="BF30">
        <f>MAX(Таблица23[[#This Row],[АприорВКл1]:[АприорВКл5]])</f>
        <v>0.999977</v>
      </c>
      <c r="BG3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30">
        <f>IF(Таблица23[[#This Row],[АприорВклКлассификация]]=Таблица23[[#This Row],[обучающая выборка]],1,0)</f>
        <v>1</v>
      </c>
      <c r="BI30" s="21" t="s">
        <v>188</v>
      </c>
      <c r="BJ30" s="21">
        <f>IF(VALUE(RIGHT(Таблица23[[#This Row],[Фунция ДА ИСК]]))=Таблица23[[#This Row],[обучающая выборка]],1,0)</f>
        <v>1</v>
      </c>
      <c r="BK30" s="21">
        <f>IF(Таблица23[[#This Row],[обучающая выборка]]=Таблица23[[#This Row],[Result backward]],1,0)</f>
        <v>1</v>
      </c>
      <c r="BL30" s="21">
        <v>3</v>
      </c>
      <c r="BM30" t="s">
        <v>188</v>
      </c>
      <c r="BN30">
        <v>24.504999999999999</v>
      </c>
      <c r="BO30">
        <v>1343.9459999999999</v>
      </c>
      <c r="BP30">
        <v>1.621</v>
      </c>
      <c r="BQ30">
        <v>36.377000000000002</v>
      </c>
      <c r="BR30">
        <v>27.05</v>
      </c>
      <c r="BS30">
        <f>MIN(Таблица23[[#This Row],[Махал1ИСК]:[Махал5ИСК]])</f>
        <v>1.621</v>
      </c>
      <c r="BT3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30">
        <f>IF(Таблица23[[#This Row],[МАХАЛ ИСК Классификация]]=Таблица23[[#This Row],[обучающая выборка]],1,0)</f>
        <v>1</v>
      </c>
      <c r="BV30" t="s">
        <v>188</v>
      </c>
      <c r="BW30">
        <v>2.0000000000000002E-5</v>
      </c>
      <c r="BX30">
        <v>0</v>
      </c>
      <c r="BY30">
        <v>0.999977</v>
      </c>
      <c r="BZ30">
        <v>0</v>
      </c>
      <c r="CA30">
        <v>3.0000000000000001E-6</v>
      </c>
      <c r="CB30">
        <f>MAX(Таблица23[[#This Row],[АприорИСК1]]:Таблица23[[#This Row],[АприорИСК5]])</f>
        <v>0.999977</v>
      </c>
      <c r="CC3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30">
        <f>IF(Таблица23[[#This Row],[АприорИСК классификация]]=Таблица23[[#This Row],[обучающая выборка]],1,0)</f>
        <v>1</v>
      </c>
      <c r="CE30" s="35">
        <v>-4.8631875031598937E-3</v>
      </c>
      <c r="CF30" s="35">
        <v>-0.38739049285596661</v>
      </c>
      <c r="CG30" s="35">
        <v>0.17407711752909541</v>
      </c>
      <c r="CH30" s="35">
        <v>5</v>
      </c>
      <c r="CI30" s="35">
        <v>2</v>
      </c>
      <c r="CJ30" s="36">
        <v>1</v>
      </c>
      <c r="CK30" s="35">
        <v>3</v>
      </c>
      <c r="CL30" s="36">
        <v>-4.8631875875612251E-3</v>
      </c>
      <c r="CM30" s="36">
        <v>-0.38739049295689409</v>
      </c>
      <c r="CN30" s="36">
        <v>-0.1740771175670828</v>
      </c>
    </row>
    <row r="31" spans="1:92" x14ac:dyDescent="0.25">
      <c r="A31" s="3" t="s">
        <v>44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SUMXMY2(Таблица23[[#This Row],[X1]:[X9]],Таблица23[[#Totals],[X1]:[X9]])</f>
        <v>19.642262967293028</v>
      </c>
      <c r="P31" s="20"/>
      <c r="Q31" s="20" t="s">
        <v>189</v>
      </c>
      <c r="R31" s="20">
        <f>IF(VALUE(RIGHT(Таблица23[[#This Row],[функция]],1))=Таблица23[[#This Row],[обучающая выборка]],1,0)</f>
        <v>0</v>
      </c>
      <c r="S31" s="20">
        <f>IF(Таблица23[[#This Row],[обучающая выборка]]=Таблица23[[#This Row],[Result Lda]],1,0)</f>
        <v>0</v>
      </c>
      <c r="T31" s="20">
        <v>3</v>
      </c>
      <c r="U31" s="20" t="s">
        <v>187</v>
      </c>
      <c r="V31" s="20">
        <v>639.63</v>
      </c>
      <c r="W31" s="20">
        <v>575.15</v>
      </c>
      <c r="X31" s="20">
        <v>548.4</v>
      </c>
      <c r="Y31" s="20">
        <v>616.096</v>
      </c>
      <c r="Z31" s="20">
        <v>525.86300000000006</v>
      </c>
      <c r="AA31" s="20">
        <f>MIN(Таблица23[[#This Row],[Махал1]:[Махал5]])</f>
        <v>525.86300000000006</v>
      </c>
      <c r="AB3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1" s="20">
        <f>IF(Таблица23[[#This Row],[Махаланобис классификация]]=Таблица23[[#This Row],[обучающая выборка]],1,0)</f>
        <v>0</v>
      </c>
      <c r="AD31" s="21" t="s">
        <v>187</v>
      </c>
      <c r="AE31" s="22">
        <v>3.62412219411986E-25</v>
      </c>
      <c r="AF31" s="22">
        <v>6.6135680112118032E-12</v>
      </c>
      <c r="AG31" s="22">
        <v>1.2767361534966063E-5</v>
      </c>
      <c r="AH31" s="22">
        <v>2.1231166066438783E-20</v>
      </c>
      <c r="AI31" s="22">
        <v>0.99998723263185141</v>
      </c>
      <c r="AJ31">
        <f>MAX(Таблица23[[#This Row],[априор1]:[априор5]])</f>
        <v>0.99998723263185141</v>
      </c>
      <c r="AK3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1">
        <f>IF(Таблица23[[#This Row],[обучающая выборка]]=Таблица23[[#This Row],[Априор Классификация]],1,0)</f>
        <v>0</v>
      </c>
      <c r="AM31" t="s">
        <v>189</v>
      </c>
      <c r="AN31">
        <f>IF(VALUE(RIGHT(Таблица23[[#This Row],[фнкция ДА ВКЛ]],1))=Таблица23[[#This Row],[обучающая выборка]],1,0)</f>
        <v>0</v>
      </c>
      <c r="AO31">
        <f>IF(Таблица23[[#This Row],[обучающая выборка]]=Таблица23[[#This Row],[Result forward]],1,0)</f>
        <v>0</v>
      </c>
      <c r="AP31">
        <v>5</v>
      </c>
      <c r="AQ31" t="s">
        <v>187</v>
      </c>
      <c r="AR31">
        <v>295.59199999999998</v>
      </c>
      <c r="AS31">
        <v>450.24700000000001</v>
      </c>
      <c r="AT31">
        <v>265.072</v>
      </c>
      <c r="AU31">
        <v>317.20999999999998</v>
      </c>
      <c r="AV31">
        <v>252.077</v>
      </c>
      <c r="AW31">
        <f>MIN(Таблица23[[#This Row],[Махал1ВКЛ]:[Махал5ВКл]])</f>
        <v>252.077</v>
      </c>
      <c r="AX3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31">
        <f>IF(Таблица23[[#This Row],[обучающая выборка]]=Таблица23[[#This Row],[МахаланобисКлассификацияВКЛ]],1,0)</f>
        <v>0</v>
      </c>
      <c r="AZ31" t="s">
        <v>187</v>
      </c>
      <c r="BA31">
        <v>0</v>
      </c>
      <c r="BB31">
        <v>0</v>
      </c>
      <c r="BC31">
        <v>1.505E-3</v>
      </c>
      <c r="BD31">
        <v>0</v>
      </c>
      <c r="BE31">
        <v>0.99849500000000002</v>
      </c>
      <c r="BF31">
        <f>MAX(Таблица23[[#This Row],[АприорВКл1]:[АприорВКл5]])</f>
        <v>0.99849500000000002</v>
      </c>
      <c r="BG3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31">
        <f>IF(Таблица23[[#This Row],[АприорВклКлассификация]]=Таблица23[[#This Row],[обучающая выборка]],1,0)</f>
        <v>0</v>
      </c>
      <c r="BI31" s="21" t="s">
        <v>189</v>
      </c>
      <c r="BJ31" s="21">
        <f>IF(VALUE(RIGHT(Таблица23[[#This Row],[Фунция ДА ИСК]]))=Таблица23[[#This Row],[обучающая выборка]],1,0)</f>
        <v>0</v>
      </c>
      <c r="BK31" s="21">
        <f>IF(Таблица23[[#This Row],[обучающая выборка]]=Таблица23[[#This Row],[Result backward]],1,0)</f>
        <v>0</v>
      </c>
      <c r="BL31" s="21">
        <v>5</v>
      </c>
      <c r="BM31" t="s">
        <v>187</v>
      </c>
      <c r="BN31">
        <v>295.59199999999998</v>
      </c>
      <c r="BO31">
        <v>450.24700000000001</v>
      </c>
      <c r="BP31">
        <v>265.072</v>
      </c>
      <c r="BQ31">
        <v>317.20999999999998</v>
      </c>
      <c r="BR31">
        <v>252.077</v>
      </c>
      <c r="BS31">
        <f>MIN(Таблица23[[#This Row],[Махал1ИСК]:[Махал5ИСК]])</f>
        <v>252.077</v>
      </c>
      <c r="BT3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31">
        <f>IF(Таблица23[[#This Row],[МАХАЛ ИСК Классификация]]=Таблица23[[#This Row],[обучающая выборка]],1,0)</f>
        <v>0</v>
      </c>
      <c r="BV31" t="s">
        <v>187</v>
      </c>
      <c r="BW31">
        <v>0</v>
      </c>
      <c r="BX31">
        <v>0</v>
      </c>
      <c r="BY31">
        <v>1.505E-3</v>
      </c>
      <c r="BZ31">
        <v>0</v>
      </c>
      <c r="CA31">
        <v>0.99849500000000002</v>
      </c>
      <c r="CB31">
        <f>MAX(Таблица23[[#This Row],[АприорИСК1]]:Таблица23[[#This Row],[АприорИСК5]])</f>
        <v>0.99849500000000002</v>
      </c>
      <c r="CC3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31">
        <f>IF(Таблица23[[#This Row],[АприорИСК классификация]]=Таблица23[[#This Row],[обучающая выборка]],1,0)</f>
        <v>0</v>
      </c>
      <c r="CE31" s="35">
        <v>-2.1427236047222697</v>
      </c>
      <c r="CF31" s="35">
        <v>0.86357728933905908</v>
      </c>
      <c r="CG31" s="35">
        <v>0.98212888497302586</v>
      </c>
      <c r="CH31" s="35">
        <v>3</v>
      </c>
      <c r="CI31" s="35">
        <v>1</v>
      </c>
      <c r="CJ31" s="36">
        <v>2</v>
      </c>
      <c r="CK31" s="35">
        <v>4</v>
      </c>
      <c r="CL31" s="36">
        <v>-2.142723604788904</v>
      </c>
      <c r="CM31" s="36">
        <v>0.86357728925628185</v>
      </c>
      <c r="CN31" s="36">
        <v>-0.98212888469860993</v>
      </c>
    </row>
    <row r="32" spans="1:92" x14ac:dyDescent="0.25">
      <c r="A32" s="3" t="s">
        <v>45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SUMXMY2(Таблица23[[#This Row],[X1]:[X9]],Таблица23[[#Totals],[X1]:[X9]])</f>
        <v>12.429901899851826</v>
      </c>
      <c r="P32" s="20"/>
      <c r="Q32" s="20" t="s">
        <v>189</v>
      </c>
      <c r="R32" s="20">
        <f>IF(VALUE(RIGHT(Таблица23[[#This Row],[функция]],1))=Таблица23[[#This Row],[обучающая выборка]],1,0)</f>
        <v>0</v>
      </c>
      <c r="S32" s="20">
        <f>IF(Таблица23[[#This Row],[обучающая выборка]]=Таблица23[[#This Row],[Result Lda]],1,0)</f>
        <v>0</v>
      </c>
      <c r="T32" s="20">
        <v>1</v>
      </c>
      <c r="U32" s="20" t="s">
        <v>187</v>
      </c>
      <c r="V32" s="20">
        <v>117.027</v>
      </c>
      <c r="W32" s="20">
        <v>1685.5429999999999</v>
      </c>
      <c r="X32" s="20">
        <v>107.669</v>
      </c>
      <c r="Y32" s="20">
        <v>98.748999999999995</v>
      </c>
      <c r="Z32" s="20">
        <v>88.561999999999998</v>
      </c>
      <c r="AA32" s="20">
        <f>MIN(Таблица23[[#This Row],[Махал1]:[Махал5]])</f>
        <v>88.561999999999998</v>
      </c>
      <c r="AB3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2" s="20">
        <f>IF(Таблица23[[#This Row],[Махаланобис классификация]]=Таблица23[[#This Row],[обучающая выборка]],1,0)</f>
        <v>0</v>
      </c>
      <c r="AD32" s="21" t="s">
        <v>187</v>
      </c>
      <c r="AE32" s="22">
        <v>1.2017907520761783E-6</v>
      </c>
      <c r="AF32" s="22">
        <v>0</v>
      </c>
      <c r="AG32" s="22">
        <v>7.0570683397691095E-5</v>
      </c>
      <c r="AH32" s="22">
        <v>5.0879799572700526E-3</v>
      </c>
      <c r="AI32" s="22">
        <v>0.99484024756858025</v>
      </c>
      <c r="AJ32">
        <f>MAX(Таблица23[[#This Row],[априор1]:[априор5]])</f>
        <v>0.99484024756858025</v>
      </c>
      <c r="AK3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2">
        <f>IF(Таблица23[[#This Row],[обучающая выборка]]=Таблица23[[#This Row],[Априор Классификация]],1,0)</f>
        <v>0</v>
      </c>
      <c r="AM32" t="s">
        <v>189</v>
      </c>
      <c r="AN32">
        <f>IF(VALUE(RIGHT(Таблица23[[#This Row],[фнкция ДА ВКЛ]],1))=Таблица23[[#This Row],[обучающая выборка]],1,0)</f>
        <v>0</v>
      </c>
      <c r="AO32">
        <f>IF(Таблица23[[#This Row],[обучающая выборка]]=Таблица23[[#This Row],[Result forward]],1,0)</f>
        <v>0</v>
      </c>
      <c r="AP32">
        <v>5</v>
      </c>
      <c r="AQ32" t="s">
        <v>187</v>
      </c>
      <c r="AR32">
        <v>37.752000000000002</v>
      </c>
      <c r="AS32">
        <v>1364.318</v>
      </c>
      <c r="AT32">
        <v>59.018000000000001</v>
      </c>
      <c r="AU32">
        <v>55.189</v>
      </c>
      <c r="AV32">
        <v>13.208</v>
      </c>
      <c r="AW32">
        <f>MIN(Таблица23[[#This Row],[Махал1ВКЛ]:[Махал5ВКл]])</f>
        <v>13.208</v>
      </c>
      <c r="AX3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32">
        <f>IF(Таблица23[[#This Row],[обучающая выборка]]=Таблица23[[#This Row],[МахаланобисКлассификацияВКЛ]],1,0)</f>
        <v>0</v>
      </c>
      <c r="AZ32" t="s">
        <v>187</v>
      </c>
      <c r="BA32">
        <v>9.0000000000000002E-6</v>
      </c>
      <c r="BB32">
        <v>0</v>
      </c>
      <c r="BC32">
        <v>0</v>
      </c>
      <c r="BD32">
        <v>0</v>
      </c>
      <c r="BE32">
        <v>0.99999099999999996</v>
      </c>
      <c r="BF32">
        <f>MAX(Таблица23[[#This Row],[АприорВКл1]:[АприорВКл5]])</f>
        <v>0.99999099999999996</v>
      </c>
      <c r="BG3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32">
        <f>IF(Таблица23[[#This Row],[АприорВклКлассификация]]=Таблица23[[#This Row],[обучающая выборка]],1,0)</f>
        <v>0</v>
      </c>
      <c r="BI32" s="21" t="s">
        <v>189</v>
      </c>
      <c r="BJ32" s="21">
        <f>IF(VALUE(RIGHT(Таблица23[[#This Row],[Фунция ДА ИСК]]))=Таблица23[[#This Row],[обучающая выборка]],1,0)</f>
        <v>0</v>
      </c>
      <c r="BK32" s="21">
        <f>IF(Таблица23[[#This Row],[обучающая выборка]]=Таблица23[[#This Row],[Result backward]],1,0)</f>
        <v>0</v>
      </c>
      <c r="BL32" s="21">
        <v>5</v>
      </c>
      <c r="BM32" t="s">
        <v>187</v>
      </c>
      <c r="BN32">
        <v>37.752000000000002</v>
      </c>
      <c r="BO32">
        <v>1364.318</v>
      </c>
      <c r="BP32">
        <v>59.018000000000001</v>
      </c>
      <c r="BQ32">
        <v>55.189</v>
      </c>
      <c r="BR32">
        <v>13.208</v>
      </c>
      <c r="BS32">
        <f>MIN(Таблица23[[#This Row],[Махал1ИСК]:[Махал5ИСК]])</f>
        <v>13.208</v>
      </c>
      <c r="BT3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32">
        <f>IF(Таблица23[[#This Row],[МАХАЛ ИСК Классификация]]=Таблица23[[#This Row],[обучающая выборка]],1,0)</f>
        <v>0</v>
      </c>
      <c r="BV32" t="s">
        <v>187</v>
      </c>
      <c r="BW32">
        <v>9.0000000000000002E-6</v>
      </c>
      <c r="BX32">
        <v>0</v>
      </c>
      <c r="BY32">
        <v>0</v>
      </c>
      <c r="BZ32">
        <v>0</v>
      </c>
      <c r="CA32">
        <v>0.99999099999999996</v>
      </c>
      <c r="CB32">
        <f>MAX(Таблица23[[#This Row],[АприорИСК1]]:Таблица23[[#This Row],[АприорИСК5]])</f>
        <v>0.99999099999999996</v>
      </c>
      <c r="CC3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32">
        <f>IF(Таблица23[[#This Row],[АприорИСК классификация]]=Таблица23[[#This Row],[обучающая выборка]],1,0)</f>
        <v>0</v>
      </c>
      <c r="CE32" s="35">
        <v>0.29554382105285781</v>
      </c>
      <c r="CF32" s="35">
        <v>1.8633358881888236</v>
      </c>
      <c r="CG32" s="35">
        <v>-1.361330041325314</v>
      </c>
      <c r="CH32" s="35">
        <v>2</v>
      </c>
      <c r="CI32" s="35">
        <v>5</v>
      </c>
      <c r="CJ32" s="36">
        <v>5</v>
      </c>
      <c r="CK32" s="35">
        <v>2</v>
      </c>
      <c r="CL32" s="36">
        <v>0.2955438210131327</v>
      </c>
      <c r="CM32" s="36">
        <v>1.8633358878662469</v>
      </c>
      <c r="CN32" s="36">
        <v>1.361330041202037</v>
      </c>
    </row>
    <row r="33" spans="1:92" x14ac:dyDescent="0.25">
      <c r="A33" s="3" t="s">
        <v>46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SUMXMY2(Таблица23[[#This Row],[X1]:[X9]],Таблица23[[#Totals],[X1]:[X9]])</f>
        <v>6.5879216036588755</v>
      </c>
      <c r="P33" s="20"/>
      <c r="Q33" s="20" t="s">
        <v>189</v>
      </c>
      <c r="R33" s="20">
        <f>IF(VALUE(RIGHT(Таблица23[[#This Row],[функция]],1))=Таблица23[[#This Row],[обучающая выборка]],1,0)</f>
        <v>0</v>
      </c>
      <c r="S33" s="20">
        <f>IF(Таблица23[[#This Row],[обучающая выборка]]=Таблица23[[#This Row],[Result Lda]],1,0)</f>
        <v>0</v>
      </c>
      <c r="T33" s="20">
        <v>5</v>
      </c>
      <c r="U33" s="20" t="s">
        <v>187</v>
      </c>
      <c r="V33" s="20">
        <v>117.143</v>
      </c>
      <c r="W33" s="20">
        <v>1490.6030000000001</v>
      </c>
      <c r="X33" s="20">
        <v>96.59</v>
      </c>
      <c r="Y33" s="20">
        <v>134.268</v>
      </c>
      <c r="Z33" s="20">
        <v>53.777000000000001</v>
      </c>
      <c r="AA33" s="20">
        <f>MIN(Таблица23[[#This Row],[Махал1]:[Махал5]])</f>
        <v>53.777000000000001</v>
      </c>
      <c r="AB3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3" s="20">
        <f>IF(Таблица23[[#This Row],[Махаланобис классификация]]=Таблица23[[#This Row],[обучающая выборка]],1,0)</f>
        <v>0</v>
      </c>
      <c r="AD33" s="21" t="s">
        <v>187</v>
      </c>
      <c r="AE33" s="22">
        <v>3.188366812852146E-14</v>
      </c>
      <c r="AF33" s="22">
        <v>0</v>
      </c>
      <c r="AG33" s="22">
        <v>5.0514207470333872E-10</v>
      </c>
      <c r="AH33" s="22">
        <v>2.7705359546728564E-18</v>
      </c>
      <c r="AI33" s="22">
        <v>0.9999999994948261</v>
      </c>
      <c r="AJ33">
        <f>MAX(Таблица23[[#This Row],[априор1]:[априор5]])</f>
        <v>0.9999999994948261</v>
      </c>
      <c r="AK3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3">
        <f>IF(Таблица23[[#This Row],[обучающая выборка]]=Таблица23[[#This Row],[Априор Классификация]],1,0)</f>
        <v>0</v>
      </c>
      <c r="AM33" t="s">
        <v>189</v>
      </c>
      <c r="AN33">
        <f>IF(VALUE(RIGHT(Таблица23[[#This Row],[фнкция ДА ВКЛ]],1))=Таблица23[[#This Row],[обучающая выборка]],1,0)</f>
        <v>0</v>
      </c>
      <c r="AO33">
        <f>IF(Таблица23[[#This Row],[обучающая выборка]]=Таблица23[[#This Row],[Result forward]],1,0)</f>
        <v>0</v>
      </c>
      <c r="AP33">
        <v>5</v>
      </c>
      <c r="AQ33" t="s">
        <v>187</v>
      </c>
      <c r="AR33">
        <v>52.603000000000002</v>
      </c>
      <c r="AS33">
        <v>1126.4169999999999</v>
      </c>
      <c r="AT33">
        <v>48.923000000000002</v>
      </c>
      <c r="AU33">
        <v>80.125</v>
      </c>
      <c r="AV33">
        <v>16.672999999999998</v>
      </c>
      <c r="AW33">
        <f>MIN(Таблица23[[#This Row],[Махал1ВКЛ]:[Махал5ВКл]])</f>
        <v>16.672999999999998</v>
      </c>
      <c r="AX3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33">
        <f>IF(Таблица23[[#This Row],[обучающая выборка]]=Таблица23[[#This Row],[МахаланобисКлассификацияВКЛ]],1,0)</f>
        <v>0</v>
      </c>
      <c r="AZ33" t="s">
        <v>187</v>
      </c>
      <c r="BA33">
        <v>0</v>
      </c>
      <c r="BB33">
        <v>0</v>
      </c>
      <c r="BC33">
        <v>0</v>
      </c>
      <c r="BD33">
        <v>0</v>
      </c>
      <c r="BE33">
        <v>1</v>
      </c>
      <c r="BF33">
        <f>MAX(Таблица23[[#This Row],[АприорВКл1]:[АприорВКл5]])</f>
        <v>1</v>
      </c>
      <c r="BG3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33">
        <f>IF(Таблица23[[#This Row],[АприорВклКлассификация]]=Таблица23[[#This Row],[обучающая выборка]],1,0)</f>
        <v>0</v>
      </c>
      <c r="BI33" s="21" t="s">
        <v>189</v>
      </c>
      <c r="BJ33" s="21">
        <f>IF(VALUE(RIGHT(Таблица23[[#This Row],[Фунция ДА ИСК]]))=Таблица23[[#This Row],[обучающая выборка]],1,0)</f>
        <v>0</v>
      </c>
      <c r="BK33" s="21">
        <f>IF(Таблица23[[#This Row],[обучающая выборка]]=Таблица23[[#This Row],[Result backward]],1,0)</f>
        <v>0</v>
      </c>
      <c r="BL33" s="21">
        <v>5</v>
      </c>
      <c r="BM33" t="s">
        <v>187</v>
      </c>
      <c r="BN33">
        <v>52.603000000000002</v>
      </c>
      <c r="BO33">
        <v>1126.4169999999999</v>
      </c>
      <c r="BP33">
        <v>48.923000000000002</v>
      </c>
      <c r="BQ33">
        <v>80.125</v>
      </c>
      <c r="BR33">
        <v>16.672999999999998</v>
      </c>
      <c r="BS33">
        <f>MIN(Таблица23[[#This Row],[Махал1ИСК]:[Махал5ИСК]])</f>
        <v>16.672999999999998</v>
      </c>
      <c r="BT3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33">
        <f>IF(Таблица23[[#This Row],[МАХАЛ ИСК Классификация]]=Таблица23[[#This Row],[обучающая выборка]],1,0)</f>
        <v>0</v>
      </c>
      <c r="BV33" t="s">
        <v>187</v>
      </c>
      <c r="BW33">
        <v>0</v>
      </c>
      <c r="BX33">
        <v>0</v>
      </c>
      <c r="BY33">
        <v>0</v>
      </c>
      <c r="BZ33">
        <v>0</v>
      </c>
      <c r="CA33">
        <v>1</v>
      </c>
      <c r="CB33">
        <f>MAX(Таблица23[[#This Row],[АприорИСК1]]:Таблица23[[#This Row],[АприорИСК5]])</f>
        <v>1</v>
      </c>
      <c r="CC3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33">
        <f>IF(Таблица23[[#This Row],[АприорИСК классификация]]=Таблица23[[#This Row],[обучающая выборка]],1,0)</f>
        <v>0</v>
      </c>
      <c r="CE33" s="35">
        <v>-0.73566704029120611</v>
      </c>
      <c r="CF33" s="35">
        <v>0.58751580709718065</v>
      </c>
      <c r="CG33" s="35">
        <v>-1.330453145921662</v>
      </c>
      <c r="CH33" s="35">
        <v>4</v>
      </c>
      <c r="CI33" s="35">
        <v>5</v>
      </c>
      <c r="CJ33" s="36">
        <v>4</v>
      </c>
      <c r="CK33" s="35">
        <v>2</v>
      </c>
      <c r="CL33" s="36">
        <v>-0.73566704036751074</v>
      </c>
      <c r="CM33" s="36">
        <v>0.58751580699935446</v>
      </c>
      <c r="CN33" s="36">
        <v>1.3304531457840481</v>
      </c>
    </row>
    <row r="34" spans="1:92" x14ac:dyDescent="0.25">
      <c r="A34" s="3" t="s">
        <v>47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SUMXMY2(Таблица23[[#This Row],[X1]:[X9]],Таблица23[[#Totals],[X1]:[X9]])</f>
        <v>54.22540305123362</v>
      </c>
      <c r="P34" s="20">
        <v>2</v>
      </c>
      <c r="Q34" s="20" t="s">
        <v>191</v>
      </c>
      <c r="R34" s="20">
        <f>IF(VALUE(RIGHT(Таблица23[[#This Row],[функция]],1))=Таблица23[[#This Row],[обучающая выборка]],1,0)</f>
        <v>1</v>
      </c>
      <c r="S34" s="20">
        <f>IF(Таблица23[[#This Row],[обучающая выборка]]=Таблица23[[#This Row],[Result Lda]],1,0)</f>
        <v>1</v>
      </c>
      <c r="T34" s="20">
        <v>2</v>
      </c>
      <c r="U34" s="20" t="s">
        <v>191</v>
      </c>
      <c r="V34" s="20">
        <v>2215.991</v>
      </c>
      <c r="W34" s="20">
        <v>9</v>
      </c>
      <c r="X34" s="20">
        <v>2011.287</v>
      </c>
      <c r="Y34" s="20">
        <v>2098.1999999999998</v>
      </c>
      <c r="Z34" s="20">
        <v>2081.2399999999998</v>
      </c>
      <c r="AA34" s="20">
        <f>MIN(Таблица23[[#This Row],[Махал1]:[Махал5]])</f>
        <v>9</v>
      </c>
      <c r="AB3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2</v>
      </c>
      <c r="AC34" s="20">
        <f>IF(Таблица23[[#This Row],[Махаланобис классификация]]=Таблица23[[#This Row],[обучающая выборка]],1,0)</f>
        <v>1</v>
      </c>
      <c r="AD34" s="21" t="s">
        <v>191</v>
      </c>
      <c r="AE34" s="22">
        <v>0</v>
      </c>
      <c r="AF34" s="22">
        <v>1</v>
      </c>
      <c r="AG34" s="22">
        <v>0</v>
      </c>
      <c r="AH34" s="22">
        <v>0</v>
      </c>
      <c r="AI34" s="22">
        <v>0</v>
      </c>
      <c r="AJ34">
        <f>MAX(Таблица23[[#This Row],[априор1]:[априор5]])</f>
        <v>1</v>
      </c>
      <c r="AK3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2</v>
      </c>
      <c r="AL34">
        <f>IF(Таблица23[[#This Row],[обучающая выборка]]=Таблица23[[#This Row],[Априор Классификация]],1,0)</f>
        <v>1</v>
      </c>
      <c r="AM34" t="s">
        <v>191</v>
      </c>
      <c r="AN34">
        <f>IF(VALUE(RIGHT(Таблица23[[#This Row],[фнкция ДА ВКЛ]],1))=Таблица23[[#This Row],[обучающая выборка]],1,0)</f>
        <v>1</v>
      </c>
      <c r="AO34">
        <f>IF(Таблица23[[#This Row],[обучающая выборка]]=Таблица23[[#This Row],[Result forward]],1,0)</f>
        <v>1</v>
      </c>
      <c r="AP34">
        <v>2</v>
      </c>
      <c r="AQ34" t="s">
        <v>191</v>
      </c>
      <c r="AR34">
        <v>1501.492</v>
      </c>
      <c r="AS34">
        <v>7.9649999999999999</v>
      </c>
      <c r="AT34">
        <v>1394.6179999999999</v>
      </c>
      <c r="AU34">
        <v>1490.943</v>
      </c>
      <c r="AV34">
        <v>1427.7190000000001</v>
      </c>
      <c r="AW34">
        <f>MIN(Таблица23[[#This Row],[Махал1ВКЛ]:[Махал5ВКл]])</f>
        <v>7.9649999999999999</v>
      </c>
      <c r="AX3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2</v>
      </c>
      <c r="AY34">
        <f>IF(Таблица23[[#This Row],[обучающая выборка]]=Таблица23[[#This Row],[МахаланобисКлассификацияВКЛ]],1,0)</f>
        <v>1</v>
      </c>
      <c r="AZ34" t="s">
        <v>191</v>
      </c>
      <c r="BA34">
        <v>0</v>
      </c>
      <c r="BB34">
        <v>1</v>
      </c>
      <c r="BC34">
        <v>0</v>
      </c>
      <c r="BD34">
        <v>0</v>
      </c>
      <c r="BE34">
        <v>0</v>
      </c>
      <c r="BF34">
        <f>MAX(Таблица23[[#This Row],[АприорВКл1]:[АприорВКл5]])</f>
        <v>1</v>
      </c>
      <c r="BG3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2</v>
      </c>
      <c r="BH34">
        <f>IF(Таблица23[[#This Row],[АприорВклКлассификация]]=Таблица23[[#This Row],[обучающая выборка]],1,0)</f>
        <v>1</v>
      </c>
      <c r="BI34" s="21" t="s">
        <v>191</v>
      </c>
      <c r="BJ34" s="21">
        <f>IF(VALUE(RIGHT(Таблица23[[#This Row],[Фунция ДА ИСК]]))=Таблица23[[#This Row],[обучающая выборка]],1,0)</f>
        <v>1</v>
      </c>
      <c r="BK34" s="21">
        <f>IF(Таблица23[[#This Row],[обучающая выборка]]=Таблица23[[#This Row],[Result backward]],1,0)</f>
        <v>1</v>
      </c>
      <c r="BL34" s="21">
        <v>2</v>
      </c>
      <c r="BM34" t="s">
        <v>191</v>
      </c>
      <c r="BN34">
        <v>1501.492</v>
      </c>
      <c r="BO34">
        <v>7.9649999999999999</v>
      </c>
      <c r="BP34">
        <v>1394.6179999999999</v>
      </c>
      <c r="BQ34">
        <v>1490.943</v>
      </c>
      <c r="BR34">
        <v>1427.7190000000001</v>
      </c>
      <c r="BS34">
        <f>MIN(Таблица23[[#This Row],[Махал1ИСК]:[Махал5ИСК]])</f>
        <v>7.9649999999999999</v>
      </c>
      <c r="BT3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2</v>
      </c>
      <c r="BU34">
        <f>IF(Таблица23[[#This Row],[МАХАЛ ИСК Классификация]]=Таблица23[[#This Row],[обучающая выборка]],1,0)</f>
        <v>1</v>
      </c>
      <c r="BV34" t="s">
        <v>191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f>MAX(Таблица23[[#This Row],[АприорИСК1]]:Таблица23[[#This Row],[АприорИСК5]])</f>
        <v>1</v>
      </c>
      <c r="CC3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2</v>
      </c>
      <c r="CD34">
        <f>IF(Таблица23[[#This Row],[АприорИСК классификация]]=Таблица23[[#This Row],[обучающая выборка]],1,0)</f>
        <v>1</v>
      </c>
      <c r="CE34" s="35">
        <v>-3.1229598174967892</v>
      </c>
      <c r="CF34" s="35">
        <v>2.8273862582707006</v>
      </c>
      <c r="CG34" s="35">
        <v>1.1087786882880386</v>
      </c>
      <c r="CH34" s="35">
        <v>5</v>
      </c>
      <c r="CI34" s="35">
        <v>1</v>
      </c>
      <c r="CJ34" s="36">
        <v>2</v>
      </c>
      <c r="CK34" s="35">
        <v>4</v>
      </c>
      <c r="CL34" s="36">
        <v>-3.122959817652843</v>
      </c>
      <c r="CM34" s="36">
        <v>2.827386257704525</v>
      </c>
      <c r="CN34" s="36">
        <v>-1.108778688250436</v>
      </c>
    </row>
    <row r="35" spans="1:92" x14ac:dyDescent="0.25">
      <c r="A35" s="3" t="s">
        <v>48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SUMXMY2(Таблица23[[#This Row],[X1]:[X9]],Таблица23[[#Totals],[X1]:[X9]])</f>
        <v>3.493128371764985</v>
      </c>
      <c r="P35" s="20"/>
      <c r="Q35" s="20" t="s">
        <v>189</v>
      </c>
      <c r="R35" s="20">
        <f>IF(VALUE(RIGHT(Таблица23[[#This Row],[функция]],1))=Таблица23[[#This Row],[обучающая выборка]],1,0)</f>
        <v>0</v>
      </c>
      <c r="S35" s="20">
        <f>IF(Таблица23[[#This Row],[обучающая выборка]]=Таблица23[[#This Row],[Result Lda]],1,0)</f>
        <v>0</v>
      </c>
      <c r="T35" s="20">
        <v>5</v>
      </c>
      <c r="U35" s="20" t="s">
        <v>187</v>
      </c>
      <c r="V35" s="20">
        <v>39.573999999999998</v>
      </c>
      <c r="W35" s="20">
        <v>2046.587</v>
      </c>
      <c r="X35" s="20">
        <v>66.587999999999994</v>
      </c>
      <c r="Y35" s="20">
        <v>79.465999999999994</v>
      </c>
      <c r="Z35" s="20">
        <v>25.026</v>
      </c>
      <c r="AA35" s="20">
        <f>MIN(Таблица23[[#This Row],[Махал1]:[Махал5]])</f>
        <v>25.026</v>
      </c>
      <c r="AB3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5" s="20">
        <f>IF(Таблица23[[#This Row],[Махаланобис классификация]]=Таблица23[[#This Row],[обучающая выборка]],1,0)</f>
        <v>0</v>
      </c>
      <c r="AD35" s="21" t="s">
        <v>187</v>
      </c>
      <c r="AE35" s="22">
        <v>1.2695563124191878E-3</v>
      </c>
      <c r="AF35" s="22">
        <v>0</v>
      </c>
      <c r="AG35" s="22">
        <v>9.4287355787627789E-10</v>
      </c>
      <c r="AH35" s="22">
        <v>1.25591929661291E-12</v>
      </c>
      <c r="AI35" s="22">
        <v>0.99873044274345135</v>
      </c>
      <c r="AJ35">
        <f>MAX(Таблица23[[#This Row],[априор1]:[априор5]])</f>
        <v>0.99873044274345135</v>
      </c>
      <c r="AK3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5">
        <f>IF(Таблица23[[#This Row],[обучающая выборка]]=Таблица23[[#This Row],[Априор Классификация]],1,0)</f>
        <v>0</v>
      </c>
      <c r="AM35" t="s">
        <v>186</v>
      </c>
      <c r="AN35">
        <f>IF(VALUE(RIGHT(Таблица23[[#This Row],[фнкция ДА ВКЛ]],1))=Таблица23[[#This Row],[обучающая выборка]],1,0)</f>
        <v>0</v>
      </c>
      <c r="AO35">
        <f>IF(Таблица23[[#This Row],[обучающая выборка]]=Таблица23[[#This Row],[Result forward]],1,0)</f>
        <v>0</v>
      </c>
      <c r="AP35">
        <v>1</v>
      </c>
      <c r="AQ35" t="s">
        <v>187</v>
      </c>
      <c r="AR35">
        <v>1.226</v>
      </c>
      <c r="AS35">
        <v>1410.0609999999999</v>
      </c>
      <c r="AT35">
        <v>20.32</v>
      </c>
      <c r="AU35">
        <v>18.29</v>
      </c>
      <c r="AV35">
        <v>9.1720000000000006</v>
      </c>
      <c r="AW35">
        <f>MIN(Таблица23[[#This Row],[Махал1ВКЛ]:[Махал5ВКл]])</f>
        <v>1.226</v>
      </c>
      <c r="AX3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35">
        <f>IF(Таблица23[[#This Row],[обучающая выборка]]=Таблица23[[#This Row],[МахаланобисКлассификацияВКЛ]],1,0)</f>
        <v>0</v>
      </c>
      <c r="AZ35" t="s">
        <v>187</v>
      </c>
      <c r="BA35">
        <v>0.98971500000000001</v>
      </c>
      <c r="BB35">
        <v>0</v>
      </c>
      <c r="BC35">
        <v>3.8999999999999999E-5</v>
      </c>
      <c r="BD35">
        <v>8.8999999999999995E-5</v>
      </c>
      <c r="BE35">
        <v>1.0158E-2</v>
      </c>
      <c r="BF35">
        <f>MAX(Таблица23[[#This Row],[АприорВКл1]:[АприорВКл5]])</f>
        <v>0.98971500000000001</v>
      </c>
      <c r="BG3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35">
        <f>IF(Таблица23[[#This Row],[АприорВклКлассификация]]=Таблица23[[#This Row],[обучающая выборка]],1,0)</f>
        <v>0</v>
      </c>
      <c r="BI35" s="21" t="s">
        <v>186</v>
      </c>
      <c r="BJ35" s="21">
        <f>IF(VALUE(RIGHT(Таблица23[[#This Row],[Фунция ДА ИСК]]))=Таблица23[[#This Row],[обучающая выборка]],1,0)</f>
        <v>0</v>
      </c>
      <c r="BK35" s="21">
        <f>IF(Таблица23[[#This Row],[обучающая выборка]]=Таблица23[[#This Row],[Result backward]],1,0)</f>
        <v>0</v>
      </c>
      <c r="BL35" s="21">
        <v>1</v>
      </c>
      <c r="BM35" t="s">
        <v>187</v>
      </c>
      <c r="BN35">
        <v>1.226</v>
      </c>
      <c r="BO35">
        <v>1410.0609999999999</v>
      </c>
      <c r="BP35">
        <v>20.32</v>
      </c>
      <c r="BQ35">
        <v>18.29</v>
      </c>
      <c r="BR35">
        <v>9.1720000000000006</v>
      </c>
      <c r="BS35">
        <f>MIN(Таблица23[[#This Row],[Махал1ИСК]:[Махал5ИСК]])</f>
        <v>1.226</v>
      </c>
      <c r="BT3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35">
        <f>IF(Таблица23[[#This Row],[МАХАЛ ИСК Классификация]]=Таблица23[[#This Row],[обучающая выборка]],1,0)</f>
        <v>0</v>
      </c>
      <c r="BV35" t="s">
        <v>187</v>
      </c>
      <c r="BW35">
        <v>0.98971500000000001</v>
      </c>
      <c r="BX35">
        <v>0</v>
      </c>
      <c r="BY35">
        <v>3.8999999999999999E-5</v>
      </c>
      <c r="BZ35">
        <v>8.8999999999999995E-5</v>
      </c>
      <c r="CA35">
        <v>1.0158E-2</v>
      </c>
      <c r="CB35">
        <f>MAX(Таблица23[[#This Row],[АприорИСК1]]:Таблица23[[#This Row],[АприорИСК5]])</f>
        <v>0.98971500000000001</v>
      </c>
      <c r="CC3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35">
        <f>IF(Таблица23[[#This Row],[АприорИСК классификация]]=Таблица23[[#This Row],[обучающая выборка]],1,0)</f>
        <v>0</v>
      </c>
      <c r="CE35" s="35">
        <v>3.3527132941790314E-2</v>
      </c>
      <c r="CF35" s="35">
        <v>-0.69636259218025331</v>
      </c>
      <c r="CG35" s="35">
        <v>-0.15959902850288071</v>
      </c>
      <c r="CH35" s="35">
        <v>3</v>
      </c>
      <c r="CI35" s="35">
        <v>2</v>
      </c>
      <c r="CJ35" s="36">
        <v>1</v>
      </c>
      <c r="CK35" s="35">
        <v>3</v>
      </c>
      <c r="CL35" s="36">
        <v>3.3527132911432472E-2</v>
      </c>
      <c r="CM35" s="36">
        <v>-0.6963625920040506</v>
      </c>
      <c r="CN35" s="36">
        <v>0.15959902853120819</v>
      </c>
    </row>
    <row r="36" spans="1:92" x14ac:dyDescent="0.25">
      <c r="A36" s="3" t="s">
        <v>49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SUMXMY2(Таблица23[[#This Row],[X1]:[X9]],Таблица23[[#Totals],[X1]:[X9]])</f>
        <v>5.5248194181120622</v>
      </c>
      <c r="P36" s="20"/>
      <c r="Q36" s="20" t="s">
        <v>188</v>
      </c>
      <c r="R36" s="20">
        <f>IF(VALUE(RIGHT(Таблица23[[#This Row],[функция]],1))=Таблица23[[#This Row],[обучающая выборка]],1,0)</f>
        <v>0</v>
      </c>
      <c r="S36" s="20">
        <f>IF(Таблица23[[#This Row],[обучающая выборка]]=Таблица23[[#This Row],[Result Lda]],1,0)</f>
        <v>0</v>
      </c>
      <c r="T36" s="20">
        <v>3</v>
      </c>
      <c r="U36" s="20" t="s">
        <v>187</v>
      </c>
      <c r="V36" s="20">
        <v>57.887999999999998</v>
      </c>
      <c r="W36" s="20">
        <v>1867.742</v>
      </c>
      <c r="X36" s="20">
        <v>20.818000000000001</v>
      </c>
      <c r="Y36" s="20">
        <v>82.747</v>
      </c>
      <c r="Z36" s="20">
        <v>28.007000000000001</v>
      </c>
      <c r="AA36" s="20">
        <f>MIN(Таблица23[[#This Row],[Махал1]:[Махал5]])</f>
        <v>20.818000000000001</v>
      </c>
      <c r="AB3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36" s="20">
        <f>IF(Таблица23[[#This Row],[Махаланобис классификация]]=Таблица23[[#This Row],[обучающая выборка]],1,0)</f>
        <v>0</v>
      </c>
      <c r="AD36" s="21" t="s">
        <v>187</v>
      </c>
      <c r="AE36" s="22">
        <v>1.5917763805481099E-8</v>
      </c>
      <c r="AF36" s="22">
        <v>0</v>
      </c>
      <c r="AG36" s="22">
        <v>0.97326244732319434</v>
      </c>
      <c r="AH36" s="22">
        <v>2.8930958801033926E-14</v>
      </c>
      <c r="AI36" s="22">
        <v>2.6737536759013004E-2</v>
      </c>
      <c r="AJ36">
        <f>MAX(Таблица23[[#This Row],[априор1]:[априор5]])</f>
        <v>0.97326244732319434</v>
      </c>
      <c r="AK3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36">
        <f>IF(Таблица23[[#This Row],[обучающая выборка]]=Таблица23[[#This Row],[Априор Классификация]],1,0)</f>
        <v>0</v>
      </c>
      <c r="AM36" t="s">
        <v>188</v>
      </c>
      <c r="AN36">
        <f>IF(VALUE(RIGHT(Таблица23[[#This Row],[фнкция ДА ВКЛ]],1))=Таблица23[[#This Row],[обучающая выборка]],1,0)</f>
        <v>0</v>
      </c>
      <c r="AO36">
        <f>IF(Таблица23[[#This Row],[обучающая выборка]]=Таблица23[[#This Row],[Result forward]],1,0)</f>
        <v>0</v>
      </c>
      <c r="AP36">
        <v>3</v>
      </c>
      <c r="AQ36" t="s">
        <v>187</v>
      </c>
      <c r="AR36">
        <v>29.065999999999999</v>
      </c>
      <c r="AS36">
        <v>1336.3720000000001</v>
      </c>
      <c r="AT36">
        <v>6.7690000000000001</v>
      </c>
      <c r="AU36">
        <v>56.783000000000001</v>
      </c>
      <c r="AV36">
        <v>12.725</v>
      </c>
      <c r="AW36">
        <f>MIN(Таблица23[[#This Row],[Махал1ВКЛ]:[Махал5ВКл]])</f>
        <v>6.7690000000000001</v>
      </c>
      <c r="AX3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36">
        <f>IF(Таблица23[[#This Row],[обучающая выборка]]=Таблица23[[#This Row],[МахаланобисКлассификацияВКЛ]],1,0)</f>
        <v>0</v>
      </c>
      <c r="AZ36" t="s">
        <v>187</v>
      </c>
      <c r="BA36">
        <v>2.5000000000000001E-5</v>
      </c>
      <c r="BB36">
        <v>0</v>
      </c>
      <c r="BC36">
        <v>0.95153299999999996</v>
      </c>
      <c r="BD36">
        <v>0</v>
      </c>
      <c r="BE36">
        <v>4.8441999999999999E-2</v>
      </c>
      <c r="BF36">
        <f>MAX(Таблица23[[#This Row],[АприорВКл1]:[АприорВКл5]])</f>
        <v>0.95153299999999996</v>
      </c>
      <c r="BG3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36">
        <f>IF(Таблица23[[#This Row],[АприорВклКлассификация]]=Таблица23[[#This Row],[обучающая выборка]],1,0)</f>
        <v>0</v>
      </c>
      <c r="BI36" s="21" t="s">
        <v>188</v>
      </c>
      <c r="BJ36" s="21">
        <f>IF(VALUE(RIGHT(Таблица23[[#This Row],[Фунция ДА ИСК]]))=Таблица23[[#This Row],[обучающая выборка]],1,0)</f>
        <v>0</v>
      </c>
      <c r="BK36" s="21">
        <f>IF(Таблица23[[#This Row],[обучающая выборка]]=Таблица23[[#This Row],[Result backward]],1,0)</f>
        <v>0</v>
      </c>
      <c r="BL36" s="21">
        <v>3</v>
      </c>
      <c r="BM36" t="s">
        <v>187</v>
      </c>
      <c r="BN36">
        <v>29.065999999999999</v>
      </c>
      <c r="BO36">
        <v>1336.3720000000001</v>
      </c>
      <c r="BP36">
        <v>6.7690000000000001</v>
      </c>
      <c r="BQ36">
        <v>56.783000000000001</v>
      </c>
      <c r="BR36">
        <v>12.725</v>
      </c>
      <c r="BS36">
        <f>MIN(Таблица23[[#This Row],[Махал1ИСК]:[Махал5ИСК]])</f>
        <v>6.7690000000000001</v>
      </c>
      <c r="BT3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36">
        <f>IF(Таблица23[[#This Row],[МАХАЛ ИСК Классификация]]=Таблица23[[#This Row],[обучающая выборка]],1,0)</f>
        <v>0</v>
      </c>
      <c r="BV36" t="s">
        <v>187</v>
      </c>
      <c r="BW36">
        <v>2.5000000000000001E-5</v>
      </c>
      <c r="BX36">
        <v>0</v>
      </c>
      <c r="BY36">
        <v>0.95153299999999996</v>
      </c>
      <c r="BZ36">
        <v>0</v>
      </c>
      <c r="CA36">
        <v>4.8441999999999999E-2</v>
      </c>
      <c r="CB36">
        <f>MAX(Таблица23[[#This Row],[АприорИСК1]]:Таблица23[[#This Row],[АприорИСК5]])</f>
        <v>0.95153299999999996</v>
      </c>
      <c r="CC3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36">
        <f>IF(Таблица23[[#This Row],[АприорИСК классификация]]=Таблица23[[#This Row],[обучающая выборка]],1,0)</f>
        <v>0</v>
      </c>
      <c r="CE36" s="35">
        <v>-0.73128874346715089</v>
      </c>
      <c r="CF36" s="35">
        <v>-1.0421240955729403</v>
      </c>
      <c r="CG36" s="35">
        <v>0.6943847936279155</v>
      </c>
      <c r="CH36" s="35">
        <v>5</v>
      </c>
      <c r="CI36" s="35">
        <v>2</v>
      </c>
      <c r="CJ36" s="36">
        <v>1</v>
      </c>
      <c r="CK36" s="35">
        <v>5</v>
      </c>
      <c r="CL36" s="36">
        <v>-0.73128874358537577</v>
      </c>
      <c r="CM36" s="36">
        <v>-1.042124095541253</v>
      </c>
      <c r="CN36" s="36">
        <v>-0.69438479329010727</v>
      </c>
    </row>
    <row r="37" spans="1:92" x14ac:dyDescent="0.25">
      <c r="A37" s="3" t="s">
        <v>50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SUMXMY2(Таблица23[[#This Row],[X1]:[X9]],Таблица23[[#Totals],[X1]:[X9]])</f>
        <v>3.3865040786689367</v>
      </c>
      <c r="P37" s="20">
        <v>1</v>
      </c>
      <c r="Q37" s="20" t="s">
        <v>186</v>
      </c>
      <c r="R37" s="20">
        <f>IF(VALUE(RIGHT(Таблица23[[#This Row],[функция]],1))=Таблица23[[#This Row],[обучающая выборка]],1,0)</f>
        <v>1</v>
      </c>
      <c r="S37" s="20">
        <f>IF(Таблица23[[#This Row],[обучающая выборка]]=Таблица23[[#This Row],[Result Lda]],1,0)</f>
        <v>1</v>
      </c>
      <c r="T37" s="20">
        <v>1</v>
      </c>
      <c r="U37" s="20" t="s">
        <v>186</v>
      </c>
      <c r="V37" s="20">
        <v>5.4850000000000003</v>
      </c>
      <c r="W37" s="20">
        <v>2097.951</v>
      </c>
      <c r="X37" s="20">
        <v>46.021000000000001</v>
      </c>
      <c r="Y37" s="20">
        <v>19.327000000000002</v>
      </c>
      <c r="Z37" s="20">
        <v>46.191000000000003</v>
      </c>
      <c r="AA37" s="20">
        <f>MIN(Таблица23[[#This Row],[Махал1]:[Махал5]])</f>
        <v>5.4850000000000003</v>
      </c>
      <c r="AB3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37" s="20">
        <f>IF(Таблица23[[#This Row],[Махаланобис классификация]]=Таблица23[[#This Row],[обучающая выборка]],1,0)</f>
        <v>1</v>
      </c>
      <c r="AD37" s="21" t="s">
        <v>186</v>
      </c>
      <c r="AE37" s="22">
        <v>0.999551661884029</v>
      </c>
      <c r="AF37" s="22">
        <v>0</v>
      </c>
      <c r="AG37" s="22">
        <v>8.5960225945888062E-10</v>
      </c>
      <c r="AH37" s="22">
        <v>4.4833646699099012E-4</v>
      </c>
      <c r="AI37" s="22">
        <v>7.8937777322310058E-10</v>
      </c>
      <c r="AJ37">
        <f>MAX(Таблица23[[#This Row],[априор1]:[априор5]])</f>
        <v>0.999551661884029</v>
      </c>
      <c r="AK3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37">
        <f>IF(Таблица23[[#This Row],[обучающая выборка]]=Таблица23[[#This Row],[Априор Классификация]],1,0)</f>
        <v>1</v>
      </c>
      <c r="AM37" t="s">
        <v>186</v>
      </c>
      <c r="AN37">
        <f>IF(VALUE(RIGHT(Таблица23[[#This Row],[фнкция ДА ВКЛ]],1))=Таблица23[[#This Row],[обучающая выборка]],1,0)</f>
        <v>1</v>
      </c>
      <c r="AO37">
        <f>IF(Таблица23[[#This Row],[обучающая выборка]]=Таблица23[[#This Row],[Result forward]],1,0)</f>
        <v>1</v>
      </c>
      <c r="AP37">
        <v>1</v>
      </c>
      <c r="AQ37" t="s">
        <v>186</v>
      </c>
      <c r="AR37">
        <v>3.8719999999999999</v>
      </c>
      <c r="AS37">
        <v>1442.5250000000001</v>
      </c>
      <c r="AT37">
        <v>38.292999999999999</v>
      </c>
      <c r="AU37">
        <v>13.086</v>
      </c>
      <c r="AV37">
        <v>30.521999999999998</v>
      </c>
      <c r="AW37">
        <f>MIN(Таблица23[[#This Row],[Махал1ВКЛ]:[Махал5ВКл]])</f>
        <v>3.8719999999999999</v>
      </c>
      <c r="AX3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37">
        <f>IF(Таблица23[[#This Row],[обучающая выборка]]=Таблица23[[#This Row],[МахаланобисКлассификацияВКЛ]],1,0)</f>
        <v>1</v>
      </c>
      <c r="AZ37" t="s">
        <v>186</v>
      </c>
      <c r="BA37">
        <v>0.99548300000000001</v>
      </c>
      <c r="BB37">
        <v>0</v>
      </c>
      <c r="BC37">
        <v>0</v>
      </c>
      <c r="BD37">
        <v>4.516E-3</v>
      </c>
      <c r="BE37">
        <v>9.9999999999999995E-7</v>
      </c>
      <c r="BF37">
        <f>MAX(Таблица23[[#This Row],[АприорВКл1]:[АприорВКл5]])</f>
        <v>0.99548300000000001</v>
      </c>
      <c r="BG3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37">
        <f>IF(Таблица23[[#This Row],[АприорВклКлассификация]]=Таблица23[[#This Row],[обучающая выборка]],1,0)</f>
        <v>1</v>
      </c>
      <c r="BI37" s="21" t="s">
        <v>186</v>
      </c>
      <c r="BJ37" s="21">
        <f>IF(VALUE(RIGHT(Таблица23[[#This Row],[Фунция ДА ИСК]]))=Таблица23[[#This Row],[обучающая выборка]],1,0)</f>
        <v>1</v>
      </c>
      <c r="BK37" s="21">
        <f>IF(Таблица23[[#This Row],[обучающая выборка]]=Таблица23[[#This Row],[Result backward]],1,0)</f>
        <v>1</v>
      </c>
      <c r="BL37" s="21">
        <v>1</v>
      </c>
      <c r="BM37" t="s">
        <v>186</v>
      </c>
      <c r="BN37">
        <v>3.8719999999999999</v>
      </c>
      <c r="BO37">
        <v>1442.5250000000001</v>
      </c>
      <c r="BP37">
        <v>38.292999999999999</v>
      </c>
      <c r="BQ37">
        <v>13.086</v>
      </c>
      <c r="BR37">
        <v>30.521999999999998</v>
      </c>
      <c r="BS37">
        <f>MIN(Таблица23[[#This Row],[Махал1ИСК]:[Махал5ИСК]])</f>
        <v>3.8719999999999999</v>
      </c>
      <c r="BT3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37">
        <f>IF(Таблица23[[#This Row],[МАХАЛ ИСК Классификация]]=Таблица23[[#This Row],[обучающая выборка]],1,0)</f>
        <v>1</v>
      </c>
      <c r="BV37" t="s">
        <v>186</v>
      </c>
      <c r="BW37">
        <v>0.99548300000000001</v>
      </c>
      <c r="BX37">
        <v>0</v>
      </c>
      <c r="BY37">
        <v>0</v>
      </c>
      <c r="BZ37">
        <v>4.516E-3</v>
      </c>
      <c r="CA37">
        <v>9.9999999999999995E-7</v>
      </c>
      <c r="CB37">
        <f>MAX(Таблица23[[#This Row],[АприорИСК1]]:Таблица23[[#This Row],[АприорИСК5]])</f>
        <v>0.99548300000000001</v>
      </c>
      <c r="CC3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37">
        <f>IF(Таблица23[[#This Row],[АприорИСК классификация]]=Таблица23[[#This Row],[обучающая выборка]],1,0)</f>
        <v>1</v>
      </c>
      <c r="CE37" s="35">
        <v>0.76201921528072347</v>
      </c>
      <c r="CF37" s="35">
        <v>0.24508869614022036</v>
      </c>
      <c r="CG37" s="35">
        <v>-0.24970182138942065</v>
      </c>
      <c r="CH37" s="35">
        <v>5</v>
      </c>
      <c r="CI37" s="35">
        <v>4</v>
      </c>
      <c r="CJ37" s="36">
        <v>3</v>
      </c>
      <c r="CK37" s="35">
        <v>1</v>
      </c>
      <c r="CL37" s="36">
        <v>0.76201921518654148</v>
      </c>
      <c r="CM37" s="36">
        <v>0.2450886960077891</v>
      </c>
      <c r="CN37" s="36">
        <v>0.24970182134403021</v>
      </c>
    </row>
    <row r="38" spans="1:92" x14ac:dyDescent="0.25">
      <c r="A38" s="3" t="s">
        <v>51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SUMXMY2(Таблица23[[#This Row],[X1]:[X9]],Таблица23[[#Totals],[X1]:[X9]])</f>
        <v>4.6535195137126326</v>
      </c>
      <c r="P38" s="20"/>
      <c r="Q38" s="20" t="s">
        <v>186</v>
      </c>
      <c r="R38" s="20">
        <f>IF(VALUE(RIGHT(Таблица23[[#This Row],[функция]],1))=Таблица23[[#This Row],[обучающая выборка]],1,0)</f>
        <v>0</v>
      </c>
      <c r="S38" s="20">
        <f>IF(Таблица23[[#This Row],[обучающая выборка]]=Таблица23[[#This Row],[Result Lda]],1,0)</f>
        <v>0</v>
      </c>
      <c r="T38" s="20">
        <v>1</v>
      </c>
      <c r="U38" s="20" t="s">
        <v>187</v>
      </c>
      <c r="V38" s="20">
        <v>22.585999999999999</v>
      </c>
      <c r="W38" s="20">
        <v>1922.2829999999999</v>
      </c>
      <c r="X38" s="20">
        <v>47.412999999999997</v>
      </c>
      <c r="Y38" s="20">
        <v>32.496000000000002</v>
      </c>
      <c r="Z38" s="20">
        <v>58.079000000000001</v>
      </c>
      <c r="AA38" s="20">
        <f>MIN(Таблица23[[#This Row],[Махал1]:[Махал5]])</f>
        <v>22.585999999999999</v>
      </c>
      <c r="AB3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38" s="20">
        <f>IF(Таблица23[[#This Row],[Махаланобис классификация]]=Таблица23[[#This Row],[обучающая выборка]],1,0)</f>
        <v>0</v>
      </c>
      <c r="AD38" s="21" t="s">
        <v>187</v>
      </c>
      <c r="AE38" s="22">
        <v>0.99680419056806524</v>
      </c>
      <c r="AF38" s="22">
        <v>0</v>
      </c>
      <c r="AG38" s="22">
        <v>2.2097966715562185E-6</v>
      </c>
      <c r="AH38" s="22">
        <v>3.1935889621085493E-3</v>
      </c>
      <c r="AI38" s="22">
        <v>1.0673154534272955E-8</v>
      </c>
      <c r="AJ38">
        <f>MAX(Таблица23[[#This Row],[априор1]:[априор5]])</f>
        <v>0.99680419056806524</v>
      </c>
      <c r="AK3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38">
        <f>IF(Таблица23[[#This Row],[обучающая выборка]]=Таблица23[[#This Row],[Априор Классификация]],1,0)</f>
        <v>0</v>
      </c>
      <c r="AM38" t="s">
        <v>186</v>
      </c>
      <c r="AN38">
        <f>IF(VALUE(RIGHT(Таблица23[[#This Row],[фнкция ДА ВКЛ]],1))=Таблица23[[#This Row],[обучающая выборка]],1,0)</f>
        <v>0</v>
      </c>
      <c r="AO38">
        <f>IF(Таблица23[[#This Row],[обучающая выборка]]=Таблица23[[#This Row],[Result forward]],1,0)</f>
        <v>0</v>
      </c>
      <c r="AP38">
        <v>1</v>
      </c>
      <c r="AQ38" t="s">
        <v>187</v>
      </c>
      <c r="AR38">
        <v>17.827999999999999</v>
      </c>
      <c r="AS38">
        <v>1296.17</v>
      </c>
      <c r="AT38">
        <v>42.164000000000001</v>
      </c>
      <c r="AU38">
        <v>20.097999999999999</v>
      </c>
      <c r="AV38">
        <v>53.445</v>
      </c>
      <c r="AW38">
        <f>MIN(Таблица23[[#This Row],[Махал1ВКЛ]:[Махал5ВКл]])</f>
        <v>17.827999999999999</v>
      </c>
      <c r="AX3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38">
        <f>IF(Таблица23[[#This Row],[обучающая выборка]]=Таблица23[[#This Row],[МахаланобисКлассификацияВКЛ]],1,0)</f>
        <v>0</v>
      </c>
      <c r="AZ38" t="s">
        <v>187</v>
      </c>
      <c r="BA38">
        <v>0.87252799999999997</v>
      </c>
      <c r="BB38">
        <v>0</v>
      </c>
      <c r="BC38">
        <v>1.9999999999999999E-6</v>
      </c>
      <c r="BD38">
        <v>0.127469</v>
      </c>
      <c r="BE38">
        <v>0</v>
      </c>
      <c r="BF38">
        <f>MAX(Таблица23[[#This Row],[АприорВКл1]:[АприорВКл5]])</f>
        <v>0.87252799999999997</v>
      </c>
      <c r="BG3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38">
        <f>IF(Таблица23[[#This Row],[АприорВклКлассификация]]=Таблица23[[#This Row],[обучающая выборка]],1,0)</f>
        <v>0</v>
      </c>
      <c r="BI38" s="21" t="s">
        <v>186</v>
      </c>
      <c r="BJ38" s="21">
        <f>IF(VALUE(RIGHT(Таблица23[[#This Row],[Фунция ДА ИСК]]))=Таблица23[[#This Row],[обучающая выборка]],1,0)</f>
        <v>0</v>
      </c>
      <c r="BK38" s="21">
        <f>IF(Таблица23[[#This Row],[обучающая выборка]]=Таблица23[[#This Row],[Result backward]],1,0)</f>
        <v>0</v>
      </c>
      <c r="BL38" s="21">
        <v>1</v>
      </c>
      <c r="BM38" t="s">
        <v>187</v>
      </c>
      <c r="BN38">
        <v>17.827999999999999</v>
      </c>
      <c r="BO38">
        <v>1296.17</v>
      </c>
      <c r="BP38">
        <v>42.164000000000001</v>
      </c>
      <c r="BQ38">
        <v>20.097999999999999</v>
      </c>
      <c r="BR38">
        <v>53.445</v>
      </c>
      <c r="BS38">
        <f>MIN(Таблица23[[#This Row],[Махал1ИСК]:[Махал5ИСК]])</f>
        <v>17.827999999999999</v>
      </c>
      <c r="BT3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38">
        <f>IF(Таблица23[[#This Row],[МАХАЛ ИСК Классификация]]=Таблица23[[#This Row],[обучающая выборка]],1,0)</f>
        <v>0</v>
      </c>
      <c r="BV38" t="s">
        <v>187</v>
      </c>
      <c r="BW38">
        <v>0.87252799999999997</v>
      </c>
      <c r="BX38">
        <v>0</v>
      </c>
      <c r="BY38">
        <v>1.9999999999999999E-6</v>
      </c>
      <c r="BZ38">
        <v>0.127469</v>
      </c>
      <c r="CA38">
        <v>0</v>
      </c>
      <c r="CB38">
        <f>MAX(Таблица23[[#This Row],[АприорИСК1]]:Таблица23[[#This Row],[АприорИСК5]])</f>
        <v>0.87252799999999997</v>
      </c>
      <c r="CC3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38">
        <f>IF(Таблица23[[#This Row],[АприорИСК классификация]]=Таблица23[[#This Row],[обучающая выборка]],1,0)</f>
        <v>0</v>
      </c>
      <c r="CE38" s="35">
        <v>0.53342286344219358</v>
      </c>
      <c r="CF38" s="35">
        <v>-0.59167600626156946</v>
      </c>
      <c r="CG38" s="35">
        <v>1.4151498417119903</v>
      </c>
      <c r="CH38" s="35">
        <v>5</v>
      </c>
      <c r="CI38" s="35">
        <v>2</v>
      </c>
      <c r="CJ38" s="36">
        <v>3</v>
      </c>
      <c r="CK38" s="35">
        <v>5</v>
      </c>
      <c r="CL38" s="36">
        <v>0.53342286338393974</v>
      </c>
      <c r="CM38" s="36">
        <v>-0.59167600620019301</v>
      </c>
      <c r="CN38" s="36">
        <v>-1.4151498414550541</v>
      </c>
    </row>
    <row r="39" spans="1:92" x14ac:dyDescent="0.25">
      <c r="A39" s="3" t="s">
        <v>52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SUMXMY2(Таблица23[[#This Row],[X1]:[X9]],Таблица23[[#Totals],[X1]:[X9]])</f>
        <v>2.3276187939336062</v>
      </c>
      <c r="P39" s="20"/>
      <c r="Q39" s="20" t="s">
        <v>186</v>
      </c>
      <c r="R39" s="20">
        <f>IF(VALUE(RIGHT(Таблица23[[#This Row],[функция]],1))=Таблица23[[#This Row],[обучающая выборка]],1,0)</f>
        <v>0</v>
      </c>
      <c r="S39" s="20">
        <f>IF(Таблица23[[#This Row],[обучающая выборка]]=Таблица23[[#This Row],[Result Lda]],1,0)</f>
        <v>0</v>
      </c>
      <c r="T39" s="20">
        <v>1</v>
      </c>
      <c r="U39" s="20" t="s">
        <v>187</v>
      </c>
      <c r="V39" s="20">
        <v>14.606</v>
      </c>
      <c r="W39" s="20">
        <v>2076.9470000000001</v>
      </c>
      <c r="X39" s="20">
        <v>21.951000000000001</v>
      </c>
      <c r="Y39" s="20">
        <v>30.84</v>
      </c>
      <c r="Z39" s="20">
        <v>49.71</v>
      </c>
      <c r="AA39" s="20">
        <f>MIN(Таблица23[[#This Row],[Махал1]:[Махал5]])</f>
        <v>14.606</v>
      </c>
      <c r="AB3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39" s="20">
        <f>IF(Таблица23[[#This Row],[Махаланобис классификация]]=Таблица23[[#This Row],[обучающая выборка]],1,0)</f>
        <v>0</v>
      </c>
      <c r="AD39" s="21" t="s">
        <v>187</v>
      </c>
      <c r="AE39" s="22">
        <v>0.98619676435924508</v>
      </c>
      <c r="AF39" s="22">
        <v>0</v>
      </c>
      <c r="AG39" s="22">
        <v>1.3669470893828818E-2</v>
      </c>
      <c r="AH39" s="22">
        <v>1.3375192176480138E-4</v>
      </c>
      <c r="AI39" s="22">
        <v>1.2825161299122483E-8</v>
      </c>
      <c r="AJ39">
        <f>MAX(Таблица23[[#This Row],[априор1]:[априор5]])</f>
        <v>0.98619676435924508</v>
      </c>
      <c r="AK3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39">
        <f>IF(Таблица23[[#This Row],[обучающая выборка]]=Таблица23[[#This Row],[Априор Классификация]],1,0)</f>
        <v>0</v>
      </c>
      <c r="AM39" t="s">
        <v>188</v>
      </c>
      <c r="AN39">
        <f>IF(VALUE(RIGHT(Таблица23[[#This Row],[фнкция ДА ВКЛ]],1))=Таблица23[[#This Row],[обучающая выборка]],1,0)</f>
        <v>0</v>
      </c>
      <c r="AO39">
        <f>IF(Таблица23[[#This Row],[обучающая выборка]]=Таблица23[[#This Row],[Result forward]],1,0)</f>
        <v>0</v>
      </c>
      <c r="AP39">
        <v>3</v>
      </c>
      <c r="AQ39" t="s">
        <v>187</v>
      </c>
      <c r="AR39">
        <v>7.88</v>
      </c>
      <c r="AS39">
        <v>1358.318</v>
      </c>
      <c r="AT39">
        <v>4.0629999999999997</v>
      </c>
      <c r="AU39">
        <v>18.763000000000002</v>
      </c>
      <c r="AV39">
        <v>18.085999999999999</v>
      </c>
      <c r="AW39">
        <f>MIN(Таблица23[[#This Row],[Махал1ВКЛ]:[Махал5ВКл]])</f>
        <v>4.0629999999999997</v>
      </c>
      <c r="AX3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39">
        <f>IF(Таблица23[[#This Row],[обучающая выборка]]=Таблица23[[#This Row],[МахаланобисКлассификацияВКЛ]],1,0)</f>
        <v>0</v>
      </c>
      <c r="AZ39" t="s">
        <v>187</v>
      </c>
      <c r="BA39">
        <v>0.213563</v>
      </c>
      <c r="BB39">
        <v>0</v>
      </c>
      <c r="BC39">
        <v>0.78530800000000001</v>
      </c>
      <c r="BD39">
        <v>4.2099999999999999E-4</v>
      </c>
      <c r="BE39">
        <v>7.0799999999999997E-4</v>
      </c>
      <c r="BF39">
        <f>MAX(Таблица23[[#This Row],[АприорВКл1]:[АприорВКл5]])</f>
        <v>0.78530800000000001</v>
      </c>
      <c r="BG3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39">
        <f>IF(Таблица23[[#This Row],[АприорВклКлассификация]]=Таблица23[[#This Row],[обучающая выборка]],1,0)</f>
        <v>0</v>
      </c>
      <c r="BI39" s="21" t="s">
        <v>188</v>
      </c>
      <c r="BJ39" s="21">
        <f>IF(VALUE(RIGHT(Таблица23[[#This Row],[Фунция ДА ИСК]]))=Таблица23[[#This Row],[обучающая выборка]],1,0)</f>
        <v>0</v>
      </c>
      <c r="BK39" s="21">
        <f>IF(Таблица23[[#This Row],[обучающая выборка]]=Таблица23[[#This Row],[Result backward]],1,0)</f>
        <v>0</v>
      </c>
      <c r="BL39" s="21">
        <v>3</v>
      </c>
      <c r="BM39" t="s">
        <v>187</v>
      </c>
      <c r="BN39">
        <v>7.88</v>
      </c>
      <c r="BO39">
        <v>1358.318</v>
      </c>
      <c r="BP39">
        <v>4.0629999999999997</v>
      </c>
      <c r="BQ39">
        <v>18.763000000000002</v>
      </c>
      <c r="BR39">
        <v>18.085999999999999</v>
      </c>
      <c r="BS39">
        <f>MIN(Таблица23[[#This Row],[Махал1ИСК]:[Махал5ИСК]])</f>
        <v>4.0629999999999997</v>
      </c>
      <c r="BT3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39">
        <f>IF(Таблица23[[#This Row],[МАХАЛ ИСК Классификация]]=Таблица23[[#This Row],[обучающая выборка]],1,0)</f>
        <v>0</v>
      </c>
      <c r="BV39" t="s">
        <v>187</v>
      </c>
      <c r="BW39">
        <v>0.213563</v>
      </c>
      <c r="BX39">
        <v>0</v>
      </c>
      <c r="BY39">
        <v>0.78530800000000001</v>
      </c>
      <c r="BZ39">
        <v>4.2099999999999999E-4</v>
      </c>
      <c r="CA39">
        <v>7.0799999999999997E-4</v>
      </c>
      <c r="CB39">
        <f>MAX(Таблица23[[#This Row],[АприорИСК1]]:Таблица23[[#This Row],[АприорИСК5]])</f>
        <v>0.78530800000000001</v>
      </c>
      <c r="CC3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39">
        <f>IF(Таблица23[[#This Row],[АприорИСК классификация]]=Таблица23[[#This Row],[обучающая выборка]],1,0)</f>
        <v>0</v>
      </c>
      <c r="CE39" s="35">
        <v>0.206866456251321</v>
      </c>
      <c r="CF39" s="35">
        <v>-0.21524912720861458</v>
      </c>
      <c r="CG39" s="35">
        <v>-0.61149769957541422</v>
      </c>
      <c r="CH39" s="35">
        <v>1</v>
      </c>
      <c r="CI39" s="35">
        <v>3</v>
      </c>
      <c r="CJ39" s="36">
        <v>4</v>
      </c>
      <c r="CK39" s="35">
        <v>3</v>
      </c>
      <c r="CL39" s="36">
        <v>0.20686645610416729</v>
      </c>
      <c r="CM39" s="36">
        <v>-0.2152491273954297</v>
      </c>
      <c r="CN39" s="36">
        <v>0.61149769940070664</v>
      </c>
    </row>
    <row r="40" spans="1:92" x14ac:dyDescent="0.25">
      <c r="A40" s="3" t="s">
        <v>53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SUMXMY2(Таблица23[[#This Row],[X1]:[X9]],Таблица23[[#Totals],[X1]:[X9]])</f>
        <v>2.5505826921321959</v>
      </c>
      <c r="P40" s="20">
        <v>1</v>
      </c>
      <c r="Q40" s="20" t="s">
        <v>186</v>
      </c>
      <c r="R40" s="20">
        <f>IF(VALUE(RIGHT(Таблица23[[#This Row],[функция]],1))=Таблица23[[#This Row],[обучающая выборка]],1,0)</f>
        <v>1</v>
      </c>
      <c r="S40" s="20">
        <f>IF(Таблица23[[#This Row],[обучающая выборка]]=Таблица23[[#This Row],[Result Lda]],1,0)</f>
        <v>1</v>
      </c>
      <c r="T40" s="20">
        <v>1</v>
      </c>
      <c r="U40" s="20" t="s">
        <v>186</v>
      </c>
      <c r="V40" s="20">
        <v>3.64</v>
      </c>
      <c r="W40" s="20">
        <v>2108.7199999999998</v>
      </c>
      <c r="X40" s="20">
        <v>37.055999999999997</v>
      </c>
      <c r="Y40" s="20">
        <v>22.856999999999999</v>
      </c>
      <c r="Z40" s="20">
        <v>41.713999999999999</v>
      </c>
      <c r="AA40" s="20">
        <f>MIN(Таблица23[[#This Row],[Махал1]:[Махал5]])</f>
        <v>3.64</v>
      </c>
      <c r="AB4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40" s="20">
        <f>IF(Таблица23[[#This Row],[Махаланобис классификация]]=Таблица23[[#This Row],[обучающая выборка]],1,0)</f>
        <v>1</v>
      </c>
      <c r="AD40" s="21" t="s">
        <v>186</v>
      </c>
      <c r="AE40" s="22">
        <v>0.99996943577797226</v>
      </c>
      <c r="AF40" s="22">
        <v>0</v>
      </c>
      <c r="AG40" s="22">
        <v>3.0241558897920951E-8</v>
      </c>
      <c r="AH40" s="22">
        <v>3.0531034676731053E-5</v>
      </c>
      <c r="AI40" s="22">
        <v>2.9457921801527825E-9</v>
      </c>
      <c r="AJ40">
        <f>MAX(Таблица23[[#This Row],[априор1]:[априор5]])</f>
        <v>0.99996943577797226</v>
      </c>
      <c r="AK4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40">
        <f>IF(Таблица23[[#This Row],[обучающая выборка]]=Таблица23[[#This Row],[Априор Классификация]],1,0)</f>
        <v>1</v>
      </c>
      <c r="AM40" t="s">
        <v>186</v>
      </c>
      <c r="AN40">
        <f>IF(VALUE(RIGHT(Таблица23[[#This Row],[фнкция ДА ВКЛ]],1))=Таблица23[[#This Row],[обучающая выборка]],1,0)</f>
        <v>1</v>
      </c>
      <c r="AO40">
        <f>IF(Таблица23[[#This Row],[обучающая выборка]]=Таблица23[[#This Row],[Result forward]],1,0)</f>
        <v>1</v>
      </c>
      <c r="AP40">
        <v>1</v>
      </c>
      <c r="AQ40" t="s">
        <v>186</v>
      </c>
      <c r="AR40">
        <v>3.4220000000000002</v>
      </c>
      <c r="AS40">
        <v>1433.9069999999999</v>
      </c>
      <c r="AT40">
        <v>30.309000000000001</v>
      </c>
      <c r="AU40">
        <v>15.382999999999999</v>
      </c>
      <c r="AV40">
        <v>29.762</v>
      </c>
      <c r="AW40">
        <f>MIN(Таблица23[[#This Row],[Махал1ВКЛ]:[Махал5ВКл]])</f>
        <v>3.4220000000000002</v>
      </c>
      <c r="AX4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40">
        <f>IF(Таблица23[[#This Row],[обучающая выборка]]=Таблица23[[#This Row],[МахаланобисКлассификацияВКЛ]],1,0)</f>
        <v>1</v>
      </c>
      <c r="AZ40" t="s">
        <v>186</v>
      </c>
      <c r="BA40">
        <v>0.99885000000000002</v>
      </c>
      <c r="BB40">
        <v>0</v>
      </c>
      <c r="BC40">
        <v>9.9999999999999995E-7</v>
      </c>
      <c r="BD40">
        <v>1.1479999999999999E-3</v>
      </c>
      <c r="BE40">
        <v>9.9999999999999995E-7</v>
      </c>
      <c r="BF40">
        <f>MAX(Таблица23[[#This Row],[АприорВКл1]:[АприорВКл5]])</f>
        <v>0.99885000000000002</v>
      </c>
      <c r="BG4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40">
        <f>IF(Таблица23[[#This Row],[АприорВклКлассификация]]=Таблица23[[#This Row],[обучающая выборка]],1,0)</f>
        <v>1</v>
      </c>
      <c r="BI40" s="21" t="s">
        <v>186</v>
      </c>
      <c r="BJ40" s="21">
        <f>IF(VALUE(RIGHT(Таблица23[[#This Row],[Фунция ДА ИСК]]))=Таблица23[[#This Row],[обучающая выборка]],1,0)</f>
        <v>1</v>
      </c>
      <c r="BK40" s="21">
        <f>IF(Таблица23[[#This Row],[обучающая выборка]]=Таблица23[[#This Row],[Result backward]],1,0)</f>
        <v>1</v>
      </c>
      <c r="BL40" s="21">
        <v>1</v>
      </c>
      <c r="BM40" t="s">
        <v>186</v>
      </c>
      <c r="BN40">
        <v>3.4220000000000002</v>
      </c>
      <c r="BO40">
        <v>1433.9069999999999</v>
      </c>
      <c r="BP40">
        <v>30.309000000000001</v>
      </c>
      <c r="BQ40">
        <v>15.382999999999999</v>
      </c>
      <c r="BR40">
        <v>29.762</v>
      </c>
      <c r="BS40">
        <f>MIN(Таблица23[[#This Row],[Махал1ИСК]:[Махал5ИСК]])</f>
        <v>3.4220000000000002</v>
      </c>
      <c r="BT4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40">
        <f>IF(Таблица23[[#This Row],[МАХАЛ ИСК Классификация]]=Таблица23[[#This Row],[обучающая выборка]],1,0)</f>
        <v>1</v>
      </c>
      <c r="BV40" t="s">
        <v>186</v>
      </c>
      <c r="BW40">
        <v>0.99885000000000002</v>
      </c>
      <c r="BX40">
        <v>0</v>
      </c>
      <c r="BY40">
        <v>9.9999999999999995E-7</v>
      </c>
      <c r="BZ40">
        <v>1.1479999999999999E-3</v>
      </c>
      <c r="CA40">
        <v>9.9999999999999995E-7</v>
      </c>
      <c r="CB40">
        <f>MAX(Таблица23[[#This Row],[АприорИСК1]]:Таблица23[[#This Row],[АприорИСК5]])</f>
        <v>0.99885000000000002</v>
      </c>
      <c r="CC4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40">
        <f>IF(Таблица23[[#This Row],[АприорИСК классификация]]=Таблица23[[#This Row],[обучающая выборка]],1,0)</f>
        <v>1</v>
      </c>
      <c r="CE40" s="35">
        <v>0.59442235562891499</v>
      </c>
      <c r="CF40" s="35">
        <v>-0.24340238664447181</v>
      </c>
      <c r="CG40" s="35">
        <v>0.27004192711091329</v>
      </c>
      <c r="CH40" s="35">
        <v>1</v>
      </c>
      <c r="CI40" s="35">
        <v>2</v>
      </c>
      <c r="CJ40" s="36">
        <v>3</v>
      </c>
      <c r="CK40" s="35">
        <v>1</v>
      </c>
      <c r="CL40" s="36">
        <v>0.59442235552021172</v>
      </c>
      <c r="CM40" s="36">
        <v>-0.2434023867239288</v>
      </c>
      <c r="CN40" s="36">
        <v>-0.27004192706626051</v>
      </c>
    </row>
    <row r="41" spans="1:92" x14ac:dyDescent="0.25">
      <c r="A41" s="3" t="s">
        <v>54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SUMXMY2(Таблица23[[#This Row],[X1]:[X9]],Таблица23[[#Totals],[X1]:[X9]])</f>
        <v>6.8420069727185551</v>
      </c>
      <c r="P41" s="20">
        <v>3</v>
      </c>
      <c r="Q41" s="20" t="s">
        <v>188</v>
      </c>
      <c r="R41" s="20">
        <f>IF(VALUE(RIGHT(Таблица23[[#This Row],[функция]],1))=Таблица23[[#This Row],[обучающая выборка]],1,0)</f>
        <v>1</v>
      </c>
      <c r="S41" s="20">
        <f>IF(Таблица23[[#This Row],[обучающая выборка]]=Таблица23[[#This Row],[Result Lda]],1,0)</f>
        <v>1</v>
      </c>
      <c r="T41" s="20">
        <v>3</v>
      </c>
      <c r="U41" s="20" t="s">
        <v>188</v>
      </c>
      <c r="V41" s="20">
        <v>36.604999999999997</v>
      </c>
      <c r="W41" s="20">
        <v>1981.84</v>
      </c>
      <c r="X41" s="20">
        <v>5.4589999999999996</v>
      </c>
      <c r="Y41" s="20">
        <v>62.741</v>
      </c>
      <c r="Z41" s="20">
        <v>40.552</v>
      </c>
      <c r="AA41" s="20">
        <f>MIN(Таблица23[[#This Row],[Махал1]:[Махал5]])</f>
        <v>5.4589999999999996</v>
      </c>
      <c r="AB4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41" s="20">
        <f>IF(Таблица23[[#This Row],[Махаланобис классификация]]=Таблица23[[#This Row],[обучающая выборка]],1,0)</f>
        <v>1</v>
      </c>
      <c r="AD41" s="21" t="s">
        <v>188</v>
      </c>
      <c r="AE41" s="22">
        <v>3.1619788858651118E-7</v>
      </c>
      <c r="AF41" s="22">
        <v>0</v>
      </c>
      <c r="AG41" s="22">
        <v>0.99999965982551431</v>
      </c>
      <c r="AH41" s="22">
        <v>3.0360227311977807E-13</v>
      </c>
      <c r="AI41" s="22">
        <v>2.3976293479332361E-8</v>
      </c>
      <c r="AJ41">
        <f>MAX(Таблица23[[#This Row],[априор1]:[априор5]])</f>
        <v>0.99999965982551431</v>
      </c>
      <c r="AK4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41">
        <f>IF(Таблица23[[#This Row],[обучающая выборка]]=Таблица23[[#This Row],[Априор Классификация]],1,0)</f>
        <v>1</v>
      </c>
      <c r="AM41" t="s">
        <v>188</v>
      </c>
      <c r="AN41">
        <f>IF(VALUE(RIGHT(Таблица23[[#This Row],[фнкция ДА ВКЛ]],1))=Таблица23[[#This Row],[обучающая выборка]],1,0)</f>
        <v>1</v>
      </c>
      <c r="AO41">
        <f>IF(Таблица23[[#This Row],[обучающая выборка]]=Таблица23[[#This Row],[Result forward]],1,0)</f>
        <v>1</v>
      </c>
      <c r="AP41">
        <v>3</v>
      </c>
      <c r="AQ41" t="s">
        <v>188</v>
      </c>
      <c r="AR41">
        <v>29.407</v>
      </c>
      <c r="AS41">
        <v>1384.8630000000001</v>
      </c>
      <c r="AT41">
        <v>2.4460000000000002</v>
      </c>
      <c r="AU41">
        <v>51.628999999999998</v>
      </c>
      <c r="AV41">
        <v>36.604999999999997</v>
      </c>
      <c r="AW41">
        <f>MIN(Таблица23[[#This Row],[Махал1ВКЛ]:[Махал5ВКл]])</f>
        <v>2.4460000000000002</v>
      </c>
      <c r="AX4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41">
        <f>IF(Таблица23[[#This Row],[обучающая выборка]]=Таблица23[[#This Row],[МахаланобисКлассификацияВКЛ]],1,0)</f>
        <v>1</v>
      </c>
      <c r="AZ41" t="s">
        <v>188</v>
      </c>
      <c r="BA41">
        <v>3.0000000000000001E-6</v>
      </c>
      <c r="BB41">
        <v>0</v>
      </c>
      <c r="BC41">
        <v>0.99999700000000002</v>
      </c>
      <c r="BD41">
        <v>0</v>
      </c>
      <c r="BE41">
        <v>0</v>
      </c>
      <c r="BF41">
        <f>MAX(Таблица23[[#This Row],[АприорВКл1]:[АприорВКл5]])</f>
        <v>0.99999700000000002</v>
      </c>
      <c r="BG4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41">
        <f>IF(Таблица23[[#This Row],[АприорВклКлассификация]]=Таблица23[[#This Row],[обучающая выборка]],1,0)</f>
        <v>1</v>
      </c>
      <c r="BI41" s="21" t="s">
        <v>188</v>
      </c>
      <c r="BJ41" s="21">
        <f>IF(VALUE(RIGHT(Таблица23[[#This Row],[Фунция ДА ИСК]]))=Таблица23[[#This Row],[обучающая выборка]],1,0)</f>
        <v>1</v>
      </c>
      <c r="BK41" s="21">
        <f>IF(Таблица23[[#This Row],[обучающая выборка]]=Таблица23[[#This Row],[Result backward]],1,0)</f>
        <v>1</v>
      </c>
      <c r="BL41" s="21">
        <v>3</v>
      </c>
      <c r="BM41" t="s">
        <v>188</v>
      </c>
      <c r="BN41">
        <v>29.407</v>
      </c>
      <c r="BO41">
        <v>1384.8630000000001</v>
      </c>
      <c r="BP41">
        <v>2.4460000000000002</v>
      </c>
      <c r="BQ41">
        <v>51.628999999999998</v>
      </c>
      <c r="BR41">
        <v>36.604999999999997</v>
      </c>
      <c r="BS41">
        <f>MIN(Таблица23[[#This Row],[Махал1ИСК]:[Махал5ИСК]])</f>
        <v>2.4460000000000002</v>
      </c>
      <c r="BT4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41">
        <f>IF(Таблица23[[#This Row],[МАХАЛ ИСК Классификация]]=Таблица23[[#This Row],[обучающая выборка]],1,0)</f>
        <v>1</v>
      </c>
      <c r="BV41" t="s">
        <v>188</v>
      </c>
      <c r="BW41">
        <v>3.0000000000000001E-6</v>
      </c>
      <c r="BX41">
        <v>0</v>
      </c>
      <c r="BY41">
        <v>0.99999700000000002</v>
      </c>
      <c r="BZ41">
        <v>0</v>
      </c>
      <c r="CA41">
        <v>0</v>
      </c>
      <c r="CB41">
        <f>MAX(Таблица23[[#This Row],[АприорИСК1]]:Таблица23[[#This Row],[АприорИСК5]])</f>
        <v>0.99999700000000002</v>
      </c>
      <c r="CC4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41">
        <f>IF(Таблица23[[#This Row],[АприорИСК классификация]]=Таблица23[[#This Row],[обучающая выборка]],1,0)</f>
        <v>1</v>
      </c>
      <c r="CE41" s="35">
        <v>-0.36131840818651001</v>
      </c>
      <c r="CF41" s="35">
        <v>-1.3962398275767169</v>
      </c>
      <c r="CG41" s="35">
        <v>0.98929951685541695</v>
      </c>
      <c r="CH41" s="35">
        <v>2</v>
      </c>
      <c r="CI41" s="35">
        <v>2</v>
      </c>
      <c r="CJ41" s="36">
        <v>1</v>
      </c>
      <c r="CK41" s="35">
        <v>5</v>
      </c>
      <c r="CL41" s="36">
        <v>-0.36131840833023238</v>
      </c>
      <c r="CM41" s="36">
        <v>-1.396239827576923</v>
      </c>
      <c r="CN41" s="36">
        <v>-0.98929951661613047</v>
      </c>
    </row>
    <row r="42" spans="1:92" x14ac:dyDescent="0.25">
      <c r="A42" s="3" t="s">
        <v>55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SUMXMY2(Таблица23[[#This Row],[X1]:[X9]],Таблица23[[#Totals],[X1]:[X9]])</f>
        <v>2.4409058754714197</v>
      </c>
      <c r="P42" s="20"/>
      <c r="Q42" s="20" t="s">
        <v>186</v>
      </c>
      <c r="R42" s="20">
        <f>IF(VALUE(RIGHT(Таблица23[[#This Row],[функция]],1))=Таблица23[[#This Row],[обучающая выборка]],1,0)</f>
        <v>0</v>
      </c>
      <c r="S42" s="20">
        <f>IF(Таблица23[[#This Row],[обучающая выборка]]=Таблица23[[#This Row],[Result Lda]],1,0)</f>
        <v>0</v>
      </c>
      <c r="T42" s="20">
        <v>1</v>
      </c>
      <c r="U42" s="20" t="s">
        <v>187</v>
      </c>
      <c r="V42" s="20">
        <v>12.568</v>
      </c>
      <c r="W42" s="20">
        <v>2008.432</v>
      </c>
      <c r="X42" s="20">
        <v>18.824999999999999</v>
      </c>
      <c r="Y42" s="20">
        <v>37.36</v>
      </c>
      <c r="Z42" s="20">
        <v>24.972000000000001</v>
      </c>
      <c r="AA42" s="20">
        <f>MIN(Таблица23[[#This Row],[Махал1]:[Махал5]])</f>
        <v>12.568</v>
      </c>
      <c r="AB4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42" s="20">
        <f>IF(Таблица23[[#This Row],[Махаланобис классификация]]=Таблица23[[#This Row],[обучающая выборка]],1,0)</f>
        <v>0</v>
      </c>
      <c r="AD42" s="21" t="s">
        <v>187</v>
      </c>
      <c r="AE42" s="22">
        <v>0.97561633321439045</v>
      </c>
      <c r="AF42" s="22">
        <v>0</v>
      </c>
      <c r="AG42" s="22">
        <v>2.3303827727773833E-2</v>
      </c>
      <c r="AH42" s="22">
        <v>1.8339364174612192E-6</v>
      </c>
      <c r="AI42" s="22">
        <v>1.0780051214182764E-3</v>
      </c>
      <c r="AJ42">
        <f>MAX(Таблица23[[#This Row],[априор1]:[априор5]])</f>
        <v>0.97561633321439045</v>
      </c>
      <c r="AK4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42">
        <f>IF(Таблица23[[#This Row],[обучающая выборка]]=Таблица23[[#This Row],[Априор Классификация]],1,0)</f>
        <v>0</v>
      </c>
      <c r="AM42" t="s">
        <v>189</v>
      </c>
      <c r="AN42">
        <f>IF(VALUE(RIGHT(Таблица23[[#This Row],[фнкция ДА ВКЛ]],1))=Таблица23[[#This Row],[обучающая выборка]],1,0)</f>
        <v>0</v>
      </c>
      <c r="AO42">
        <f>IF(Таблица23[[#This Row],[обучающая выборка]]=Таблица23[[#This Row],[Result forward]],1,0)</f>
        <v>0</v>
      </c>
      <c r="AP42">
        <v>1</v>
      </c>
      <c r="AQ42" t="s">
        <v>187</v>
      </c>
      <c r="AR42">
        <v>9.73</v>
      </c>
      <c r="AS42">
        <v>1357.452</v>
      </c>
      <c r="AT42">
        <v>10.169</v>
      </c>
      <c r="AU42">
        <v>32.121000000000002</v>
      </c>
      <c r="AV42">
        <v>6.1289999999999996</v>
      </c>
      <c r="AW42">
        <f>MIN(Таблица23[[#This Row],[Махал1ВКЛ]:[Махал5ВКл]])</f>
        <v>6.1289999999999996</v>
      </c>
      <c r="AX4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42">
        <f>IF(Таблица23[[#This Row],[обучающая выборка]]=Таблица23[[#This Row],[МахаланобисКлассификацияВКЛ]],1,0)</f>
        <v>0</v>
      </c>
      <c r="AZ42" t="s">
        <v>187</v>
      </c>
      <c r="BA42">
        <v>0.21104300000000001</v>
      </c>
      <c r="BB42">
        <v>0</v>
      </c>
      <c r="BC42">
        <v>9.2411999999999994E-2</v>
      </c>
      <c r="BD42">
        <v>9.9999999999999995E-7</v>
      </c>
      <c r="BE42">
        <v>0.69654400000000005</v>
      </c>
      <c r="BF42">
        <f>MAX(Таблица23[[#This Row],[АприорВКл1]:[АприорВКл5]])</f>
        <v>0.69654400000000005</v>
      </c>
      <c r="BG4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42">
        <f>IF(Таблица23[[#This Row],[АприорВклКлассификация]]=Таблица23[[#This Row],[обучающая выборка]],1,0)</f>
        <v>0</v>
      </c>
      <c r="BI42" s="21" t="s">
        <v>189</v>
      </c>
      <c r="BJ42" s="21">
        <f>IF(VALUE(RIGHT(Таблица23[[#This Row],[Фунция ДА ИСК]]))=Таблица23[[#This Row],[обучающая выборка]],1,0)</f>
        <v>0</v>
      </c>
      <c r="BK42" s="21">
        <f>IF(Таблица23[[#This Row],[обучающая выборка]]=Таблица23[[#This Row],[Result backward]],1,0)</f>
        <v>0</v>
      </c>
      <c r="BL42" s="21">
        <v>1</v>
      </c>
      <c r="BM42" t="s">
        <v>187</v>
      </c>
      <c r="BN42">
        <v>9.73</v>
      </c>
      <c r="BO42">
        <v>1357.452</v>
      </c>
      <c r="BP42">
        <v>10.169</v>
      </c>
      <c r="BQ42">
        <v>32.121000000000002</v>
      </c>
      <c r="BR42">
        <v>6.1289999999999996</v>
      </c>
      <c r="BS42">
        <f>MIN(Таблица23[[#This Row],[Махал1ИСК]:[Махал5ИСК]])</f>
        <v>6.1289999999999996</v>
      </c>
      <c r="BT4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42">
        <f>IF(Таблица23[[#This Row],[МАХАЛ ИСК Классификация]]=Таблица23[[#This Row],[обучающая выборка]],1,0)</f>
        <v>0</v>
      </c>
      <c r="BV42" t="s">
        <v>187</v>
      </c>
      <c r="BW42">
        <v>0.21104300000000001</v>
      </c>
      <c r="BX42">
        <v>0</v>
      </c>
      <c r="BY42">
        <v>9.2411999999999994E-2</v>
      </c>
      <c r="BZ42">
        <v>9.9999999999999995E-7</v>
      </c>
      <c r="CA42">
        <v>0.69654400000000005</v>
      </c>
      <c r="CB42">
        <f>MAX(Таблица23[[#This Row],[АприорИСК1]]:Таблица23[[#This Row],[АприорИСК5]])</f>
        <v>0.69654400000000005</v>
      </c>
      <c r="CC4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42">
        <f>IF(Таблица23[[#This Row],[АприорИСК классификация]]=Таблица23[[#This Row],[обучающая выборка]],1,0)</f>
        <v>0</v>
      </c>
      <c r="CE42" s="35">
        <v>-0.1002677098943157</v>
      </c>
      <c r="CF42" s="35">
        <v>-5.2115210079899006E-3</v>
      </c>
      <c r="CG42" s="35">
        <v>-1.0837701664040607</v>
      </c>
      <c r="CH42" s="35">
        <v>2</v>
      </c>
      <c r="CI42" s="35">
        <v>5</v>
      </c>
      <c r="CJ42" s="36">
        <v>4</v>
      </c>
      <c r="CK42" s="35">
        <v>3</v>
      </c>
      <c r="CL42" s="36">
        <v>-0.1002677100621492</v>
      </c>
      <c r="CM42" s="36">
        <v>-5.2115212198465136E-3</v>
      </c>
      <c r="CN42" s="36">
        <v>1.083770166246224</v>
      </c>
    </row>
    <row r="43" spans="1:92" x14ac:dyDescent="0.25">
      <c r="A43" s="3" t="s">
        <v>56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SUMXMY2(Таблица23[[#This Row],[X1]:[X9]],Таблица23[[#Totals],[X1]:[X9]])</f>
        <v>2.3739998720413951</v>
      </c>
      <c r="P43" s="20">
        <v>5</v>
      </c>
      <c r="Q43" s="20" t="s">
        <v>189</v>
      </c>
      <c r="R43" s="20">
        <f>IF(VALUE(RIGHT(Таблица23[[#This Row],[функция]],1))=Таблица23[[#This Row],[обучающая выборка]],1,0)</f>
        <v>1</v>
      </c>
      <c r="S43" s="20">
        <f>IF(Таблица23[[#This Row],[обучающая выборка]]=Таблица23[[#This Row],[Result Lda]],1,0)</f>
        <v>1</v>
      </c>
      <c r="T43" s="20">
        <v>5</v>
      </c>
      <c r="U43" s="20" t="s">
        <v>189</v>
      </c>
      <c r="V43" s="20">
        <v>36.435000000000002</v>
      </c>
      <c r="W43" s="20">
        <v>1890.944</v>
      </c>
      <c r="X43" s="20">
        <v>43.567999999999998</v>
      </c>
      <c r="Y43" s="20">
        <v>67.105000000000004</v>
      </c>
      <c r="Z43" s="20">
        <v>8.6739999999999995</v>
      </c>
      <c r="AA43" s="20">
        <f>MIN(Таблица23[[#This Row],[Махал1]:[Махал5]])</f>
        <v>8.6739999999999995</v>
      </c>
      <c r="AB4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43" s="20">
        <f>IF(Таблица23[[#This Row],[Махаланобис классификация]]=Таблица23[[#This Row],[обучающая выборка]],1,0)</f>
        <v>1</v>
      </c>
      <c r="AD43" s="21" t="s">
        <v>189</v>
      </c>
      <c r="AE43" s="22">
        <v>1.718107323487144E-6</v>
      </c>
      <c r="AF43" s="22">
        <v>0</v>
      </c>
      <c r="AG43" s="22">
        <v>2.6479561827662239E-8</v>
      </c>
      <c r="AH43" s="22">
        <v>1.7093323838450602E-13</v>
      </c>
      <c r="AI43" s="22">
        <v>0.99999825541294374</v>
      </c>
      <c r="AJ43">
        <f>MAX(Таблица23[[#This Row],[априор1]:[априор5]])</f>
        <v>0.99999825541294374</v>
      </c>
      <c r="AK4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43">
        <f>IF(Таблица23[[#This Row],[обучающая выборка]]=Таблица23[[#This Row],[Априор Классификация]],1,0)</f>
        <v>1</v>
      </c>
      <c r="AM43" t="s">
        <v>189</v>
      </c>
      <c r="AN43">
        <f>IF(VALUE(RIGHT(Таблица23[[#This Row],[фнкция ДА ВКЛ]],1))=Таблица23[[#This Row],[обучающая выборка]],1,0)</f>
        <v>1</v>
      </c>
      <c r="AO43">
        <f>IF(Таблица23[[#This Row],[обучающая выборка]]=Таблица23[[#This Row],[Result forward]],1,0)</f>
        <v>1</v>
      </c>
      <c r="AP43">
        <v>5</v>
      </c>
      <c r="AQ43" t="s">
        <v>189</v>
      </c>
      <c r="AR43">
        <v>7.8460000000000001</v>
      </c>
      <c r="AS43">
        <v>1358.0260000000001</v>
      </c>
      <c r="AT43">
        <v>20.736999999999998</v>
      </c>
      <c r="AU43">
        <v>30.6</v>
      </c>
      <c r="AV43">
        <v>1.8779999999999999</v>
      </c>
      <c r="AW43">
        <f>MIN(Таблица23[[#This Row],[Махал1ВКЛ]:[Махал5ВКл]])</f>
        <v>1.8779999999999999</v>
      </c>
      <c r="AX4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43">
        <f>IF(Таблица23[[#This Row],[обучающая выборка]]=Таблица23[[#This Row],[МахаланобисКлассификацияВКЛ]],1,0)</f>
        <v>1</v>
      </c>
      <c r="AZ43" t="s">
        <v>189</v>
      </c>
      <c r="BA43">
        <v>8.4871000000000002E-2</v>
      </c>
      <c r="BB43">
        <v>0</v>
      </c>
      <c r="BC43">
        <v>7.2999999999999999E-5</v>
      </c>
      <c r="BD43">
        <v>0</v>
      </c>
      <c r="BE43">
        <v>0.91505499999999995</v>
      </c>
      <c r="BF43">
        <f>MAX(Таблица23[[#This Row],[АприорВКл1]:[АприорВКл5]])</f>
        <v>0.91505499999999995</v>
      </c>
      <c r="BG4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43">
        <f>IF(Таблица23[[#This Row],[АприорВклКлассификация]]=Таблица23[[#This Row],[обучающая выборка]],1,0)</f>
        <v>1</v>
      </c>
      <c r="BI43" s="21" t="s">
        <v>189</v>
      </c>
      <c r="BJ43" s="21">
        <f>IF(VALUE(RIGHT(Таблица23[[#This Row],[Фунция ДА ИСК]]))=Таблица23[[#This Row],[обучающая выборка]],1,0)</f>
        <v>1</v>
      </c>
      <c r="BK43" s="21">
        <f>IF(Таблица23[[#This Row],[обучающая выборка]]=Таблица23[[#This Row],[Result backward]],1,0)</f>
        <v>1</v>
      </c>
      <c r="BL43" s="21">
        <v>5</v>
      </c>
      <c r="BM43" t="s">
        <v>189</v>
      </c>
      <c r="BN43">
        <v>7.8460000000000001</v>
      </c>
      <c r="BO43">
        <v>1358.0260000000001</v>
      </c>
      <c r="BP43">
        <v>20.736999999999998</v>
      </c>
      <c r="BQ43">
        <v>30.6</v>
      </c>
      <c r="BR43">
        <v>1.8779999999999999</v>
      </c>
      <c r="BS43">
        <f>MIN(Таблица23[[#This Row],[Махал1ИСК]:[Махал5ИСК]])</f>
        <v>1.8779999999999999</v>
      </c>
      <c r="BT4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43">
        <f>IF(Таблица23[[#This Row],[МАХАЛ ИСК Классификация]]=Таблица23[[#This Row],[обучающая выборка]],1,0)</f>
        <v>1</v>
      </c>
      <c r="BV43" t="s">
        <v>189</v>
      </c>
      <c r="BW43">
        <v>8.4871000000000002E-2</v>
      </c>
      <c r="BX43">
        <v>0</v>
      </c>
      <c r="BY43">
        <v>7.2999999999999999E-5</v>
      </c>
      <c r="BZ43">
        <v>0</v>
      </c>
      <c r="CA43">
        <v>0.91505499999999995</v>
      </c>
      <c r="CB43">
        <f>MAX(Таблица23[[#This Row],[АприорИСК1]]:Таблица23[[#This Row],[АприорИСК5]])</f>
        <v>0.91505499999999995</v>
      </c>
      <c r="CC4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43">
        <f>IF(Таблица23[[#This Row],[АприорИСК классификация]]=Таблица23[[#This Row],[обучающая выборка]],1,0)</f>
        <v>1</v>
      </c>
      <c r="CE43" s="35">
        <v>-0.33163290315696464</v>
      </c>
      <c r="CF43" s="35">
        <v>-0.44097093121710818</v>
      </c>
      <c r="CG43" s="35">
        <v>7.8015051342050518E-3</v>
      </c>
      <c r="CH43" s="35">
        <v>2</v>
      </c>
      <c r="CI43" s="35">
        <v>2</v>
      </c>
      <c r="CJ43" s="36">
        <v>1</v>
      </c>
      <c r="CK43" s="35">
        <v>3</v>
      </c>
      <c r="CL43" s="36">
        <v>-0.33163290321274141</v>
      </c>
      <c r="CM43" s="36">
        <v>-0.44097093112613539</v>
      </c>
      <c r="CN43" s="36">
        <v>-7.801504988503666E-3</v>
      </c>
    </row>
    <row r="44" spans="1:92" x14ac:dyDescent="0.25">
      <c r="A44" s="3" t="s">
        <v>57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SUMXMY2(Таблица23[[#This Row],[X1]:[X9]],Таблица23[[#Totals],[X1]:[X9]])</f>
        <v>3.0515070846700634</v>
      </c>
      <c r="P44" s="20">
        <v>5</v>
      </c>
      <c r="Q44" s="20" t="s">
        <v>189</v>
      </c>
      <c r="R44" s="20">
        <f>IF(VALUE(RIGHT(Таблица23[[#This Row],[функция]],1))=Таблица23[[#This Row],[обучающая выборка]],1,0)</f>
        <v>1</v>
      </c>
      <c r="S44" s="20">
        <f>IF(Таблица23[[#This Row],[обучающая выборка]]=Таблица23[[#This Row],[Result Lda]],1,0)</f>
        <v>1</v>
      </c>
      <c r="T44" s="20">
        <v>5</v>
      </c>
      <c r="U44" s="20" t="s">
        <v>189</v>
      </c>
      <c r="V44" s="20">
        <v>29.798999999999999</v>
      </c>
      <c r="W44" s="20">
        <v>1969.1130000000001</v>
      </c>
      <c r="X44" s="20">
        <v>19.574000000000002</v>
      </c>
      <c r="Y44" s="20">
        <v>66.635000000000005</v>
      </c>
      <c r="Z44" s="20">
        <v>13.42</v>
      </c>
      <c r="AA44" s="20">
        <f>MIN(Таблица23[[#This Row],[Махал1]:[Махал5]])</f>
        <v>13.42</v>
      </c>
      <c r="AB4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44" s="20">
        <f>IF(Таблица23[[#This Row],[Махаланобис классификация]]=Таблица23[[#This Row],[обучающая выборка]],1,0)</f>
        <v>1</v>
      </c>
      <c r="AD44" s="21" t="s">
        <v>189</v>
      </c>
      <c r="AE44" s="22">
        <v>4.862451046431191E-4</v>
      </c>
      <c r="AF44" s="22">
        <v>0</v>
      </c>
      <c r="AG44" s="22">
        <v>4.404177446029487E-2</v>
      </c>
      <c r="AH44" s="22">
        <v>2.2161517638574E-12</v>
      </c>
      <c r="AI44" s="22">
        <v>0.95547198043284587</v>
      </c>
      <c r="AJ44">
        <f>MAX(Таблица23[[#This Row],[априор1]:[априор5]])</f>
        <v>0.95547198043284587</v>
      </c>
      <c r="AK4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44">
        <f>IF(Таблица23[[#This Row],[обучающая выборка]]=Таблица23[[#This Row],[Априор Классификация]],1,0)</f>
        <v>1</v>
      </c>
      <c r="AM44" t="s">
        <v>188</v>
      </c>
      <c r="AN44">
        <f>IF(VALUE(RIGHT(Таблица23[[#This Row],[фнкция ДА ВКЛ]],1))=Таблица23[[#This Row],[обучающая выборка]],1,0)</f>
        <v>0</v>
      </c>
      <c r="AO44">
        <f>IF(Таблица23[[#This Row],[обучающая выборка]]=Таблица23[[#This Row],[Result forward]],1,0)</f>
        <v>0</v>
      </c>
      <c r="AP44">
        <v>3</v>
      </c>
      <c r="AQ44" t="s">
        <v>189</v>
      </c>
      <c r="AR44">
        <v>21.388999999999999</v>
      </c>
      <c r="AS44">
        <v>1357.75</v>
      </c>
      <c r="AT44">
        <v>9.3510000000000009</v>
      </c>
      <c r="AU44">
        <v>49.863</v>
      </c>
      <c r="AV44">
        <v>10.170999999999999</v>
      </c>
      <c r="AW44">
        <f>MIN(Таблица23[[#This Row],[Махал1ВКЛ]:[Махал5ВКл]])</f>
        <v>9.3510000000000009</v>
      </c>
      <c r="AX4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44">
        <f>IF(Таблица23[[#This Row],[обучающая выборка]]=Таблица23[[#This Row],[МахаланобисКлассификацияВКЛ]],1,0)</f>
        <v>0</v>
      </c>
      <c r="AZ44" t="s">
        <v>189</v>
      </c>
      <c r="BA44">
        <v>2.6740000000000002E-3</v>
      </c>
      <c r="BB44">
        <v>0</v>
      </c>
      <c r="BC44">
        <v>0.59947499999999998</v>
      </c>
      <c r="BD44">
        <v>0</v>
      </c>
      <c r="BE44">
        <v>0.39785100000000001</v>
      </c>
      <c r="BF44">
        <f>MAX(Таблица23[[#This Row],[АприорВКл1]:[АприорВКл5]])</f>
        <v>0.59947499999999998</v>
      </c>
      <c r="BG4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44">
        <f>IF(Таблица23[[#This Row],[АприорВклКлассификация]]=Таблица23[[#This Row],[обучающая выборка]],1,0)</f>
        <v>0</v>
      </c>
      <c r="BI44" s="21" t="s">
        <v>188</v>
      </c>
      <c r="BJ44" s="21">
        <f>IF(VALUE(RIGHT(Таблица23[[#This Row],[Фунция ДА ИСК]]))=Таблица23[[#This Row],[обучающая выборка]],1,0)</f>
        <v>0</v>
      </c>
      <c r="BK44" s="21">
        <f>IF(Таблица23[[#This Row],[обучающая выборка]]=Таблица23[[#This Row],[Result backward]],1,0)</f>
        <v>0</v>
      </c>
      <c r="BL44" s="21">
        <v>3</v>
      </c>
      <c r="BM44" t="s">
        <v>189</v>
      </c>
      <c r="BN44">
        <v>21.388999999999999</v>
      </c>
      <c r="BO44">
        <v>1357.75</v>
      </c>
      <c r="BP44">
        <v>9.3510000000000009</v>
      </c>
      <c r="BQ44">
        <v>49.863</v>
      </c>
      <c r="BR44">
        <v>10.170999999999999</v>
      </c>
      <c r="BS44">
        <f>MIN(Таблица23[[#This Row],[Махал1ИСК]:[Махал5ИСК]])</f>
        <v>9.3510000000000009</v>
      </c>
      <c r="BT4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44">
        <f>IF(Таблица23[[#This Row],[МАХАЛ ИСК Классификация]]=Таблица23[[#This Row],[обучающая выборка]],1,0)</f>
        <v>0</v>
      </c>
      <c r="BV44" t="s">
        <v>189</v>
      </c>
      <c r="BW44">
        <v>2.6740000000000002E-3</v>
      </c>
      <c r="BX44">
        <v>0</v>
      </c>
      <c r="BY44">
        <v>0.59947499999999998</v>
      </c>
      <c r="BZ44">
        <v>0</v>
      </c>
      <c r="CA44">
        <v>0.39785100000000001</v>
      </c>
      <c r="CB44">
        <f>MAX(Таблица23[[#This Row],[АприорИСК1]]:Таблица23[[#This Row],[АприорИСК5]])</f>
        <v>0.59947499999999998</v>
      </c>
      <c r="CC4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44">
        <f>IF(Таблица23[[#This Row],[АприорИСК классификация]]=Таблица23[[#This Row],[обучающая выборка]],1,0)</f>
        <v>0</v>
      </c>
      <c r="CE44" s="35">
        <v>-0.39346997962482949</v>
      </c>
      <c r="CF44" s="35">
        <v>-0.70552634103337264</v>
      </c>
      <c r="CG44" s="35">
        <v>-0.58789164775015268</v>
      </c>
      <c r="CH44" s="35">
        <v>2</v>
      </c>
      <c r="CI44" s="35">
        <v>3</v>
      </c>
      <c r="CJ44" s="36">
        <v>4</v>
      </c>
      <c r="CK44" s="35">
        <v>3</v>
      </c>
      <c r="CL44" s="36">
        <v>-0.39346997976966808</v>
      </c>
      <c r="CM44" s="36">
        <v>-0.70552634107496914</v>
      </c>
      <c r="CN44" s="36">
        <v>0.58789164777271197</v>
      </c>
    </row>
    <row r="45" spans="1:92" x14ac:dyDescent="0.25">
      <c r="A45" s="3" t="s">
        <v>58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SUMXMY2(Таблица23[[#This Row],[X1]:[X9]],Таблица23[[#Totals],[X1]:[X9]])</f>
        <v>4.5518737498873696</v>
      </c>
      <c r="P45" s="20">
        <v>4</v>
      </c>
      <c r="Q45" s="20" t="s">
        <v>190</v>
      </c>
      <c r="R45" s="20">
        <f>IF(VALUE(RIGHT(Таблица23[[#This Row],[функция]],1))=Таблица23[[#This Row],[обучающая выборка]],1,0)</f>
        <v>1</v>
      </c>
      <c r="S45" s="20">
        <f>IF(Таблица23[[#This Row],[обучающая выборка]]=Таблица23[[#This Row],[Result Lda]],1,0)</f>
        <v>1</v>
      </c>
      <c r="T45" s="20">
        <v>4</v>
      </c>
      <c r="U45" s="20" t="s">
        <v>190</v>
      </c>
      <c r="V45" s="20">
        <v>21.867999999999999</v>
      </c>
      <c r="W45" s="20">
        <v>1987.3689999999999</v>
      </c>
      <c r="X45" s="20">
        <v>33</v>
      </c>
      <c r="Y45" s="20">
        <v>8.3040000000000003</v>
      </c>
      <c r="Z45" s="20">
        <v>56.648000000000003</v>
      </c>
      <c r="AA45" s="20">
        <f>MIN(Таблица23[[#This Row],[Махал1]:[Махал5]])</f>
        <v>8.3040000000000003</v>
      </c>
      <c r="AB4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45" s="20">
        <f>IF(Таблица23[[#This Row],[Махаланобис классификация]]=Таблица23[[#This Row],[обучающая выборка]],1,0)</f>
        <v>1</v>
      </c>
      <c r="AD45" s="21" t="s">
        <v>190</v>
      </c>
      <c r="AE45" s="22">
        <v>2.4889442799000271E-3</v>
      </c>
      <c r="AF45" s="22">
        <v>0</v>
      </c>
      <c r="AG45" s="22">
        <v>5.1924648014292546E-6</v>
      </c>
      <c r="AH45" s="22">
        <v>0.99750586321725343</v>
      </c>
      <c r="AI45" s="22">
        <v>3.8045101210475909E-11</v>
      </c>
      <c r="AJ45">
        <f>MAX(Таблица23[[#This Row],[априор1]:[априор5]])</f>
        <v>0.99750586321725343</v>
      </c>
      <c r="AK4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45">
        <f>IF(Таблица23[[#This Row],[обучающая выборка]]=Таблица23[[#This Row],[Априор Классификация]],1,0)</f>
        <v>1</v>
      </c>
      <c r="AM45" t="s">
        <v>186</v>
      </c>
      <c r="AN45">
        <f>IF(VALUE(RIGHT(Таблица23[[#This Row],[фнкция ДА ВКЛ]],1))=Таблица23[[#This Row],[обучающая выборка]],1,0)</f>
        <v>0</v>
      </c>
      <c r="AO45">
        <f>IF(Таблица23[[#This Row],[обучающая выборка]]=Таблица23[[#This Row],[Result forward]],1,0)</f>
        <v>1</v>
      </c>
      <c r="AP45">
        <v>4</v>
      </c>
      <c r="AQ45" t="s">
        <v>190</v>
      </c>
      <c r="AR45">
        <v>4.5030000000000001</v>
      </c>
      <c r="AS45">
        <v>1465.713</v>
      </c>
      <c r="AT45">
        <v>29.79</v>
      </c>
      <c r="AU45">
        <v>3.0779999999999998</v>
      </c>
      <c r="AV45">
        <v>33.521999999999998</v>
      </c>
      <c r="AW45">
        <f>MIN(Таблица23[[#This Row],[Махал1ВКЛ]:[Махал5ВКл]])</f>
        <v>3.0779999999999998</v>
      </c>
      <c r="AX4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45">
        <f>IF(Таблица23[[#This Row],[обучающая выборка]]=Таблица23[[#This Row],[МахаланобисКлассификацияВКЛ]],1,0)</f>
        <v>1</v>
      </c>
      <c r="AZ45" t="s">
        <v>190</v>
      </c>
      <c r="BA45">
        <v>0.51898100000000003</v>
      </c>
      <c r="BB45">
        <v>0</v>
      </c>
      <c r="BC45">
        <v>9.9999999999999995E-7</v>
      </c>
      <c r="BD45">
        <v>0.481018</v>
      </c>
      <c r="BE45">
        <v>0</v>
      </c>
      <c r="BF45">
        <f>MAX(Таблица23[[#This Row],[АприорВКл1]:[АприорВКл5]])</f>
        <v>0.51898100000000003</v>
      </c>
      <c r="BG4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45">
        <f>IF(Таблица23[[#This Row],[АприорВклКлассификация]]=Таблица23[[#This Row],[обучающая выборка]],1,0)</f>
        <v>0</v>
      </c>
      <c r="BI45" s="21" t="s">
        <v>186</v>
      </c>
      <c r="BJ45" s="21">
        <f>IF(VALUE(RIGHT(Таблица23[[#This Row],[Фунция ДА ИСК]]))=Таблица23[[#This Row],[обучающая выборка]],1,0)</f>
        <v>0</v>
      </c>
      <c r="BK45" s="21">
        <f>IF(Таблица23[[#This Row],[обучающая выборка]]=Таблица23[[#This Row],[Result backward]],1,0)</f>
        <v>1</v>
      </c>
      <c r="BL45" s="21">
        <v>4</v>
      </c>
      <c r="BM45" t="s">
        <v>190</v>
      </c>
      <c r="BN45">
        <v>4.5030000000000001</v>
      </c>
      <c r="BO45">
        <v>1465.713</v>
      </c>
      <c r="BP45">
        <v>29.79</v>
      </c>
      <c r="BQ45">
        <v>3.0779999999999998</v>
      </c>
      <c r="BR45">
        <v>33.521999999999998</v>
      </c>
      <c r="BS45">
        <f>MIN(Таблица23[[#This Row],[Махал1ИСК]:[Махал5ИСК]])</f>
        <v>3.0779999999999998</v>
      </c>
      <c r="BT4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45">
        <f>IF(Таблица23[[#This Row],[МАХАЛ ИСК Классификация]]=Таблица23[[#This Row],[обучающая выборка]],1,0)</f>
        <v>1</v>
      </c>
      <c r="BV45" t="s">
        <v>190</v>
      </c>
      <c r="BW45">
        <v>0.51898100000000003</v>
      </c>
      <c r="BX45">
        <v>0</v>
      </c>
      <c r="BY45">
        <v>9.9999999999999995E-7</v>
      </c>
      <c r="BZ45">
        <v>0.481018</v>
      </c>
      <c r="CA45">
        <v>0</v>
      </c>
      <c r="CB45">
        <f>MAX(Таблица23[[#This Row],[АприорИСК1]]:Таблица23[[#This Row],[АприорИСК5]])</f>
        <v>0.51898100000000003</v>
      </c>
      <c r="CC4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45">
        <f>IF(Таблица23[[#This Row],[АприорИСК классификация]]=Таблица23[[#This Row],[обучающая выборка]],1,0)</f>
        <v>0</v>
      </c>
      <c r="CE45" s="35">
        <v>0.94906750609787804</v>
      </c>
      <c r="CF45" s="35">
        <v>0.21267326997628261</v>
      </c>
      <c r="CG45" s="35">
        <v>1.1200762341426853</v>
      </c>
      <c r="CH45" s="35">
        <v>5</v>
      </c>
      <c r="CI45" s="35">
        <v>4</v>
      </c>
      <c r="CJ45" s="36">
        <v>3</v>
      </c>
      <c r="CK45" s="35">
        <v>1</v>
      </c>
      <c r="CL45" s="36">
        <v>0.94906750608610035</v>
      </c>
      <c r="CM45" s="36">
        <v>0.2126732699143811</v>
      </c>
      <c r="CN45" s="36">
        <v>-1.1200762339034001</v>
      </c>
    </row>
    <row r="46" spans="1:92" x14ac:dyDescent="0.25">
      <c r="A46" s="3" t="s">
        <v>59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SUMXMY2(Таблица23[[#This Row],[X1]:[X9]],Таблица23[[#Totals],[X1]:[X9]])</f>
        <v>19.923995768626028</v>
      </c>
      <c r="P46" s="20"/>
      <c r="Q46" s="20" t="s">
        <v>189</v>
      </c>
      <c r="R46" s="20">
        <f>IF(VALUE(RIGHT(Таблица23[[#This Row],[функция]],1))=Таблица23[[#This Row],[обучающая выборка]],1,0)</f>
        <v>0</v>
      </c>
      <c r="S46" s="20">
        <f>IF(Таблица23[[#This Row],[обучающая выборка]]=Таблица23[[#This Row],[Result Lda]],1,0)</f>
        <v>0</v>
      </c>
      <c r="T46" s="20">
        <v>5</v>
      </c>
      <c r="U46" s="20" t="s">
        <v>187</v>
      </c>
      <c r="V46" s="20">
        <v>145.749</v>
      </c>
      <c r="W46" s="20">
        <v>2134.52</v>
      </c>
      <c r="X46" s="20">
        <v>166.60499999999999</v>
      </c>
      <c r="Y46" s="20">
        <v>214.04400000000001</v>
      </c>
      <c r="Z46" s="20">
        <v>121.19</v>
      </c>
      <c r="AA46" s="20">
        <f>MIN(Таблица23[[#This Row],[Махал1]:[Махал5]])</f>
        <v>121.19</v>
      </c>
      <c r="AB4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46" s="20">
        <f>IF(Таблица23[[#This Row],[Махаланобис классификация]]=Таблица23[[#This Row],[обучающая выборка]],1,0)</f>
        <v>0</v>
      </c>
      <c r="AD46" s="21" t="s">
        <v>187</v>
      </c>
      <c r="AE46" s="22">
        <v>8.5163141290753427E-6</v>
      </c>
      <c r="AF46" s="22">
        <v>0</v>
      </c>
      <c r="AG46" s="22">
        <v>1.3749046691773151E-10</v>
      </c>
      <c r="AH46" s="22">
        <v>5.7248586730910513E-21</v>
      </c>
      <c r="AI46" s="22">
        <v>0.99999148354838052</v>
      </c>
      <c r="AJ46">
        <f>MAX(Таблица23[[#This Row],[априор1]:[априор5]])</f>
        <v>0.99999148354838052</v>
      </c>
      <c r="AK4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46">
        <f>IF(Таблица23[[#This Row],[обучающая выборка]]=Таблица23[[#This Row],[Априор Классификация]],1,0)</f>
        <v>0</v>
      </c>
      <c r="AM46" t="s">
        <v>188</v>
      </c>
      <c r="AN46">
        <f>IF(VALUE(RIGHT(Таблица23[[#This Row],[фнкция ДА ВКЛ]],1))=Таблица23[[#This Row],[обучающая выборка]],1,0)</f>
        <v>0</v>
      </c>
      <c r="AO46">
        <f>IF(Таблица23[[#This Row],[обучающая выборка]]=Таблица23[[#This Row],[Result forward]],1,0)</f>
        <v>0</v>
      </c>
      <c r="AP46">
        <v>3</v>
      </c>
      <c r="AQ46" t="s">
        <v>187</v>
      </c>
      <c r="AR46">
        <v>33.728000000000002</v>
      </c>
      <c r="AS46">
        <v>1112.1669999999999</v>
      </c>
      <c r="AT46">
        <v>20.187999999999999</v>
      </c>
      <c r="AU46">
        <v>46.116999999999997</v>
      </c>
      <c r="AV46">
        <v>22.192</v>
      </c>
      <c r="AW46">
        <f>MIN(Таблица23[[#This Row],[Махал1ВКЛ]:[Махал5ВКл]])</f>
        <v>20.187999999999999</v>
      </c>
      <c r="AX4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46">
        <f>IF(Таблица23[[#This Row],[обучающая выборка]]=Таблица23[[#This Row],[МахаланобисКлассификацияВКЛ]],1,0)</f>
        <v>0</v>
      </c>
      <c r="AZ46" t="s">
        <v>187</v>
      </c>
      <c r="BA46">
        <v>1.537E-3</v>
      </c>
      <c r="BB46">
        <v>0</v>
      </c>
      <c r="BC46">
        <v>0.73030300000000004</v>
      </c>
      <c r="BD46">
        <v>9.9999999999999995E-7</v>
      </c>
      <c r="BE46">
        <v>0.26815899999999998</v>
      </c>
      <c r="BF46">
        <f>MAX(Таблица23[[#This Row],[АприорВКл1]:[АприорВКл5]])</f>
        <v>0.73030300000000004</v>
      </c>
      <c r="BG4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46">
        <f>IF(Таблица23[[#This Row],[АприорВклКлассификация]]=Таблица23[[#This Row],[обучающая выборка]],1,0)</f>
        <v>0</v>
      </c>
      <c r="BI46" s="21" t="s">
        <v>188</v>
      </c>
      <c r="BJ46" s="21">
        <f>IF(VALUE(RIGHT(Таблица23[[#This Row],[Фунция ДА ИСК]]))=Таблица23[[#This Row],[обучающая выборка]],1,0)</f>
        <v>0</v>
      </c>
      <c r="BK46" s="21">
        <f>IF(Таблица23[[#This Row],[обучающая выборка]]=Таблица23[[#This Row],[Result backward]],1,0)</f>
        <v>0</v>
      </c>
      <c r="BL46" s="21">
        <v>3</v>
      </c>
      <c r="BM46" t="s">
        <v>187</v>
      </c>
      <c r="BN46">
        <v>33.728000000000002</v>
      </c>
      <c r="BO46">
        <v>1112.1669999999999</v>
      </c>
      <c r="BP46">
        <v>20.187999999999999</v>
      </c>
      <c r="BQ46">
        <v>46.116999999999997</v>
      </c>
      <c r="BR46">
        <v>22.192</v>
      </c>
      <c r="BS46">
        <f>MIN(Таблица23[[#This Row],[Махал1ИСК]:[Махал5ИСК]])</f>
        <v>20.187999999999999</v>
      </c>
      <c r="BT4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46">
        <f>IF(Таблица23[[#This Row],[МАХАЛ ИСК Классификация]]=Таблица23[[#This Row],[обучающая выборка]],1,0)</f>
        <v>0</v>
      </c>
      <c r="BV46" t="s">
        <v>187</v>
      </c>
      <c r="BW46">
        <v>1.537E-3</v>
      </c>
      <c r="BX46">
        <v>0</v>
      </c>
      <c r="BY46">
        <v>0.73030300000000004</v>
      </c>
      <c r="BZ46">
        <v>9.9999999999999995E-7</v>
      </c>
      <c r="CA46">
        <v>0.26815899999999998</v>
      </c>
      <c r="CB46">
        <f>MAX(Таблица23[[#This Row],[АприорИСК1]]:Таблица23[[#This Row],[АприорИСК5]])</f>
        <v>0.73030300000000004</v>
      </c>
      <c r="CC4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46">
        <f>IF(Таблица23[[#This Row],[АприорИСК классификация]]=Таблица23[[#This Row],[обучающая выборка]],1,0)</f>
        <v>0</v>
      </c>
      <c r="CE46" s="35">
        <v>-1.1321999628286745</v>
      </c>
      <c r="CF46" s="35">
        <v>-1.6743650355145756</v>
      </c>
      <c r="CG46" s="35">
        <v>-1.2981365817841408</v>
      </c>
      <c r="CH46" s="35">
        <v>4</v>
      </c>
      <c r="CI46" s="35">
        <v>3</v>
      </c>
      <c r="CJ46" s="36">
        <v>4</v>
      </c>
      <c r="CK46" s="35">
        <v>3</v>
      </c>
      <c r="CL46" s="36">
        <v>-1.132199962911008</v>
      </c>
      <c r="CM46" s="36">
        <v>-1.6743650351696819</v>
      </c>
      <c r="CN46" s="36">
        <v>1.2981365817767241</v>
      </c>
    </row>
    <row r="47" spans="1:92" x14ac:dyDescent="0.25">
      <c r="A47" s="3" t="s">
        <v>60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SUMXMY2(Таблица23[[#This Row],[X1]:[X9]],Таблица23[[#Totals],[X1]:[X9]])</f>
        <v>3.545536761032325</v>
      </c>
      <c r="P47" s="20">
        <v>3</v>
      </c>
      <c r="Q47" s="20" t="s">
        <v>188</v>
      </c>
      <c r="R47" s="20">
        <f>IF(VALUE(RIGHT(Таблица23[[#This Row],[функция]],1))=Таблица23[[#This Row],[обучающая выборка]],1,0)</f>
        <v>1</v>
      </c>
      <c r="S47" s="20">
        <f>IF(Таблица23[[#This Row],[обучающая выборка]]=Таблица23[[#This Row],[Result Lda]],1,0)</f>
        <v>1</v>
      </c>
      <c r="T47" s="20">
        <v>3</v>
      </c>
      <c r="U47" s="20" t="s">
        <v>188</v>
      </c>
      <c r="V47" s="20">
        <v>33.423999999999999</v>
      </c>
      <c r="W47" s="20">
        <v>1975.623</v>
      </c>
      <c r="X47" s="20">
        <v>7.2709999999999999</v>
      </c>
      <c r="Y47" s="20">
        <v>42.234000000000002</v>
      </c>
      <c r="Z47" s="20">
        <v>49.451999999999998</v>
      </c>
      <c r="AA47" s="20">
        <f>MIN(Таблица23[[#This Row],[Махал1]:[Махал5]])</f>
        <v>7.2709999999999999</v>
      </c>
      <c r="AB4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47" s="20">
        <f>IF(Таблица23[[#This Row],[Махаланобис классификация]]=Таблица23[[#This Row],[обучающая выборка]],1,0)</f>
        <v>1</v>
      </c>
      <c r="AD47" s="21" t="s">
        <v>188</v>
      </c>
      <c r="AE47" s="22">
        <v>3.8380113969443568E-6</v>
      </c>
      <c r="AF47" s="22">
        <v>0</v>
      </c>
      <c r="AG47" s="22">
        <v>0.99999613998441172</v>
      </c>
      <c r="AH47" s="22">
        <v>2.1311553421399138E-8</v>
      </c>
      <c r="AI47" s="22">
        <v>6.9263785835637535E-10</v>
      </c>
      <c r="AJ47">
        <f>MAX(Таблица23[[#This Row],[априор1]:[априор5]])</f>
        <v>0.99999613998441172</v>
      </c>
      <c r="AK4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47">
        <f>IF(Таблица23[[#This Row],[обучающая выборка]]=Таблица23[[#This Row],[Априор Классификация]],1,0)</f>
        <v>1</v>
      </c>
      <c r="AM47" t="s">
        <v>188</v>
      </c>
      <c r="AN47">
        <f>IF(VALUE(RIGHT(Таблица23[[#This Row],[фнкция ДА ВКЛ]],1))=Таблица23[[#This Row],[обучающая выборка]],1,0)</f>
        <v>1</v>
      </c>
      <c r="AO47">
        <f>IF(Таблица23[[#This Row],[обучающая выборка]]=Таблица23[[#This Row],[Result forward]],1,0)</f>
        <v>1</v>
      </c>
      <c r="AP47">
        <v>3</v>
      </c>
      <c r="AQ47" t="s">
        <v>188</v>
      </c>
      <c r="AR47">
        <v>14.779</v>
      </c>
      <c r="AS47">
        <v>1416.874</v>
      </c>
      <c r="AT47">
        <v>2.0550000000000002</v>
      </c>
      <c r="AU47">
        <v>36.590000000000003</v>
      </c>
      <c r="AV47">
        <v>19.119</v>
      </c>
      <c r="AW47">
        <f>MIN(Таблица23[[#This Row],[Махал1ВКЛ]:[Махал5ВКл]])</f>
        <v>2.0550000000000002</v>
      </c>
      <c r="AX4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47">
        <f>IF(Таблица23[[#This Row],[обучающая выборка]]=Таблица23[[#This Row],[МахаланобисКлассификацияВКЛ]],1,0)</f>
        <v>1</v>
      </c>
      <c r="AZ47" t="s">
        <v>188</v>
      </c>
      <c r="BA47">
        <v>3.1540000000000001E-3</v>
      </c>
      <c r="BB47">
        <v>0</v>
      </c>
      <c r="BC47">
        <v>0.99665000000000004</v>
      </c>
      <c r="BD47">
        <v>0</v>
      </c>
      <c r="BE47">
        <v>1.9599999999999999E-4</v>
      </c>
      <c r="BF47">
        <f>MAX(Таблица23[[#This Row],[АприорВКл1]:[АприорВКл5]])</f>
        <v>0.99665000000000004</v>
      </c>
      <c r="BG4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47">
        <f>IF(Таблица23[[#This Row],[АприорВклКлассификация]]=Таблица23[[#This Row],[обучающая выборка]],1,0)</f>
        <v>1</v>
      </c>
      <c r="BI47" s="21" t="s">
        <v>188</v>
      </c>
      <c r="BJ47" s="21">
        <f>IF(VALUE(RIGHT(Таблица23[[#This Row],[Фунция ДА ИСК]]))=Таблица23[[#This Row],[обучающая выборка]],1,0)</f>
        <v>1</v>
      </c>
      <c r="BK47" s="21">
        <f>IF(Таблица23[[#This Row],[обучающая выборка]]=Таблица23[[#This Row],[Result backward]],1,0)</f>
        <v>1</v>
      </c>
      <c r="BL47" s="21">
        <v>3</v>
      </c>
      <c r="BM47" t="s">
        <v>188</v>
      </c>
      <c r="BN47">
        <v>14.779</v>
      </c>
      <c r="BO47">
        <v>1416.874</v>
      </c>
      <c r="BP47">
        <v>2.0550000000000002</v>
      </c>
      <c r="BQ47">
        <v>36.590000000000003</v>
      </c>
      <c r="BR47">
        <v>19.119</v>
      </c>
      <c r="BS47">
        <f>MIN(Таблица23[[#This Row],[Махал1ИСК]:[Махал5ИСК]])</f>
        <v>2.0550000000000002</v>
      </c>
      <c r="BT4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47">
        <f>IF(Таблица23[[#This Row],[МАХАЛ ИСК Классификация]]=Таблица23[[#This Row],[обучающая выборка]],1,0)</f>
        <v>1</v>
      </c>
      <c r="BV47" t="s">
        <v>188</v>
      </c>
      <c r="BW47">
        <v>3.1540000000000001E-3</v>
      </c>
      <c r="BX47">
        <v>0</v>
      </c>
      <c r="BY47">
        <v>0.99665000000000004</v>
      </c>
      <c r="BZ47">
        <v>0</v>
      </c>
      <c r="CA47">
        <v>1.9599999999999999E-4</v>
      </c>
      <c r="CB47">
        <f>MAX(Таблица23[[#This Row],[АприорИСК1]]:Таблица23[[#This Row],[АприорИСК5]])</f>
        <v>0.99665000000000004</v>
      </c>
      <c r="CC4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47">
        <f>IF(Таблица23[[#This Row],[АприорИСК классификация]]=Таблица23[[#This Row],[обучающая выборка]],1,0)</f>
        <v>1</v>
      </c>
      <c r="CE47" s="35">
        <v>-0.24873459298707262</v>
      </c>
      <c r="CF47" s="35">
        <v>-0.5613889182372408</v>
      </c>
      <c r="CG47" s="35">
        <v>0.84106246433098031</v>
      </c>
      <c r="CH47" s="35">
        <v>2</v>
      </c>
      <c r="CI47" s="35">
        <v>2</v>
      </c>
      <c r="CJ47" s="36">
        <v>1</v>
      </c>
      <c r="CK47" s="35">
        <v>5</v>
      </c>
      <c r="CL47" s="36">
        <v>-0.24873459314606999</v>
      </c>
      <c r="CM47" s="36">
        <v>-0.56138891841445593</v>
      </c>
      <c r="CN47" s="36">
        <v>-0.8410624641077753</v>
      </c>
    </row>
    <row r="48" spans="1:92" x14ac:dyDescent="0.25">
      <c r="A48" s="3" t="s">
        <v>61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SUMXMY2(Таблица23[[#This Row],[X1]:[X9]],Таблица23[[#Totals],[X1]:[X9]])</f>
        <v>2.6029940358170953</v>
      </c>
      <c r="P48" s="20"/>
      <c r="Q48" s="20" t="s">
        <v>186</v>
      </c>
      <c r="R48" s="20">
        <f>IF(VALUE(RIGHT(Таблица23[[#This Row],[функция]],1))=Таблица23[[#This Row],[обучающая выборка]],1,0)</f>
        <v>0</v>
      </c>
      <c r="S48" s="20">
        <f>IF(Таблица23[[#This Row],[обучающая выборка]]=Таблица23[[#This Row],[Result Lda]],1,0)</f>
        <v>0</v>
      </c>
      <c r="T48" s="20">
        <v>1</v>
      </c>
      <c r="U48" s="20" t="s">
        <v>187</v>
      </c>
      <c r="V48" s="20">
        <v>26.945</v>
      </c>
      <c r="W48" s="20">
        <v>1750.171</v>
      </c>
      <c r="X48" s="20">
        <v>25.981000000000002</v>
      </c>
      <c r="Y48" s="20">
        <v>40.023000000000003</v>
      </c>
      <c r="Z48" s="20">
        <v>35.673999999999999</v>
      </c>
      <c r="AA48" s="20">
        <f>MIN(Таблица23[[#This Row],[Махал1]:[Махал5]])</f>
        <v>25.981000000000002</v>
      </c>
      <c r="AB4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48" s="20">
        <f>IF(Таблица23[[#This Row],[Махаланобис классификация]]=Таблица23[[#This Row],[обучающая выборка]],1,0)</f>
        <v>0</v>
      </c>
      <c r="AD48" s="21" t="s">
        <v>187</v>
      </c>
      <c r="AE48" s="22">
        <v>0.52879414236601352</v>
      </c>
      <c r="AF48" s="22">
        <v>0</v>
      </c>
      <c r="AG48" s="22">
        <v>0.46718873376521669</v>
      </c>
      <c r="AH48" s="22">
        <v>3.4753852855731385E-4</v>
      </c>
      <c r="AI48" s="22">
        <v>3.6695853402123756E-3</v>
      </c>
      <c r="AJ48">
        <f>MAX(Таблица23[[#This Row],[априор1]:[априор5]])</f>
        <v>0.52879414236601352</v>
      </c>
      <c r="AK4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48">
        <f>IF(Таблица23[[#This Row],[обучающая выборка]]=Таблица23[[#This Row],[Априор Классификация]],1,0)</f>
        <v>0</v>
      </c>
      <c r="AM48" t="s">
        <v>186</v>
      </c>
      <c r="AN48">
        <f>IF(VALUE(RIGHT(Таблица23[[#This Row],[фнкция ДА ВКЛ]],1))=Таблица23[[#This Row],[обучающая выборка]],1,0)</f>
        <v>0</v>
      </c>
      <c r="AO48">
        <f>IF(Таблица23[[#This Row],[обучающая выборка]]=Таблица23[[#This Row],[Result forward]],1,0)</f>
        <v>0</v>
      </c>
      <c r="AP48">
        <v>1</v>
      </c>
      <c r="AQ48" t="s">
        <v>187</v>
      </c>
      <c r="AR48">
        <v>24.326000000000001</v>
      </c>
      <c r="AS48">
        <v>1096.1300000000001</v>
      </c>
      <c r="AT48">
        <v>23.484000000000002</v>
      </c>
      <c r="AU48">
        <v>33.795000000000002</v>
      </c>
      <c r="AV48">
        <v>23.164000000000001</v>
      </c>
      <c r="AW48">
        <f>MIN(Таблица23[[#This Row],[Махал1ВКЛ]:[Махал5ВКл]])</f>
        <v>23.164000000000001</v>
      </c>
      <c r="AX4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48">
        <f>IF(Таблица23[[#This Row],[обучающая выборка]]=Таблица23[[#This Row],[МахаланобисКлассификацияВКЛ]],1,0)</f>
        <v>0</v>
      </c>
      <c r="AZ48" t="s">
        <v>187</v>
      </c>
      <c r="BA48">
        <v>0.355827</v>
      </c>
      <c r="BB48">
        <v>0</v>
      </c>
      <c r="BC48">
        <v>0.29570999999999997</v>
      </c>
      <c r="BD48">
        <v>1.421E-3</v>
      </c>
      <c r="BE48">
        <v>0.34704200000000002</v>
      </c>
      <c r="BF48">
        <f>MAX(Таблица23[[#This Row],[АприорВКл1]:[АприорВКл5]])</f>
        <v>0.355827</v>
      </c>
      <c r="BG4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48">
        <f>IF(Таблица23[[#This Row],[АприорВклКлассификация]]=Таблица23[[#This Row],[обучающая выборка]],1,0)</f>
        <v>0</v>
      </c>
      <c r="BI48" s="21" t="s">
        <v>186</v>
      </c>
      <c r="BJ48" s="21">
        <f>IF(VALUE(RIGHT(Таблица23[[#This Row],[Фунция ДА ИСК]]))=Таблица23[[#This Row],[обучающая выборка]],1,0)</f>
        <v>0</v>
      </c>
      <c r="BK48" s="21">
        <f>IF(Таблица23[[#This Row],[обучающая выборка]]=Таблица23[[#This Row],[Result backward]],1,0)</f>
        <v>0</v>
      </c>
      <c r="BL48" s="21">
        <v>1</v>
      </c>
      <c r="BM48" t="s">
        <v>187</v>
      </c>
      <c r="BN48">
        <v>24.326000000000001</v>
      </c>
      <c r="BO48">
        <v>1096.1300000000001</v>
      </c>
      <c r="BP48">
        <v>23.484000000000002</v>
      </c>
      <c r="BQ48">
        <v>33.795000000000002</v>
      </c>
      <c r="BR48">
        <v>23.164000000000001</v>
      </c>
      <c r="BS48">
        <f>MIN(Таблица23[[#This Row],[Махал1ИСК]:[Махал5ИСК]])</f>
        <v>23.164000000000001</v>
      </c>
      <c r="BT4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48">
        <f>IF(Таблица23[[#This Row],[МАХАЛ ИСК Классификация]]=Таблица23[[#This Row],[обучающая выборка]],1,0)</f>
        <v>0</v>
      </c>
      <c r="BV48" t="s">
        <v>187</v>
      </c>
      <c r="BW48">
        <v>0.355827</v>
      </c>
      <c r="BX48">
        <v>0</v>
      </c>
      <c r="BY48">
        <v>0.29570999999999997</v>
      </c>
      <c r="BZ48">
        <v>1.421E-3</v>
      </c>
      <c r="CA48">
        <v>0.34704200000000002</v>
      </c>
      <c r="CB48">
        <f>MAX(Таблица23[[#This Row],[АприорИСК1]]:Таблица23[[#This Row],[АприорИСК5]])</f>
        <v>0.355827</v>
      </c>
      <c r="CC4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48">
        <f>IF(Таблица23[[#This Row],[АприорИСК классификация]]=Таблица23[[#This Row],[обучающая выборка]],1,0)</f>
        <v>0</v>
      </c>
      <c r="CE48" s="35">
        <v>-0.38057949214267195</v>
      </c>
      <c r="CF48" s="35">
        <v>-0.28465892672474047</v>
      </c>
      <c r="CG48" s="35">
        <v>-1.656239331381662E-3</v>
      </c>
      <c r="CH48" s="35">
        <v>1</v>
      </c>
      <c r="CI48" s="35">
        <v>2</v>
      </c>
      <c r="CJ48" s="36">
        <v>1</v>
      </c>
      <c r="CK48" s="35">
        <v>3</v>
      </c>
      <c r="CL48" s="36">
        <v>-0.38057949226707533</v>
      </c>
      <c r="CM48" s="36">
        <v>-0.28465892678001109</v>
      </c>
      <c r="CN48" s="36">
        <v>1.6562394893345469E-3</v>
      </c>
    </row>
    <row r="49" spans="1:92" x14ac:dyDescent="0.25">
      <c r="A49" s="3" t="s">
        <v>62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SUMXMY2(Таблица23[[#This Row],[X1]:[X9]],Таблица23[[#Totals],[X1]:[X9]])</f>
        <v>19.935317220770148</v>
      </c>
      <c r="P49" s="20">
        <v>4</v>
      </c>
      <c r="Q49" s="20" t="s">
        <v>190</v>
      </c>
      <c r="R49" s="20">
        <f>IF(VALUE(RIGHT(Таблица23[[#This Row],[функция]],1))=Таблица23[[#This Row],[обучающая выборка]],1,0)</f>
        <v>1</v>
      </c>
      <c r="S49" s="20">
        <f>IF(Таблица23[[#This Row],[обучающая выборка]]=Таблица23[[#This Row],[Result Lda]],1,0)</f>
        <v>1</v>
      </c>
      <c r="T49" s="20">
        <v>4</v>
      </c>
      <c r="U49" s="20" t="s">
        <v>190</v>
      </c>
      <c r="V49" s="20">
        <v>54.216000000000001</v>
      </c>
      <c r="W49" s="20">
        <v>2026.5719999999999</v>
      </c>
      <c r="X49" s="20">
        <v>84.760999999999996</v>
      </c>
      <c r="Y49" s="20">
        <v>12.523999999999999</v>
      </c>
      <c r="Z49" s="20">
        <v>105.084</v>
      </c>
      <c r="AA49" s="20">
        <f>MIN(Таблица23[[#This Row],[Махал1]:[Махал5]])</f>
        <v>12.523999999999999</v>
      </c>
      <c r="AB4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49" s="20">
        <f>IF(Таблица23[[#This Row],[Махаланобис классификация]]=Таблица23[[#This Row],[обучающая выборка]],1,0)</f>
        <v>1</v>
      </c>
      <c r="AD49" s="21" t="s">
        <v>190</v>
      </c>
      <c r="AE49" s="22">
        <v>1.945790866652662E-9</v>
      </c>
      <c r="AF49" s="22">
        <v>0</v>
      </c>
      <c r="AG49" s="22">
        <v>2.4731326634302265E-16</v>
      </c>
      <c r="AH49" s="22">
        <v>0.99999999805420881</v>
      </c>
      <c r="AI49" s="22">
        <v>9.5530426606907607E-21</v>
      </c>
      <c r="AJ49">
        <f>MAX(Таблица23[[#This Row],[априор1]:[априор5]])</f>
        <v>0.99999999805420881</v>
      </c>
      <c r="AK4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49">
        <f>IF(Таблица23[[#This Row],[обучающая выборка]]=Таблица23[[#This Row],[Априор Классификация]],1,0)</f>
        <v>1</v>
      </c>
      <c r="AM49" t="s">
        <v>190</v>
      </c>
      <c r="AN49">
        <f>IF(VALUE(RIGHT(Таблица23[[#This Row],[фнкция ДА ВКЛ]],1))=Таблица23[[#This Row],[обучающая выборка]],1,0)</f>
        <v>1</v>
      </c>
      <c r="AO49">
        <f>IF(Таблица23[[#This Row],[обучающая выборка]]=Таблица23[[#This Row],[Result forward]],1,0)</f>
        <v>1</v>
      </c>
      <c r="AP49">
        <v>4</v>
      </c>
      <c r="AQ49" t="s">
        <v>190</v>
      </c>
      <c r="AR49">
        <v>29.471</v>
      </c>
      <c r="AS49">
        <v>1494.2139999999999</v>
      </c>
      <c r="AT49">
        <v>72.007999999999996</v>
      </c>
      <c r="AU49">
        <v>7.2720000000000002</v>
      </c>
      <c r="AV49">
        <v>60.350999999999999</v>
      </c>
      <c r="AW49">
        <f>MIN(Таблица23[[#This Row],[Махал1ВКЛ]:[Махал5ВКл]])</f>
        <v>7.2720000000000002</v>
      </c>
      <c r="AX4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49">
        <f>IF(Таблица23[[#This Row],[обучающая выборка]]=Таблица23[[#This Row],[МахаланобисКлассификацияВКЛ]],1,0)</f>
        <v>1</v>
      </c>
      <c r="AZ49" t="s">
        <v>190</v>
      </c>
      <c r="BA49">
        <v>3.3000000000000003E-5</v>
      </c>
      <c r="BB49">
        <v>0</v>
      </c>
      <c r="BC49">
        <v>0</v>
      </c>
      <c r="BD49">
        <v>0.99996700000000005</v>
      </c>
      <c r="BE49">
        <v>0</v>
      </c>
      <c r="BF49">
        <f>MAX(Таблица23[[#This Row],[АприорВКл1]:[АприорВКл5]])</f>
        <v>0.99996700000000005</v>
      </c>
      <c r="BG4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49">
        <f>IF(Таблица23[[#This Row],[АприорВклКлассификация]]=Таблица23[[#This Row],[обучающая выборка]],1,0)</f>
        <v>1</v>
      </c>
      <c r="BI49" s="21" t="s">
        <v>190</v>
      </c>
      <c r="BJ49" s="21">
        <f>IF(VALUE(RIGHT(Таблица23[[#This Row],[Фунция ДА ИСК]]))=Таблица23[[#This Row],[обучающая выборка]],1,0)</f>
        <v>1</v>
      </c>
      <c r="BK49" s="21">
        <f>IF(Таблица23[[#This Row],[обучающая выборка]]=Таблица23[[#This Row],[Result backward]],1,0)</f>
        <v>1</v>
      </c>
      <c r="BL49" s="21">
        <v>4</v>
      </c>
      <c r="BM49" t="s">
        <v>190</v>
      </c>
      <c r="BN49">
        <v>29.471</v>
      </c>
      <c r="BO49">
        <v>1494.2139999999999</v>
      </c>
      <c r="BP49">
        <v>72.007999999999996</v>
      </c>
      <c r="BQ49">
        <v>7.2720000000000002</v>
      </c>
      <c r="BR49">
        <v>60.350999999999999</v>
      </c>
      <c r="BS49">
        <f>MIN(Таблица23[[#This Row],[Махал1ИСК]:[Махал5ИСК]])</f>
        <v>7.2720000000000002</v>
      </c>
      <c r="BT4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49">
        <f>IF(Таблица23[[#This Row],[МАХАЛ ИСК Классификация]]=Таблица23[[#This Row],[обучающая выборка]],1,0)</f>
        <v>1</v>
      </c>
      <c r="BV49" t="s">
        <v>190</v>
      </c>
      <c r="BW49">
        <v>3.3000000000000003E-5</v>
      </c>
      <c r="BX49">
        <v>0</v>
      </c>
      <c r="BY49">
        <v>0</v>
      </c>
      <c r="BZ49">
        <v>0.99996700000000005</v>
      </c>
      <c r="CA49">
        <v>0</v>
      </c>
      <c r="CB49">
        <f>MAX(Таблица23[[#This Row],[АприорИСК1]]:Таблица23[[#This Row],[АприорИСК5]])</f>
        <v>0.99996700000000005</v>
      </c>
      <c r="CC4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49">
        <f>IF(Таблица23[[#This Row],[АприорИСК классификация]]=Таблица23[[#This Row],[обучающая выборка]],1,0)</f>
        <v>1</v>
      </c>
      <c r="CE49" s="35">
        <v>2.0167870980768274</v>
      </c>
      <c r="CF49" s="35">
        <v>1.5270940393233268</v>
      </c>
      <c r="CG49" s="35">
        <v>-4.4295305535899387E-2</v>
      </c>
      <c r="CH49" s="35">
        <v>5</v>
      </c>
      <c r="CI49" s="35">
        <v>4</v>
      </c>
      <c r="CJ49" s="36">
        <v>5</v>
      </c>
      <c r="CK49" s="35">
        <v>1</v>
      </c>
      <c r="CL49" s="36">
        <v>2.0167870981541092</v>
      </c>
      <c r="CM49" s="36">
        <v>1.527094039172243</v>
      </c>
      <c r="CN49" s="36">
        <v>4.4295305531790438E-2</v>
      </c>
    </row>
    <row r="50" spans="1:92" x14ac:dyDescent="0.25">
      <c r="A50" s="3" t="s">
        <v>63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SUMXMY2(Таблица23[[#This Row],[X1]:[X9]],Таблица23[[#Totals],[X1]:[X9]])</f>
        <v>42.501664791088388</v>
      </c>
      <c r="P50" s="20"/>
      <c r="Q50" s="20" t="s">
        <v>186</v>
      </c>
      <c r="R50" s="20">
        <f>IF(VALUE(RIGHT(Таблица23[[#This Row],[функция]],1))=Таблица23[[#This Row],[обучающая выборка]],1,0)</f>
        <v>0</v>
      </c>
      <c r="S50" s="20">
        <f>IF(Таблица23[[#This Row],[обучающая выборка]]=Таблица23[[#This Row],[Result Lda]],1,0)</f>
        <v>0</v>
      </c>
      <c r="T50" s="20">
        <v>4</v>
      </c>
      <c r="U50" s="20" t="s">
        <v>187</v>
      </c>
      <c r="V50" s="20">
        <v>170.32</v>
      </c>
      <c r="W50" s="20">
        <v>2417.4090000000001</v>
      </c>
      <c r="X50" s="20">
        <v>267.97899999999998</v>
      </c>
      <c r="Y50" s="20">
        <v>176.67599999999999</v>
      </c>
      <c r="Z50" s="20">
        <v>235.55500000000001</v>
      </c>
      <c r="AA50" s="20">
        <f>MIN(Таблица23[[#This Row],[Махал1]:[Махал5]])</f>
        <v>170.32</v>
      </c>
      <c r="AB5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0" s="20">
        <f>IF(Таблица23[[#This Row],[Махаланобис классификация]]=Таблица23[[#This Row],[обучающая выборка]],1,0)</f>
        <v>0</v>
      </c>
      <c r="AD50" s="21" t="s">
        <v>187</v>
      </c>
      <c r="AE50" s="22">
        <v>0.98140903292887405</v>
      </c>
      <c r="AF50" s="22">
        <v>0</v>
      </c>
      <c r="AG50" s="22">
        <v>3.3280907748236364E-22</v>
      </c>
      <c r="AH50" s="22">
        <v>1.8590967071122264E-2</v>
      </c>
      <c r="AI50" s="22">
        <v>3.6557187202783247E-15</v>
      </c>
      <c r="AJ50">
        <f>MAX(Таблица23[[#This Row],[априор1]:[априор5]])</f>
        <v>0.98140903292887405</v>
      </c>
      <c r="AK5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0">
        <f>IF(Таблица23[[#This Row],[обучающая выборка]]=Таблица23[[#This Row],[Априор Классификация]],1,0)</f>
        <v>0</v>
      </c>
      <c r="AM50" t="s">
        <v>190</v>
      </c>
      <c r="AN50">
        <f>IF(VALUE(RIGHT(Таблица23[[#This Row],[фнкция ДА ВКЛ]],1))=Таблица23[[#This Row],[обучающая выборка]],1,0)</f>
        <v>0</v>
      </c>
      <c r="AO50">
        <f>IF(Таблица23[[#This Row],[обучающая выборка]]=Таблица23[[#This Row],[Result forward]],1,0)</f>
        <v>0</v>
      </c>
      <c r="AP50">
        <v>4</v>
      </c>
      <c r="AQ50" t="s">
        <v>187</v>
      </c>
      <c r="AR50">
        <v>43.045000000000002</v>
      </c>
      <c r="AS50">
        <v>1398.9</v>
      </c>
      <c r="AT50">
        <v>88.847999999999999</v>
      </c>
      <c r="AU50">
        <v>14.378</v>
      </c>
      <c r="AV50">
        <v>74.876999999999995</v>
      </c>
      <c r="AW50">
        <f>MIN(Таблица23[[#This Row],[Махал1ВКЛ]:[Махал5ВКл]])</f>
        <v>14.378</v>
      </c>
      <c r="AX5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50">
        <f>IF(Таблица23[[#This Row],[обучающая выборка]]=Таблица23[[#This Row],[МахаланобисКлассификацияВКЛ]],1,0)</f>
        <v>0</v>
      </c>
      <c r="AZ50" t="s">
        <v>187</v>
      </c>
      <c r="BA50">
        <v>9.9999999999999995E-7</v>
      </c>
      <c r="BB50">
        <v>0</v>
      </c>
      <c r="BC50">
        <v>0</v>
      </c>
      <c r="BD50">
        <v>0.99999899999999997</v>
      </c>
      <c r="BE50">
        <v>0</v>
      </c>
      <c r="BF50">
        <f>MAX(Таблица23[[#This Row],[АприорВКл1]:[АприорВКл5]])</f>
        <v>0.99999899999999997</v>
      </c>
      <c r="BG5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50">
        <f>IF(Таблица23[[#This Row],[АприорВклКлассификация]]=Таблица23[[#This Row],[обучающая выборка]],1,0)</f>
        <v>0</v>
      </c>
      <c r="BI50" s="21" t="s">
        <v>190</v>
      </c>
      <c r="BJ50" s="21">
        <f>IF(VALUE(RIGHT(Таблица23[[#This Row],[Фунция ДА ИСК]]))=Таблица23[[#This Row],[обучающая выборка]],1,0)</f>
        <v>0</v>
      </c>
      <c r="BK50" s="21">
        <f>IF(Таблица23[[#This Row],[обучающая выборка]]=Таблица23[[#This Row],[Result backward]],1,0)</f>
        <v>0</v>
      </c>
      <c r="BL50" s="21">
        <v>4</v>
      </c>
      <c r="BM50" t="s">
        <v>187</v>
      </c>
      <c r="BN50">
        <v>43.045000000000002</v>
      </c>
      <c r="BO50">
        <v>1398.9</v>
      </c>
      <c r="BP50">
        <v>88.847999999999999</v>
      </c>
      <c r="BQ50">
        <v>14.378</v>
      </c>
      <c r="BR50">
        <v>74.876999999999995</v>
      </c>
      <c r="BS50">
        <f>MIN(Таблица23[[#This Row],[Махал1ИСК]:[Махал5ИСК]])</f>
        <v>14.378</v>
      </c>
      <c r="BT5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50">
        <f>IF(Таблица23[[#This Row],[МАХАЛ ИСК Классификация]]=Таблица23[[#This Row],[обучающая выборка]],1,0)</f>
        <v>0</v>
      </c>
      <c r="BV50" t="s">
        <v>187</v>
      </c>
      <c r="BW50">
        <v>9.9999999999999995E-7</v>
      </c>
      <c r="BX50">
        <v>0</v>
      </c>
      <c r="BY50">
        <v>0</v>
      </c>
      <c r="BZ50">
        <v>0.99999899999999997</v>
      </c>
      <c r="CA50">
        <v>0</v>
      </c>
      <c r="CB50">
        <f>MAX(Таблица23[[#This Row],[АприорИСК1]]:Таблица23[[#This Row],[АприорИСК5]])</f>
        <v>0.99999899999999997</v>
      </c>
      <c r="CC5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50">
        <f>IF(Таблица23[[#This Row],[АприорИСК классификация]]=Таблица23[[#This Row],[обучающая выборка]],1,0)</f>
        <v>0</v>
      </c>
      <c r="CE50" s="35">
        <v>2.4004749266290126</v>
      </c>
      <c r="CF50" s="35">
        <v>1.5243648928990807</v>
      </c>
      <c r="CG50" s="35">
        <v>-3.6525754361228113</v>
      </c>
      <c r="CH50" s="35">
        <v>1</v>
      </c>
      <c r="CI50" s="35">
        <v>5</v>
      </c>
      <c r="CJ50" s="36">
        <v>5</v>
      </c>
      <c r="CK50" s="35">
        <v>2</v>
      </c>
      <c r="CL50" s="36">
        <v>2.400474926679931</v>
      </c>
      <c r="CM50" s="36">
        <v>1.5243648927933711</v>
      </c>
      <c r="CN50" s="36">
        <v>3.6525754350807058</v>
      </c>
    </row>
    <row r="51" spans="1:92" x14ac:dyDescent="0.25">
      <c r="A51" s="3" t="s">
        <v>64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SUMXMY2(Таблица23[[#This Row],[X1]:[X9]],Таблица23[[#Totals],[X1]:[X9]])</f>
        <v>10.127926058631388</v>
      </c>
      <c r="P51" s="20"/>
      <c r="Q51" s="20" t="s">
        <v>186</v>
      </c>
      <c r="R51" s="20">
        <f>IF(VALUE(RIGHT(Таблица23[[#This Row],[функция]],1))=Таблица23[[#This Row],[обучающая выборка]],1,0)</f>
        <v>0</v>
      </c>
      <c r="S51" s="20">
        <f>IF(Таблица23[[#This Row],[обучающая выборка]]=Таблица23[[#This Row],[Result Lda]],1,0)</f>
        <v>0</v>
      </c>
      <c r="T51" s="20">
        <v>1</v>
      </c>
      <c r="U51" s="20" t="s">
        <v>187</v>
      </c>
      <c r="V51" s="20">
        <v>30.753</v>
      </c>
      <c r="W51" s="20">
        <v>2198.4070000000002</v>
      </c>
      <c r="X51" s="20">
        <v>66.73</v>
      </c>
      <c r="Y51" s="20">
        <v>51.68</v>
      </c>
      <c r="Z51" s="20">
        <v>51.676000000000002</v>
      </c>
      <c r="AA51" s="20">
        <f>MIN(Таблица23[[#This Row],[Махал1]:[Махал5]])</f>
        <v>30.753</v>
      </c>
      <c r="AB5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1" s="20">
        <f>IF(Таблица23[[#This Row],[Махаланобис классификация]]=Таблица23[[#This Row],[обучающая выборка]],1,0)</f>
        <v>0</v>
      </c>
      <c r="AD51" s="21" t="s">
        <v>187</v>
      </c>
      <c r="AE51" s="22">
        <v>0.99997140177744492</v>
      </c>
      <c r="AF51" s="22">
        <v>0</v>
      </c>
      <c r="AG51" s="22">
        <v>8.401773805125094E-9</v>
      </c>
      <c r="AH51" s="22">
        <v>1.2980189456672589E-5</v>
      </c>
      <c r="AI51" s="22">
        <v>1.560963132441399E-5</v>
      </c>
      <c r="AJ51">
        <f>MAX(Таблица23[[#This Row],[априор1]:[априор5]])</f>
        <v>0.99997140177744492</v>
      </c>
      <c r="AK5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1">
        <f>IF(Таблица23[[#This Row],[обучающая выборка]]=Таблица23[[#This Row],[Априор Классификация]],1,0)</f>
        <v>0</v>
      </c>
      <c r="AM51" t="s">
        <v>186</v>
      </c>
      <c r="AN51">
        <f>IF(VALUE(RIGHT(Таблица23[[#This Row],[фнкция ДА ВКЛ]],1))=Таблица23[[#This Row],[обучающая выборка]],1,0)</f>
        <v>0</v>
      </c>
      <c r="AO51">
        <f>IF(Таблица23[[#This Row],[обучающая выборка]]=Таблица23[[#This Row],[Result forward]],1,0)</f>
        <v>0</v>
      </c>
      <c r="AP51">
        <v>1</v>
      </c>
      <c r="AQ51" t="s">
        <v>187</v>
      </c>
      <c r="AR51">
        <v>6.5410000000000004</v>
      </c>
      <c r="AS51">
        <v>1462.49</v>
      </c>
      <c r="AT51">
        <v>40.469000000000001</v>
      </c>
      <c r="AU51">
        <v>6.6050000000000004</v>
      </c>
      <c r="AV51">
        <v>37.911999999999999</v>
      </c>
      <c r="AW51">
        <f>MIN(Таблица23[[#This Row],[Махал1ВКЛ]:[Махал5ВКл]])</f>
        <v>6.5410000000000004</v>
      </c>
      <c r="AX5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1">
        <f>IF(Таблица23[[#This Row],[обучающая выборка]]=Таблица23[[#This Row],[МахаланобисКлассификацияВКЛ]],1,0)</f>
        <v>0</v>
      </c>
      <c r="AZ51" t="s">
        <v>187</v>
      </c>
      <c r="BA51">
        <v>0.69435899999999995</v>
      </c>
      <c r="BB51">
        <v>0</v>
      </c>
      <c r="BC51">
        <v>0</v>
      </c>
      <c r="BD51">
        <v>0.305641</v>
      </c>
      <c r="BE51">
        <v>0</v>
      </c>
      <c r="BF51">
        <f>MAX(Таблица23[[#This Row],[АприорВКл1]:[АприорВКл5]])</f>
        <v>0.69435899999999995</v>
      </c>
      <c r="BG5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1">
        <f>IF(Таблица23[[#This Row],[АприорВклКлассификация]]=Таблица23[[#This Row],[обучающая выборка]],1,0)</f>
        <v>0</v>
      </c>
      <c r="BI51" s="21" t="s">
        <v>186</v>
      </c>
      <c r="BJ51" s="21">
        <f>IF(VALUE(RIGHT(Таблица23[[#This Row],[Фунция ДА ИСК]]))=Таблица23[[#This Row],[обучающая выборка]],1,0)</f>
        <v>0</v>
      </c>
      <c r="BK51" s="21">
        <f>IF(Таблица23[[#This Row],[обучающая выборка]]=Таблица23[[#This Row],[Result backward]],1,0)</f>
        <v>0</v>
      </c>
      <c r="BL51" s="21">
        <v>1</v>
      </c>
      <c r="BM51" t="s">
        <v>187</v>
      </c>
      <c r="BN51">
        <v>6.5410000000000004</v>
      </c>
      <c r="BO51">
        <v>1462.49</v>
      </c>
      <c r="BP51">
        <v>40.469000000000001</v>
      </c>
      <c r="BQ51">
        <v>6.6050000000000004</v>
      </c>
      <c r="BR51">
        <v>37.911999999999999</v>
      </c>
      <c r="BS51">
        <f>MIN(Таблица23[[#This Row],[Махал1ИСК]:[Махал5ИСК]])</f>
        <v>6.5410000000000004</v>
      </c>
      <c r="BT5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1">
        <f>IF(Таблица23[[#This Row],[МАХАЛ ИСК Классификация]]=Таблица23[[#This Row],[обучающая выборка]],1,0)</f>
        <v>0</v>
      </c>
      <c r="BV51" t="s">
        <v>187</v>
      </c>
      <c r="BW51">
        <v>0.69435899999999995</v>
      </c>
      <c r="BX51">
        <v>0</v>
      </c>
      <c r="BY51">
        <v>0</v>
      </c>
      <c r="BZ51">
        <v>0.305641</v>
      </c>
      <c r="CA51">
        <v>0</v>
      </c>
      <c r="CB51">
        <f>MAX(Таблица23[[#This Row],[АприорИСК1]]:Таблица23[[#This Row],[АприорИСК5]])</f>
        <v>0.69435899999999995</v>
      </c>
      <c r="CC5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1">
        <f>IF(Таблица23[[#This Row],[АприорИСК классификация]]=Таблица23[[#This Row],[обучающая выборка]],1,0)</f>
        <v>0</v>
      </c>
      <c r="CE51" s="35">
        <v>0.54948196782528946</v>
      </c>
      <c r="CF51" s="35">
        <v>-1.1501117532461529</v>
      </c>
      <c r="CG51" s="35">
        <v>1.8306613026342453</v>
      </c>
      <c r="CH51" s="35">
        <v>1</v>
      </c>
      <c r="CI51" s="35">
        <v>2</v>
      </c>
      <c r="CJ51" s="36">
        <v>1</v>
      </c>
      <c r="CK51" s="35">
        <v>5</v>
      </c>
      <c r="CL51" s="36">
        <v>0.54948196784431746</v>
      </c>
      <c r="CM51" s="36">
        <v>-1.150111752934204</v>
      </c>
      <c r="CN51" s="36">
        <v>-1.8306613021047931</v>
      </c>
    </row>
    <row r="52" spans="1:92" x14ac:dyDescent="0.25">
      <c r="A52" s="3" t="s">
        <v>65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SUMXMY2(Таблица23[[#This Row],[X1]:[X9]],Таблица23[[#Totals],[X1]:[X9]])</f>
        <v>10.969901408299849</v>
      </c>
      <c r="P52" s="20"/>
      <c r="Q52" s="20" t="s">
        <v>189</v>
      </c>
      <c r="R52" s="20">
        <f>IF(VALUE(RIGHT(Таблица23[[#This Row],[функция]],1))=Таблица23[[#This Row],[обучающая выборка]],1,0)</f>
        <v>0</v>
      </c>
      <c r="S52" s="20">
        <f>IF(Таблица23[[#This Row],[обучающая выборка]]=Таблица23[[#This Row],[Result Lda]],1,0)</f>
        <v>0</v>
      </c>
      <c r="T52" s="20">
        <v>5</v>
      </c>
      <c r="U52" s="20" t="s">
        <v>187</v>
      </c>
      <c r="V52" s="20">
        <v>53.59</v>
      </c>
      <c r="W52" s="20">
        <v>2032.327</v>
      </c>
      <c r="X52" s="20">
        <v>49.051000000000002</v>
      </c>
      <c r="Y52" s="20">
        <v>106.264</v>
      </c>
      <c r="Z52" s="20">
        <v>18.471</v>
      </c>
      <c r="AA52" s="20">
        <f>MIN(Таблица23[[#This Row],[Махал1]:[Махал5]])</f>
        <v>18.471</v>
      </c>
      <c r="AB5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52" s="20">
        <f>IF(Таблица23[[#This Row],[Махаланобис классификация]]=Таблица23[[#This Row],[обучающая выборка]],1,0)</f>
        <v>0</v>
      </c>
      <c r="AD52" s="21" t="s">
        <v>187</v>
      </c>
      <c r="AE52" s="22">
        <v>4.3379756588461175E-8</v>
      </c>
      <c r="AF52" s="22">
        <v>0</v>
      </c>
      <c r="AG52" s="22">
        <v>2.2898273980874196E-7</v>
      </c>
      <c r="AH52" s="22">
        <v>7.191672763692086E-20</v>
      </c>
      <c r="AI52" s="22">
        <v>0.99999972763750367</v>
      </c>
      <c r="AJ52">
        <f>MAX(Таблица23[[#This Row],[априор1]:[априор5]])</f>
        <v>0.99999972763750367</v>
      </c>
      <c r="AK5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52">
        <f>IF(Таблица23[[#This Row],[обучающая выборка]]=Таблица23[[#This Row],[Априор Классификация]],1,0)</f>
        <v>0</v>
      </c>
      <c r="AM52" t="s">
        <v>189</v>
      </c>
      <c r="AN52">
        <f>IF(VALUE(RIGHT(Таблица23[[#This Row],[фнкция ДА ВКЛ]],1))=Таблица23[[#This Row],[обучающая выборка]],1,0)</f>
        <v>0</v>
      </c>
      <c r="AO52">
        <f>IF(Таблица23[[#This Row],[обучающая выборка]]=Таблица23[[#This Row],[Result forward]],1,0)</f>
        <v>0</v>
      </c>
      <c r="AP52">
        <v>5</v>
      </c>
      <c r="AQ52" t="s">
        <v>187</v>
      </c>
      <c r="AR52">
        <v>49.081000000000003</v>
      </c>
      <c r="AS52">
        <v>1403.4190000000001</v>
      </c>
      <c r="AT52">
        <v>44.997</v>
      </c>
      <c r="AU52">
        <v>96.753</v>
      </c>
      <c r="AV52">
        <v>12.096</v>
      </c>
      <c r="AW52">
        <f>MIN(Таблица23[[#This Row],[Махал1ВКЛ]:[Махал5ВКл]])</f>
        <v>12.096</v>
      </c>
      <c r="AX5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52">
        <f>IF(Таблица23[[#This Row],[обучающая выборка]]=Таблица23[[#This Row],[МахаланобисКлассификацияВКЛ]],1,0)</f>
        <v>0</v>
      </c>
      <c r="AZ52" t="s">
        <v>187</v>
      </c>
      <c r="BA52">
        <v>0</v>
      </c>
      <c r="BB52">
        <v>0</v>
      </c>
      <c r="BC52">
        <v>0</v>
      </c>
      <c r="BD52">
        <v>0</v>
      </c>
      <c r="BE52">
        <v>1</v>
      </c>
      <c r="BF52">
        <f>MAX(Таблица23[[#This Row],[АприорВКл1]:[АприорВКл5]])</f>
        <v>1</v>
      </c>
      <c r="BG5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52">
        <f>IF(Таблица23[[#This Row],[АприорВклКлассификация]]=Таблица23[[#This Row],[обучающая выборка]],1,0)</f>
        <v>0</v>
      </c>
      <c r="BI52" s="21" t="s">
        <v>189</v>
      </c>
      <c r="BJ52" s="21">
        <f>IF(VALUE(RIGHT(Таблица23[[#This Row],[Фунция ДА ИСК]]))=Таблица23[[#This Row],[обучающая выборка]],1,0)</f>
        <v>0</v>
      </c>
      <c r="BK52" s="21">
        <f>IF(Таблица23[[#This Row],[обучающая выборка]]=Таблица23[[#This Row],[Result backward]],1,0)</f>
        <v>0</v>
      </c>
      <c r="BL52" s="21">
        <v>5</v>
      </c>
      <c r="BM52" t="s">
        <v>187</v>
      </c>
      <c r="BN52">
        <v>49.081000000000003</v>
      </c>
      <c r="BO52">
        <v>1403.4190000000001</v>
      </c>
      <c r="BP52">
        <v>44.997</v>
      </c>
      <c r="BQ52">
        <v>96.753</v>
      </c>
      <c r="BR52">
        <v>12.096</v>
      </c>
      <c r="BS52">
        <f>MIN(Таблица23[[#This Row],[Махал1ИСК]:[Махал5ИСК]])</f>
        <v>12.096</v>
      </c>
      <c r="BT5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52">
        <f>IF(Таблица23[[#This Row],[МАХАЛ ИСК Классификация]]=Таблица23[[#This Row],[обучающая выборка]],1,0)</f>
        <v>0</v>
      </c>
      <c r="BV52" t="s">
        <v>187</v>
      </c>
      <c r="BW52">
        <v>0</v>
      </c>
      <c r="BX52">
        <v>0</v>
      </c>
      <c r="BY52">
        <v>0</v>
      </c>
      <c r="BZ52">
        <v>0</v>
      </c>
      <c r="CA52">
        <v>1</v>
      </c>
      <c r="CB52">
        <f>MAX(Таблица23[[#This Row],[АприорИСК1]]:Таблица23[[#This Row],[АприорИСК5]])</f>
        <v>1</v>
      </c>
      <c r="CC5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52">
        <f>IF(Таблица23[[#This Row],[АприорИСК классификация]]=Таблица23[[#This Row],[обучающая выборка]],1,0)</f>
        <v>0</v>
      </c>
      <c r="CE52" s="35">
        <v>-1.4775798025292122</v>
      </c>
      <c r="CF52" s="35">
        <v>-0.72266238779301717</v>
      </c>
      <c r="CG52" s="35">
        <v>-0.69186690034071352</v>
      </c>
      <c r="CH52" s="35">
        <v>4</v>
      </c>
      <c r="CI52" s="35">
        <v>3</v>
      </c>
      <c r="CJ52" s="36">
        <v>4</v>
      </c>
      <c r="CK52" s="35">
        <v>3</v>
      </c>
      <c r="CL52" s="36">
        <v>-1.477579802757568</v>
      </c>
      <c r="CM52" s="36">
        <v>-0.72266238791158188</v>
      </c>
      <c r="CN52" s="36">
        <v>0.69186690038511378</v>
      </c>
    </row>
    <row r="53" spans="1:92" x14ac:dyDescent="0.25">
      <c r="A53" s="3" t="s">
        <v>66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SUMXMY2(Таблица23[[#This Row],[X1]:[X9]],Таблица23[[#Totals],[X1]:[X9]])</f>
        <v>10.64785641320098</v>
      </c>
      <c r="P53" s="20">
        <v>5</v>
      </c>
      <c r="Q53" s="20" t="s">
        <v>189</v>
      </c>
      <c r="R53" s="20">
        <f>IF(VALUE(RIGHT(Таблица23[[#This Row],[функция]],1))=Таблица23[[#This Row],[обучающая выборка]],1,0)</f>
        <v>1</v>
      </c>
      <c r="S53" s="20">
        <f>IF(Таблица23[[#This Row],[обучающая выборка]]=Таблица23[[#This Row],[Result Lda]],1,0)</f>
        <v>1</v>
      </c>
      <c r="T53" s="20">
        <v>5</v>
      </c>
      <c r="U53" s="20" t="s">
        <v>189</v>
      </c>
      <c r="V53" s="20">
        <v>54.804000000000002</v>
      </c>
      <c r="W53" s="20">
        <v>1794.885</v>
      </c>
      <c r="X53" s="20">
        <v>57.24</v>
      </c>
      <c r="Y53" s="20">
        <v>98.787999999999997</v>
      </c>
      <c r="Z53" s="20">
        <v>15.228999999999999</v>
      </c>
      <c r="AA53" s="20">
        <f>MIN(Таблица23[[#This Row],[Махал1]:[Махал5]])</f>
        <v>15.228999999999999</v>
      </c>
      <c r="AB5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53" s="20">
        <f>IF(Таблица23[[#This Row],[Махаланобис классификация]]=Таблица23[[#This Row],[обучающая выборка]],1,0)</f>
        <v>1</v>
      </c>
      <c r="AD53" s="21" t="s">
        <v>189</v>
      </c>
      <c r="AE53" s="22">
        <v>4.6739012070794684E-9</v>
      </c>
      <c r="AF53" s="22">
        <v>0</v>
      </c>
      <c r="AG53" s="22">
        <v>7.5434229066286198E-10</v>
      </c>
      <c r="AH53" s="22">
        <v>5.972968232100555E-19</v>
      </c>
      <c r="AI53" s="22">
        <v>0.99999999457175648</v>
      </c>
      <c r="AJ53">
        <f>MAX(Таблица23[[#This Row],[априор1]:[априор5]])</f>
        <v>0.99999999457175648</v>
      </c>
      <c r="AK5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53">
        <f>IF(Таблица23[[#This Row],[обучающая выборка]]=Таблица23[[#This Row],[Априор Классификация]],1,0)</f>
        <v>1</v>
      </c>
      <c r="AM53" t="s">
        <v>189</v>
      </c>
      <c r="AN53">
        <f>IF(VALUE(RIGHT(Таблица23[[#This Row],[фнкция ДА ВКЛ]],1))=Таблица23[[#This Row],[обучающая выборка]],1,0)</f>
        <v>1</v>
      </c>
      <c r="AO53">
        <f>IF(Таблица23[[#This Row],[обучающая выборка]]=Таблица23[[#This Row],[Result forward]],1,0)</f>
        <v>1</v>
      </c>
      <c r="AP53">
        <v>5</v>
      </c>
      <c r="AQ53" t="s">
        <v>189</v>
      </c>
      <c r="AR53">
        <v>48.993000000000002</v>
      </c>
      <c r="AS53">
        <v>1179.682</v>
      </c>
      <c r="AT53">
        <v>50.725000000000001</v>
      </c>
      <c r="AU53">
        <v>84.436999999999998</v>
      </c>
      <c r="AV53">
        <v>12.754</v>
      </c>
      <c r="AW53">
        <f>MIN(Таблица23[[#This Row],[Махал1ВКЛ]:[Махал5ВКл]])</f>
        <v>12.754</v>
      </c>
      <c r="AX5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53">
        <f>IF(Таблица23[[#This Row],[обучающая выборка]]=Таблица23[[#This Row],[МахаланобисКлассификацияВКЛ]],1,0)</f>
        <v>1</v>
      </c>
      <c r="AZ53" t="s">
        <v>189</v>
      </c>
      <c r="BA53">
        <v>0</v>
      </c>
      <c r="BB53">
        <v>0</v>
      </c>
      <c r="BC53">
        <v>0</v>
      </c>
      <c r="BD53">
        <v>0</v>
      </c>
      <c r="BE53">
        <v>1</v>
      </c>
      <c r="BF53">
        <f>MAX(Таблица23[[#This Row],[АприорВКл1]:[АприорВКл5]])</f>
        <v>1</v>
      </c>
      <c r="BG5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53">
        <f>IF(Таблица23[[#This Row],[АприорВклКлассификация]]=Таблица23[[#This Row],[обучающая выборка]],1,0)</f>
        <v>1</v>
      </c>
      <c r="BI53" s="21" t="s">
        <v>189</v>
      </c>
      <c r="BJ53" s="21">
        <f>IF(VALUE(RIGHT(Таблица23[[#This Row],[Фунция ДА ИСК]]))=Таблица23[[#This Row],[обучающая выборка]],1,0)</f>
        <v>1</v>
      </c>
      <c r="BK53" s="21">
        <f>IF(Таблица23[[#This Row],[обучающая выборка]]=Таблица23[[#This Row],[Result backward]],1,0)</f>
        <v>1</v>
      </c>
      <c r="BL53" s="21">
        <v>5</v>
      </c>
      <c r="BM53" t="s">
        <v>189</v>
      </c>
      <c r="BN53">
        <v>48.993000000000002</v>
      </c>
      <c r="BO53">
        <v>1179.682</v>
      </c>
      <c r="BP53">
        <v>50.725000000000001</v>
      </c>
      <c r="BQ53">
        <v>84.436999999999998</v>
      </c>
      <c r="BR53">
        <v>12.754</v>
      </c>
      <c r="BS53">
        <f>MIN(Таблица23[[#This Row],[Махал1ИСК]:[Махал5ИСК]])</f>
        <v>12.754</v>
      </c>
      <c r="BT5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53">
        <f>IF(Таблица23[[#This Row],[МАХАЛ ИСК Классификация]]=Таблица23[[#This Row],[обучающая выборка]],1,0)</f>
        <v>1</v>
      </c>
      <c r="BV53" t="s">
        <v>189</v>
      </c>
      <c r="BW53">
        <v>0</v>
      </c>
      <c r="BX53">
        <v>0</v>
      </c>
      <c r="BY53">
        <v>0</v>
      </c>
      <c r="BZ53">
        <v>0</v>
      </c>
      <c r="CA53">
        <v>1</v>
      </c>
      <c r="CB53">
        <f>MAX(Таблица23[[#This Row],[АприорИСК1]]:Таблица23[[#This Row],[АприорИСК5]])</f>
        <v>1</v>
      </c>
      <c r="CC5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53">
        <f>IF(Таблица23[[#This Row],[АприорИСК классификация]]=Таблица23[[#This Row],[обучающая выборка]],1,0)</f>
        <v>1</v>
      </c>
      <c r="CE53" s="35">
        <v>-1.5145933250615475</v>
      </c>
      <c r="CF53" s="35">
        <v>-0.39599386453158691</v>
      </c>
      <c r="CG53" s="35">
        <v>-0.86062717837314284</v>
      </c>
      <c r="CH53" s="35">
        <v>4</v>
      </c>
      <c r="CI53" s="35">
        <v>3</v>
      </c>
      <c r="CJ53" s="36">
        <v>4</v>
      </c>
      <c r="CK53" s="35">
        <v>3</v>
      </c>
      <c r="CL53" s="36">
        <v>-1.514593325239173</v>
      </c>
      <c r="CM53" s="36">
        <v>-0.39599386457952168</v>
      </c>
      <c r="CN53" s="36">
        <v>0.86062717840493097</v>
      </c>
    </row>
    <row r="54" spans="1:92" x14ac:dyDescent="0.25">
      <c r="A54" s="3" t="s">
        <v>67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SUMXMY2(Таблица23[[#This Row],[X1]:[X9]],Таблица23[[#Totals],[X1]:[X9]])</f>
        <v>6.0593089440009553</v>
      </c>
      <c r="P54" s="20"/>
      <c r="Q54" s="20" t="s">
        <v>186</v>
      </c>
      <c r="R54" s="20">
        <f>IF(VALUE(RIGHT(Таблица23[[#This Row],[функция]],1))=Таблица23[[#This Row],[обучающая выборка]],1,0)</f>
        <v>0</v>
      </c>
      <c r="S54" s="20">
        <f>IF(Таблица23[[#This Row],[обучающая выборка]]=Таблица23[[#This Row],[Result Lda]],1,0)</f>
        <v>0</v>
      </c>
      <c r="T54" s="20">
        <v>1</v>
      </c>
      <c r="U54" s="20" t="s">
        <v>187</v>
      </c>
      <c r="V54" s="20">
        <v>36.978999999999999</v>
      </c>
      <c r="W54" s="20">
        <v>2498.5889999999999</v>
      </c>
      <c r="X54" s="20">
        <v>71.177999999999997</v>
      </c>
      <c r="Y54" s="20">
        <v>72.653999999999996</v>
      </c>
      <c r="Z54" s="20">
        <v>56.399000000000001</v>
      </c>
      <c r="AA54" s="20">
        <f>MIN(Таблица23[[#This Row],[Махал1]:[Махал5]])</f>
        <v>36.978999999999999</v>
      </c>
      <c r="AB5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4" s="20">
        <f>IF(Таблица23[[#This Row],[Махаланобис классификация]]=Таблица23[[#This Row],[обучающая выборка]],1,0)</f>
        <v>0</v>
      </c>
      <c r="AD54" s="21" t="s">
        <v>187</v>
      </c>
      <c r="AE54" s="22">
        <v>0.99996687667281936</v>
      </c>
      <c r="AF54" s="22">
        <v>0</v>
      </c>
      <c r="AG54" s="22">
        <v>2.043637244290588E-8</v>
      </c>
      <c r="AH54" s="22">
        <v>8.1438320185674298E-9</v>
      </c>
      <c r="AI54" s="22">
        <v>3.3094746976248222E-5</v>
      </c>
      <c r="AJ54">
        <f>MAX(Таблица23[[#This Row],[априор1]:[априор5]])</f>
        <v>0.99996687667281936</v>
      </c>
      <c r="AK5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4">
        <f>IF(Таблица23[[#This Row],[обучающая выборка]]=Таблица23[[#This Row],[Априор Классификация]],1,0)</f>
        <v>0</v>
      </c>
      <c r="AM54" t="s">
        <v>186</v>
      </c>
      <c r="AN54">
        <f>IF(VALUE(RIGHT(Таблица23[[#This Row],[фнкция ДА ВКЛ]],1))=Таблица23[[#This Row],[обучающая выборка]],1,0)</f>
        <v>0</v>
      </c>
      <c r="AO54">
        <f>IF(Таблица23[[#This Row],[обучающая выборка]]=Таблица23[[#This Row],[Result forward]],1,0)</f>
        <v>0</v>
      </c>
      <c r="AP54">
        <v>1</v>
      </c>
      <c r="AQ54" t="s">
        <v>187</v>
      </c>
      <c r="AR54">
        <v>27.632999999999999</v>
      </c>
      <c r="AS54">
        <v>1734.4590000000001</v>
      </c>
      <c r="AT54">
        <v>42.619</v>
      </c>
      <c r="AU54">
        <v>46.415999999999997</v>
      </c>
      <c r="AV54">
        <v>30.94</v>
      </c>
      <c r="AW54">
        <f>MIN(Таблица23[[#This Row],[Махал1ВКЛ]:[Махал5ВКл]])</f>
        <v>27.632999999999999</v>
      </c>
      <c r="AX5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4">
        <f>IF(Таблица23[[#This Row],[обучающая выборка]]=Таблица23[[#This Row],[МахаланобисКлассификацияВКЛ]],1,0)</f>
        <v>0</v>
      </c>
      <c r="AZ54" t="s">
        <v>187</v>
      </c>
      <c r="BA54">
        <v>0.905192</v>
      </c>
      <c r="BB54">
        <v>0</v>
      </c>
      <c r="BC54">
        <v>2.7500000000000002E-4</v>
      </c>
      <c r="BD54">
        <v>3.4E-5</v>
      </c>
      <c r="BE54">
        <v>9.4499E-2</v>
      </c>
      <c r="BF54">
        <f>MAX(Таблица23[[#This Row],[АприорВКл1]:[АприорВКл5]])</f>
        <v>0.905192</v>
      </c>
      <c r="BG5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4">
        <f>IF(Таблица23[[#This Row],[АприорВклКлассификация]]=Таблица23[[#This Row],[обучающая выборка]],1,0)</f>
        <v>0</v>
      </c>
      <c r="BI54" s="21" t="s">
        <v>186</v>
      </c>
      <c r="BJ54" s="21">
        <f>IF(VALUE(RIGHT(Таблица23[[#This Row],[Фунция ДА ИСК]]))=Таблица23[[#This Row],[обучающая выборка]],1,0)</f>
        <v>0</v>
      </c>
      <c r="BK54" s="21">
        <f>IF(Таблица23[[#This Row],[обучающая выборка]]=Таблица23[[#This Row],[Result backward]],1,0)</f>
        <v>0</v>
      </c>
      <c r="BL54" s="21">
        <v>1</v>
      </c>
      <c r="BM54" t="s">
        <v>187</v>
      </c>
      <c r="BN54">
        <v>27.632999999999999</v>
      </c>
      <c r="BO54">
        <v>1734.4590000000001</v>
      </c>
      <c r="BP54">
        <v>42.619</v>
      </c>
      <c r="BQ54">
        <v>46.415999999999997</v>
      </c>
      <c r="BR54">
        <v>30.94</v>
      </c>
      <c r="BS54">
        <f>MIN(Таблица23[[#This Row],[Махал1ИСК]:[Махал5ИСК]])</f>
        <v>27.632999999999999</v>
      </c>
      <c r="BT5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4">
        <f>IF(Таблица23[[#This Row],[МАХАЛ ИСК Классификация]]=Таблица23[[#This Row],[обучающая выборка]],1,0)</f>
        <v>0</v>
      </c>
      <c r="BV54" t="s">
        <v>187</v>
      </c>
      <c r="BW54">
        <v>0.905192</v>
      </c>
      <c r="BX54">
        <v>0</v>
      </c>
      <c r="BY54">
        <v>2.7500000000000002E-4</v>
      </c>
      <c r="BZ54">
        <v>3.4E-5</v>
      </c>
      <c r="CA54">
        <v>9.4499E-2</v>
      </c>
      <c r="CB54">
        <f>MAX(Таблица23[[#This Row],[АприорИСК1]]:Таблица23[[#This Row],[АприорИСК5]])</f>
        <v>0.905192</v>
      </c>
      <c r="CC5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4">
        <f>IF(Таблица23[[#This Row],[АприорИСК классификация]]=Таблица23[[#This Row],[обучающая выборка]],1,0)</f>
        <v>0</v>
      </c>
      <c r="CE54" s="35">
        <v>0.68963765539347199</v>
      </c>
      <c r="CF54" s="35">
        <v>-2.7830462251566837E-2</v>
      </c>
      <c r="CG54" s="35">
        <v>-1.8039720475254972</v>
      </c>
      <c r="CH54" s="35">
        <v>2</v>
      </c>
      <c r="CI54" s="35">
        <v>5</v>
      </c>
      <c r="CJ54" s="36">
        <v>4</v>
      </c>
      <c r="CK54" s="35">
        <v>2</v>
      </c>
      <c r="CL54" s="36">
        <v>0.6896376552982395</v>
      </c>
      <c r="CM54" s="36">
        <v>-2.783046236422082E-2</v>
      </c>
      <c r="CN54" s="36">
        <v>1.8039720472001819</v>
      </c>
    </row>
    <row r="55" spans="1:92" x14ac:dyDescent="0.25">
      <c r="A55" s="3" t="s">
        <v>68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SUMXMY2(Таблица23[[#This Row],[X1]:[X9]],Таблица23[[#Totals],[X1]:[X9]])</f>
        <v>1.4280775580256098</v>
      </c>
      <c r="P55" s="20">
        <v>1</v>
      </c>
      <c r="Q55" s="20" t="s">
        <v>186</v>
      </c>
      <c r="R55" s="20">
        <f>IF(VALUE(RIGHT(Таблица23[[#This Row],[функция]],1))=Таблица23[[#This Row],[обучающая выборка]],1,0)</f>
        <v>1</v>
      </c>
      <c r="S55" s="20">
        <f>IF(Таблица23[[#This Row],[обучающая выборка]]=Таблица23[[#This Row],[Result Lda]],1,0)</f>
        <v>1</v>
      </c>
      <c r="T55" s="20">
        <v>1</v>
      </c>
      <c r="U55" s="20" t="s">
        <v>186</v>
      </c>
      <c r="V55" s="20">
        <v>7.0810000000000004</v>
      </c>
      <c r="W55" s="20">
        <v>2156.5219999999999</v>
      </c>
      <c r="X55" s="20">
        <v>27.513999999999999</v>
      </c>
      <c r="Y55" s="20">
        <v>36.029000000000003</v>
      </c>
      <c r="Z55" s="20">
        <v>18.791</v>
      </c>
      <c r="AA55" s="20">
        <f>MIN(Таблица23[[#This Row],[Махал1]:[Махал5]])</f>
        <v>7.0810000000000004</v>
      </c>
      <c r="AB5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5" s="20">
        <f>IF(Таблица23[[#This Row],[Махаланобис классификация]]=Таблица23[[#This Row],[обучающая выборка]],1,0)</f>
        <v>1</v>
      </c>
      <c r="AD55" s="21" t="s">
        <v>186</v>
      </c>
      <c r="AE55" s="22">
        <v>0.99841935447656205</v>
      </c>
      <c r="AF55" s="22">
        <v>0</v>
      </c>
      <c r="AG55" s="22">
        <v>1.9911492157265747E-5</v>
      </c>
      <c r="AH55" s="22">
        <v>2.3490734056452071E-7</v>
      </c>
      <c r="AI55" s="22">
        <v>1.5604991239401996E-3</v>
      </c>
      <c r="AJ55">
        <f>MAX(Таблица23[[#This Row],[априор1]:[априор5]])</f>
        <v>0.99841935447656205</v>
      </c>
      <c r="AK5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5">
        <f>IF(Таблица23[[#This Row],[обучающая выборка]]=Таблица23[[#This Row],[Априор Классификация]],1,0)</f>
        <v>1</v>
      </c>
      <c r="AM55" t="s">
        <v>186</v>
      </c>
      <c r="AN55">
        <f>IF(VALUE(RIGHT(Таблица23[[#This Row],[фнкция ДА ВКЛ]],1))=Таблица23[[#This Row],[обучающая выборка]],1,0)</f>
        <v>1</v>
      </c>
      <c r="AO55">
        <f>IF(Таблица23[[#This Row],[обучающая выборка]]=Таблица23[[#This Row],[Result forward]],1,0)</f>
        <v>1</v>
      </c>
      <c r="AP55">
        <v>1</v>
      </c>
      <c r="AQ55" t="s">
        <v>186</v>
      </c>
      <c r="AR55">
        <v>4.5289999999999999</v>
      </c>
      <c r="AS55">
        <v>1465.3009999999999</v>
      </c>
      <c r="AT55">
        <v>16.533000000000001</v>
      </c>
      <c r="AU55">
        <v>22.364000000000001</v>
      </c>
      <c r="AV55">
        <v>8.8480000000000008</v>
      </c>
      <c r="AW55">
        <f>MIN(Таблица23[[#This Row],[Махал1ВКЛ]:[Махал5ВКл]])</f>
        <v>4.5289999999999999</v>
      </c>
      <c r="AX5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5">
        <f>IF(Таблица23[[#This Row],[обучающая выборка]]=Таблица23[[#This Row],[МахаланобисКлассификацияВКЛ]],1,0)</f>
        <v>1</v>
      </c>
      <c r="AZ55" t="s">
        <v>186</v>
      </c>
      <c r="BA55">
        <v>0.939523</v>
      </c>
      <c r="BB55">
        <v>0</v>
      </c>
      <c r="BC55">
        <v>1.268E-3</v>
      </c>
      <c r="BD55">
        <v>5.7000000000000003E-5</v>
      </c>
      <c r="BE55">
        <v>5.9152000000000003E-2</v>
      </c>
      <c r="BF55">
        <f>MAX(Таблица23[[#This Row],[АприорВКл1]:[АприорВКл5]])</f>
        <v>0.939523</v>
      </c>
      <c r="BG5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5">
        <f>IF(Таблица23[[#This Row],[АприорВклКлассификация]]=Таблица23[[#This Row],[обучающая выборка]],1,0)</f>
        <v>1</v>
      </c>
      <c r="BI55" s="21" t="s">
        <v>186</v>
      </c>
      <c r="BJ55" s="21">
        <f>IF(VALUE(RIGHT(Таблица23[[#This Row],[Фунция ДА ИСК]]))=Таблица23[[#This Row],[обучающая выборка]],1,0)</f>
        <v>1</v>
      </c>
      <c r="BK55" s="21">
        <f>IF(Таблица23[[#This Row],[обучающая выборка]]=Таблица23[[#This Row],[Result backward]],1,0)</f>
        <v>1</v>
      </c>
      <c r="BL55" s="21">
        <v>1</v>
      </c>
      <c r="BM55" t="s">
        <v>186</v>
      </c>
      <c r="BN55">
        <v>4.5289999999999999</v>
      </c>
      <c r="BO55">
        <v>1465.3009999999999</v>
      </c>
      <c r="BP55">
        <v>16.533000000000001</v>
      </c>
      <c r="BQ55">
        <v>22.364000000000001</v>
      </c>
      <c r="BR55">
        <v>8.8480000000000008</v>
      </c>
      <c r="BS55">
        <f>MIN(Таблица23[[#This Row],[Махал1ИСК]:[Махал5ИСК]])</f>
        <v>4.5289999999999999</v>
      </c>
      <c r="BT5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5">
        <f>IF(Таблица23[[#This Row],[МАХАЛ ИСК Классификация]]=Таблица23[[#This Row],[обучающая выборка]],1,0)</f>
        <v>1</v>
      </c>
      <c r="BV55" t="s">
        <v>186</v>
      </c>
      <c r="BW55">
        <v>0.939523</v>
      </c>
      <c r="BX55">
        <v>0</v>
      </c>
      <c r="BY55">
        <v>1.268E-3</v>
      </c>
      <c r="BZ55">
        <v>5.7000000000000003E-5</v>
      </c>
      <c r="CA55">
        <v>5.9152000000000003E-2</v>
      </c>
      <c r="CB55">
        <f>MAX(Таблица23[[#This Row],[АприорИСК1]]:Таблица23[[#This Row],[АприорИСК5]])</f>
        <v>0.939523</v>
      </c>
      <c r="CC5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5">
        <f>IF(Таблица23[[#This Row],[АприорИСК классификация]]=Таблица23[[#This Row],[обучающая выборка]],1,0)</f>
        <v>1</v>
      </c>
      <c r="CE55" s="35">
        <v>0.16014978428007182</v>
      </c>
      <c r="CF55" s="35">
        <v>-0.58830442637864933</v>
      </c>
      <c r="CG55" s="35">
        <v>-7.1540501220826586E-3</v>
      </c>
      <c r="CH55" s="35">
        <v>1</v>
      </c>
      <c r="CI55" s="35">
        <v>2</v>
      </c>
      <c r="CJ55" s="36">
        <v>1</v>
      </c>
      <c r="CK55" s="35">
        <v>3</v>
      </c>
      <c r="CL55" s="36">
        <v>0.16014978417610601</v>
      </c>
      <c r="CM55" s="36">
        <v>-0.58830442639080027</v>
      </c>
      <c r="CN55" s="36">
        <v>7.1540501191544271E-3</v>
      </c>
    </row>
    <row r="56" spans="1:92" x14ac:dyDescent="0.25">
      <c r="A56" s="3" t="s">
        <v>69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SUMXMY2(Таблица23[[#This Row],[X1]:[X9]],Таблица23[[#Totals],[X1]:[X9]])</f>
        <v>2.128275417286944</v>
      </c>
      <c r="P56" s="20">
        <v>1</v>
      </c>
      <c r="Q56" s="20" t="s">
        <v>186</v>
      </c>
      <c r="R56" s="20">
        <f>IF(VALUE(RIGHT(Таблица23[[#This Row],[функция]],1))=Таблица23[[#This Row],[обучающая выборка]],1,0)</f>
        <v>1</v>
      </c>
      <c r="S56" s="20">
        <f>IF(Таблица23[[#This Row],[обучающая выборка]]=Таблица23[[#This Row],[Result Lda]],1,0)</f>
        <v>1</v>
      </c>
      <c r="T56" s="20">
        <v>1</v>
      </c>
      <c r="U56" s="20" t="s">
        <v>186</v>
      </c>
      <c r="V56" s="20">
        <v>5.6950000000000003</v>
      </c>
      <c r="W56" s="20">
        <v>2116.84</v>
      </c>
      <c r="X56" s="20">
        <v>36.979999999999997</v>
      </c>
      <c r="Y56" s="20">
        <v>25.652999999999999</v>
      </c>
      <c r="Z56" s="20">
        <v>42.673999999999999</v>
      </c>
      <c r="AA56" s="20">
        <f>MIN(Таблица23[[#This Row],[Махал1]:[Махал5]])</f>
        <v>5.6950000000000003</v>
      </c>
      <c r="AB5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6" s="20">
        <f>IF(Таблица23[[#This Row],[Махаланобис классификация]]=Таблица23[[#This Row],[обучающая выборка]],1,0)</f>
        <v>1</v>
      </c>
      <c r="AD56" s="21" t="s">
        <v>186</v>
      </c>
      <c r="AE56" s="22">
        <v>0.9999788378890907</v>
      </c>
      <c r="AF56" s="22">
        <v>0</v>
      </c>
      <c r="AG56" s="22">
        <v>8.7776326036690313E-8</v>
      </c>
      <c r="AH56" s="22">
        <v>2.1069243491555099E-5</v>
      </c>
      <c r="AI56" s="22">
        <v>5.0910917360208075E-9</v>
      </c>
      <c r="AJ56">
        <f>MAX(Таблица23[[#This Row],[априор1]:[априор5]])</f>
        <v>0.9999788378890907</v>
      </c>
      <c r="AK5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6">
        <f>IF(Таблица23[[#This Row],[обучающая выборка]]=Таблица23[[#This Row],[Априор Классификация]],1,0)</f>
        <v>1</v>
      </c>
      <c r="AM56" t="s">
        <v>186</v>
      </c>
      <c r="AN56">
        <f>IF(VALUE(RIGHT(Таблица23[[#This Row],[фнкция ДА ВКЛ]],1))=Таблица23[[#This Row],[обучающая выборка]],1,0)</f>
        <v>1</v>
      </c>
      <c r="AO56">
        <f>IF(Таблица23[[#This Row],[обучающая выборка]]=Таблица23[[#This Row],[Result forward]],1,0)</f>
        <v>1</v>
      </c>
      <c r="AP56">
        <v>1</v>
      </c>
      <c r="AQ56" t="s">
        <v>186</v>
      </c>
      <c r="AR56">
        <v>3.3420000000000001</v>
      </c>
      <c r="AS56">
        <v>1388.96</v>
      </c>
      <c r="AT56">
        <v>22.581</v>
      </c>
      <c r="AU56">
        <v>12.16</v>
      </c>
      <c r="AV56">
        <v>24.033999999999999</v>
      </c>
      <c r="AW56">
        <f>MIN(Таблица23[[#This Row],[Махал1ВКЛ]:[Махал5ВКл]])</f>
        <v>3.3420000000000001</v>
      </c>
      <c r="AX5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6">
        <f>IF(Таблица23[[#This Row],[обучающая выборка]]=Таблица23[[#This Row],[МахаланобисКлассификацияВКЛ]],1,0)</f>
        <v>1</v>
      </c>
      <c r="AZ56" t="s">
        <v>186</v>
      </c>
      <c r="BA56">
        <v>0.99444600000000005</v>
      </c>
      <c r="BB56">
        <v>0</v>
      </c>
      <c r="BC56">
        <v>3.6000000000000001E-5</v>
      </c>
      <c r="BD56">
        <v>5.4999999999999997E-3</v>
      </c>
      <c r="BE56">
        <v>1.7E-5</v>
      </c>
      <c r="BF56">
        <f>MAX(Таблица23[[#This Row],[АприорВКл1]:[АприорВКл5]])</f>
        <v>0.99444600000000005</v>
      </c>
      <c r="BG5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6">
        <f>IF(Таблица23[[#This Row],[АприорВклКлассификация]]=Таблица23[[#This Row],[обучающая выборка]],1,0)</f>
        <v>1</v>
      </c>
      <c r="BI56" s="21" t="s">
        <v>186</v>
      </c>
      <c r="BJ56" s="21">
        <f>IF(VALUE(RIGHT(Таблица23[[#This Row],[Фунция ДА ИСК]]))=Таблица23[[#This Row],[обучающая выборка]],1,0)</f>
        <v>1</v>
      </c>
      <c r="BK56" s="21">
        <f>IF(Таблица23[[#This Row],[обучающая выборка]]=Таблица23[[#This Row],[Result backward]],1,0)</f>
        <v>1</v>
      </c>
      <c r="BL56" s="21">
        <v>1</v>
      </c>
      <c r="BM56" t="s">
        <v>186</v>
      </c>
      <c r="BN56">
        <v>3.3420000000000001</v>
      </c>
      <c r="BO56">
        <v>1388.96</v>
      </c>
      <c r="BP56">
        <v>22.581</v>
      </c>
      <c r="BQ56">
        <v>12.16</v>
      </c>
      <c r="BR56">
        <v>24.033999999999999</v>
      </c>
      <c r="BS56">
        <f>MIN(Таблица23[[#This Row],[Махал1ИСК]:[Махал5ИСК]])</f>
        <v>3.3420000000000001</v>
      </c>
      <c r="BT5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6">
        <f>IF(Таблица23[[#This Row],[МАХАЛ ИСК Классификация]]=Таблица23[[#This Row],[обучающая выборка]],1,0)</f>
        <v>1</v>
      </c>
      <c r="BV56" t="s">
        <v>186</v>
      </c>
      <c r="BW56">
        <v>0.99444600000000005</v>
      </c>
      <c r="BX56">
        <v>0</v>
      </c>
      <c r="BY56">
        <v>3.6000000000000001E-5</v>
      </c>
      <c r="BZ56">
        <v>5.4999999999999997E-3</v>
      </c>
      <c r="CA56">
        <v>1.7E-5</v>
      </c>
      <c r="CB56">
        <f>MAX(Таблица23[[#This Row],[АприорИСК1]]:Таблица23[[#This Row],[АприорИСК5]])</f>
        <v>0.99444600000000005</v>
      </c>
      <c r="CC5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6">
        <f>IF(Таблица23[[#This Row],[АприорИСК классификация]]=Таблица23[[#This Row],[обучающая выборка]],1,0)</f>
        <v>1</v>
      </c>
      <c r="CE56" s="35">
        <v>0.48310197852840953</v>
      </c>
      <c r="CF56" s="35">
        <v>-0.42087823173699468</v>
      </c>
      <c r="CG56" s="35">
        <v>0.22493387493556399</v>
      </c>
      <c r="CH56" s="35">
        <v>4</v>
      </c>
      <c r="CI56" s="35">
        <v>2</v>
      </c>
      <c r="CJ56" s="36">
        <v>3</v>
      </c>
      <c r="CK56" s="35">
        <v>1</v>
      </c>
      <c r="CL56" s="36">
        <v>0.48310197842183839</v>
      </c>
      <c r="CM56" s="36">
        <v>-0.4208782317891635</v>
      </c>
      <c r="CN56" s="36">
        <v>-0.224933874963233</v>
      </c>
    </row>
    <row r="57" spans="1:92" x14ac:dyDescent="0.25">
      <c r="A57" s="3" t="s">
        <v>70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SUMXMY2(Таблица23[[#This Row],[X1]:[X9]],Таблица23[[#Totals],[X1]:[X9]])</f>
        <v>3.4928973101332255</v>
      </c>
      <c r="P57" s="20"/>
      <c r="Q57" s="20" t="s">
        <v>186</v>
      </c>
      <c r="R57" s="20">
        <f>IF(VALUE(RIGHT(Таблица23[[#This Row],[функция]],1))=Таблица23[[#This Row],[обучающая выборка]],1,0)</f>
        <v>0</v>
      </c>
      <c r="S57" s="20">
        <f>IF(Таблица23[[#This Row],[обучающая выборка]]=Таблица23[[#This Row],[Result Lda]],1,0)</f>
        <v>0</v>
      </c>
      <c r="T57" s="20">
        <v>1</v>
      </c>
      <c r="U57" s="20" t="s">
        <v>187</v>
      </c>
      <c r="V57" s="20">
        <v>35.764000000000003</v>
      </c>
      <c r="W57" s="20">
        <v>1930.7529999999999</v>
      </c>
      <c r="X57" s="20">
        <v>52.786999999999999</v>
      </c>
      <c r="Y57" s="20">
        <v>42.396999999999998</v>
      </c>
      <c r="Z57" s="20">
        <v>54.851999999999997</v>
      </c>
      <c r="AA57" s="20">
        <f>MIN(Таблица23[[#This Row],[Махал1]:[Махал5]])</f>
        <v>35.764000000000003</v>
      </c>
      <c r="AB5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7" s="20">
        <f>IF(Таблица23[[#This Row],[Махаланобис классификация]]=Таблица23[[#This Row],[обучающая выборка]],1,0)</f>
        <v>0</v>
      </c>
      <c r="AD57" s="21" t="s">
        <v>187</v>
      </c>
      <c r="AE57" s="22">
        <v>0.98362774057980695</v>
      </c>
      <c r="AF57" s="22">
        <v>0</v>
      </c>
      <c r="AG57" s="22">
        <v>1.0796848488311801E-4</v>
      </c>
      <c r="AH57" s="22">
        <v>1.6225844693250113E-2</v>
      </c>
      <c r="AI57" s="22">
        <v>3.8446242059813434E-5</v>
      </c>
      <c r="AJ57">
        <f>MAX(Таблица23[[#This Row],[априор1]:[априор5]])</f>
        <v>0.98362774057980695</v>
      </c>
      <c r="AK5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7">
        <f>IF(Таблица23[[#This Row],[обучающая выборка]]=Таблица23[[#This Row],[Априор Классификация]],1,0)</f>
        <v>0</v>
      </c>
      <c r="AM57" t="s">
        <v>186</v>
      </c>
      <c r="AN57">
        <f>IF(VALUE(RIGHT(Таблица23[[#This Row],[фнкция ДА ВКЛ]],1))=Таблица23[[#This Row],[обучающая выборка]],1,0)</f>
        <v>0</v>
      </c>
      <c r="AO57">
        <f>IF(Таблица23[[#This Row],[обучающая выборка]]=Таблица23[[#This Row],[Result forward]],1,0)</f>
        <v>0</v>
      </c>
      <c r="AP57">
        <v>1</v>
      </c>
      <c r="AQ57" t="s">
        <v>187</v>
      </c>
      <c r="AR57">
        <v>4.8289999999999997</v>
      </c>
      <c r="AS57">
        <v>1328.3789999999999</v>
      </c>
      <c r="AT57">
        <v>23.984999999999999</v>
      </c>
      <c r="AU57">
        <v>16.103000000000002</v>
      </c>
      <c r="AV57">
        <v>7.7560000000000002</v>
      </c>
      <c r="AW57">
        <f>MIN(Таблица23[[#This Row],[Махал1ВКЛ]:[Махал5ВКл]])</f>
        <v>4.8289999999999997</v>
      </c>
      <c r="AX5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7">
        <f>IF(Таблица23[[#This Row],[обучающая выборка]]=Таблица23[[#This Row],[МахаланобисКлассификацияВКЛ]],1,0)</f>
        <v>0</v>
      </c>
      <c r="AZ57" t="s">
        <v>187</v>
      </c>
      <c r="BA57">
        <v>0.88662600000000003</v>
      </c>
      <c r="BB57">
        <v>0</v>
      </c>
      <c r="BC57">
        <v>3.3000000000000003E-5</v>
      </c>
      <c r="BD57">
        <v>1.436E-3</v>
      </c>
      <c r="BE57">
        <v>0.111904</v>
      </c>
      <c r="BF57">
        <f>MAX(Таблица23[[#This Row],[АприорВКл1]:[АприорВКл5]])</f>
        <v>0.88662600000000003</v>
      </c>
      <c r="BG5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7">
        <f>IF(Таблица23[[#This Row],[АприорВклКлассификация]]=Таблица23[[#This Row],[обучающая выборка]],1,0)</f>
        <v>0</v>
      </c>
      <c r="BI57" s="21" t="s">
        <v>186</v>
      </c>
      <c r="BJ57" s="21">
        <f>IF(VALUE(RIGHT(Таблица23[[#This Row],[Фунция ДА ИСК]]))=Таблица23[[#This Row],[обучающая выборка]],1,0)</f>
        <v>0</v>
      </c>
      <c r="BK57" s="21">
        <f>IF(Таблица23[[#This Row],[обучающая выборка]]=Таблица23[[#This Row],[Result backward]],1,0)</f>
        <v>0</v>
      </c>
      <c r="BL57" s="21">
        <v>1</v>
      </c>
      <c r="BM57" t="s">
        <v>187</v>
      </c>
      <c r="BN57">
        <v>4.8289999999999997</v>
      </c>
      <c r="BO57">
        <v>1328.3789999999999</v>
      </c>
      <c r="BP57">
        <v>23.984999999999999</v>
      </c>
      <c r="BQ57">
        <v>16.103000000000002</v>
      </c>
      <c r="BR57">
        <v>7.7560000000000002</v>
      </c>
      <c r="BS57">
        <f>MIN(Таблица23[[#This Row],[Махал1ИСК]:[Махал5ИСК]])</f>
        <v>4.8289999999999997</v>
      </c>
      <c r="BT5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7">
        <f>IF(Таблица23[[#This Row],[МАХАЛ ИСК Классификация]]=Таблица23[[#This Row],[обучающая выборка]],1,0)</f>
        <v>0</v>
      </c>
      <c r="BV57" t="s">
        <v>187</v>
      </c>
      <c r="BW57">
        <v>0.88662600000000003</v>
      </c>
      <c r="BX57">
        <v>0</v>
      </c>
      <c r="BY57">
        <v>3.3000000000000003E-5</v>
      </c>
      <c r="BZ57">
        <v>1.436E-3</v>
      </c>
      <c r="CA57">
        <v>0.111904</v>
      </c>
      <c r="CB57">
        <f>MAX(Таблица23[[#This Row],[АприорИСК1]]:Таблица23[[#This Row],[АприорИСК5]])</f>
        <v>0.88662600000000003</v>
      </c>
      <c r="CC5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7">
        <f>IF(Таблица23[[#This Row],[АприорИСК классификация]]=Таблица23[[#This Row],[обучающая выборка]],1,0)</f>
        <v>0</v>
      </c>
      <c r="CE57" s="35">
        <v>-0.17354851181825315</v>
      </c>
      <c r="CF57" s="35">
        <v>0.66264664325513678</v>
      </c>
      <c r="CG57" s="35">
        <v>-0.87358977919099046</v>
      </c>
      <c r="CH57" s="35">
        <v>2</v>
      </c>
      <c r="CI57" s="35">
        <v>5</v>
      </c>
      <c r="CJ57" s="36">
        <v>4</v>
      </c>
      <c r="CK57" s="35">
        <v>2</v>
      </c>
      <c r="CL57" s="36">
        <v>-0.1735485119229751</v>
      </c>
      <c r="CM57" s="36">
        <v>0.66264664303684062</v>
      </c>
      <c r="CN57" s="36">
        <v>0.87358977906768476</v>
      </c>
    </row>
    <row r="58" spans="1:92" x14ac:dyDescent="0.25">
      <c r="A58" s="3" t="s">
        <v>71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SUMXMY2(Таблица23[[#This Row],[X1]:[X9]],Таблица23[[#Totals],[X1]:[X9]])</f>
        <v>7.9213657540405125</v>
      </c>
      <c r="P58" s="20"/>
      <c r="Q58" s="20" t="s">
        <v>186</v>
      </c>
      <c r="R58" s="20">
        <f>IF(VALUE(RIGHT(Таблица23[[#This Row],[функция]],1))=Таблица23[[#This Row],[обучающая выборка]],1,0)</f>
        <v>0</v>
      </c>
      <c r="S58" s="20">
        <f>IF(Таблица23[[#This Row],[обучающая выборка]]=Таблица23[[#This Row],[Result Lda]],1,0)</f>
        <v>0</v>
      </c>
      <c r="T58" s="20">
        <v>1</v>
      </c>
      <c r="U58" s="20" t="s">
        <v>187</v>
      </c>
      <c r="V58" s="20">
        <v>23.509</v>
      </c>
      <c r="W58" s="20">
        <v>2069.6590000000001</v>
      </c>
      <c r="X58" s="20">
        <v>54.716000000000001</v>
      </c>
      <c r="Y58" s="20">
        <v>23.425000000000001</v>
      </c>
      <c r="Z58" s="20">
        <v>65.277000000000001</v>
      </c>
      <c r="AA58" s="20">
        <f>MIN(Таблица23[[#This Row],[Махал1]:[Махал5]])</f>
        <v>23.425000000000001</v>
      </c>
      <c r="AB5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58" s="20">
        <f>IF(Таблица23[[#This Row],[Махаланобис классификация]]=Таблица23[[#This Row],[обучающая выборка]],1,0)</f>
        <v>0</v>
      </c>
      <c r="AD58" s="21" t="s">
        <v>187</v>
      </c>
      <c r="AE58" s="22">
        <v>0.67836314618086047</v>
      </c>
      <c r="AF58" s="22">
        <v>0</v>
      </c>
      <c r="AG58" s="22">
        <v>6.1913399179770353E-8</v>
      </c>
      <c r="AH58" s="22">
        <v>0.32163679159075048</v>
      </c>
      <c r="AI58" s="22">
        <v>3.1498980107164997E-10</v>
      </c>
      <c r="AJ58">
        <f>MAX(Таблица23[[#This Row],[априор1]:[априор5]])</f>
        <v>0.67836314618086047</v>
      </c>
      <c r="AK5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8">
        <f>IF(Таблица23[[#This Row],[обучающая выборка]]=Таблица23[[#This Row],[Априор Классификация]],1,0)</f>
        <v>0</v>
      </c>
      <c r="AM58" t="s">
        <v>190</v>
      </c>
      <c r="AN58">
        <f>IF(VALUE(RIGHT(Таблица23[[#This Row],[фнкция ДА ВКЛ]],1))=Таблица23[[#This Row],[обучающая выборка]],1,0)</f>
        <v>0</v>
      </c>
      <c r="AO58">
        <f>IF(Таблица23[[#This Row],[обучающая выборка]]=Таблица23[[#This Row],[Result forward]],1,0)</f>
        <v>0</v>
      </c>
      <c r="AP58">
        <v>4</v>
      </c>
      <c r="AQ58" t="s">
        <v>187</v>
      </c>
      <c r="AR58">
        <v>16.741</v>
      </c>
      <c r="AS58">
        <v>1422.0519999999999</v>
      </c>
      <c r="AT58">
        <v>41.843000000000004</v>
      </c>
      <c r="AU58">
        <v>4.0259999999999998</v>
      </c>
      <c r="AV58">
        <v>59.444000000000003</v>
      </c>
      <c r="AW58">
        <f>MIN(Таблица23[[#This Row],[Махал1ВКЛ]:[Махал5ВКл]])</f>
        <v>4.0259999999999998</v>
      </c>
      <c r="AX5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58">
        <f>IF(Таблица23[[#This Row],[обучающая выборка]]=Таблица23[[#This Row],[МахаланобисКлассификацияВКЛ]],1,0)</f>
        <v>0</v>
      </c>
      <c r="AZ58" t="s">
        <v>187</v>
      </c>
      <c r="BA58">
        <v>3.8E-3</v>
      </c>
      <c r="BB58">
        <v>0</v>
      </c>
      <c r="BC58">
        <v>0</v>
      </c>
      <c r="BD58">
        <v>0.99619999999999997</v>
      </c>
      <c r="BE58">
        <v>0</v>
      </c>
      <c r="BF58">
        <f>MAX(Таблица23[[#This Row],[АприорВКл1]:[АприорВКл5]])</f>
        <v>0.99619999999999997</v>
      </c>
      <c r="BG5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58">
        <f>IF(Таблица23[[#This Row],[АприорВклКлассификация]]=Таблица23[[#This Row],[обучающая выборка]],1,0)</f>
        <v>0</v>
      </c>
      <c r="BI58" s="21" t="s">
        <v>190</v>
      </c>
      <c r="BJ58" s="21">
        <f>IF(VALUE(RIGHT(Таблица23[[#This Row],[Фунция ДА ИСК]]))=Таблица23[[#This Row],[обучающая выборка]],1,0)</f>
        <v>0</v>
      </c>
      <c r="BK58" s="21">
        <f>IF(Таблица23[[#This Row],[обучающая выборка]]=Таблица23[[#This Row],[Result backward]],1,0)</f>
        <v>0</v>
      </c>
      <c r="BL58" s="21">
        <v>4</v>
      </c>
      <c r="BM58" t="s">
        <v>187</v>
      </c>
      <c r="BN58">
        <v>16.741</v>
      </c>
      <c r="BO58">
        <v>1422.0519999999999</v>
      </c>
      <c r="BP58">
        <v>41.843000000000004</v>
      </c>
      <c r="BQ58">
        <v>4.0259999999999998</v>
      </c>
      <c r="BR58">
        <v>59.444000000000003</v>
      </c>
      <c r="BS58">
        <f>MIN(Таблица23[[#This Row],[Махал1ИСК]:[Махал5ИСК]])</f>
        <v>4.0259999999999998</v>
      </c>
      <c r="BT5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58">
        <f>IF(Таблица23[[#This Row],[МАХАЛ ИСК Классификация]]=Таблица23[[#This Row],[обучающая выборка]],1,0)</f>
        <v>0</v>
      </c>
      <c r="BV58" t="s">
        <v>187</v>
      </c>
      <c r="BW58">
        <v>3.8E-3</v>
      </c>
      <c r="BX58">
        <v>0</v>
      </c>
      <c r="BY58">
        <v>0</v>
      </c>
      <c r="BZ58">
        <v>0.99619999999999997</v>
      </c>
      <c r="CA58">
        <v>0</v>
      </c>
      <c r="CB58">
        <f>MAX(Таблица23[[#This Row],[АприорИСК1]]:Таблица23[[#This Row],[АприорИСК5]])</f>
        <v>0.99619999999999997</v>
      </c>
      <c r="CC5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58">
        <f>IF(Таблица23[[#This Row],[АприорИСК классификация]]=Таблица23[[#This Row],[обучающая выборка]],1,0)</f>
        <v>0</v>
      </c>
      <c r="CE58" s="35">
        <v>1.3483812731330076</v>
      </c>
      <c r="CF58" s="35">
        <v>-0.2701249686981429</v>
      </c>
      <c r="CG58" s="35">
        <v>0.75826996057764706</v>
      </c>
      <c r="CH58" s="35">
        <v>2</v>
      </c>
      <c r="CI58" s="35">
        <v>4</v>
      </c>
      <c r="CJ58" s="36">
        <v>3</v>
      </c>
      <c r="CK58" s="35">
        <v>1</v>
      </c>
      <c r="CL58" s="36">
        <v>1.3483812731713309</v>
      </c>
      <c r="CM58" s="36">
        <v>-0.27012496857370327</v>
      </c>
      <c r="CN58" s="36">
        <v>-0.75826996047467199</v>
      </c>
    </row>
    <row r="59" spans="1:92" x14ac:dyDescent="0.25">
      <c r="A59" s="3" t="s">
        <v>72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SUMXMY2(Таблица23[[#This Row],[X1]:[X9]],Таблица23[[#Totals],[X1]:[X9]])</f>
        <v>3.1381792422386958</v>
      </c>
      <c r="P59" s="20"/>
      <c r="Q59" s="20" t="s">
        <v>186</v>
      </c>
      <c r="R59" s="20">
        <f>IF(VALUE(RIGHT(Таблица23[[#This Row],[функция]],1))=Таблица23[[#This Row],[обучающая выборка]],1,0)</f>
        <v>0</v>
      </c>
      <c r="S59" s="20">
        <f>IF(Таблица23[[#This Row],[обучающая выборка]]=Таблица23[[#This Row],[Result Lda]],1,0)</f>
        <v>0</v>
      </c>
      <c r="T59" s="20">
        <v>4</v>
      </c>
      <c r="U59" s="20" t="s">
        <v>187</v>
      </c>
      <c r="V59" s="20">
        <v>23.899000000000001</v>
      </c>
      <c r="W59" s="20">
        <v>2002.828</v>
      </c>
      <c r="X59" s="20">
        <v>64.024000000000001</v>
      </c>
      <c r="Y59" s="20">
        <v>27.914999999999999</v>
      </c>
      <c r="Z59" s="20">
        <v>48.396000000000001</v>
      </c>
      <c r="AA59" s="20">
        <f>MIN(Таблица23[[#This Row],[Махал1]:[Махал5]])</f>
        <v>23.899000000000001</v>
      </c>
      <c r="AB5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9" s="20">
        <f>IF(Таблица23[[#This Row],[Махаланобис классификация]]=Таблица23[[#This Row],[обучающая выборка]],1,0)</f>
        <v>0</v>
      </c>
      <c r="AD59" s="21" t="s">
        <v>187</v>
      </c>
      <c r="AE59" s="22">
        <v>0.94249488221780364</v>
      </c>
      <c r="AF59" s="22">
        <v>0</v>
      </c>
      <c r="AG59" s="22">
        <v>9.9540905068468953E-10</v>
      </c>
      <c r="AH59" s="22">
        <v>5.7502653722673165E-2</v>
      </c>
      <c r="AI59" s="22">
        <v>2.4630641142436793E-6</v>
      </c>
      <c r="AJ59">
        <f>MAX(Таблица23[[#This Row],[априор1]:[априор5]])</f>
        <v>0.94249488221780364</v>
      </c>
      <c r="AK5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9">
        <f>IF(Таблица23[[#This Row],[обучающая выборка]]=Таблица23[[#This Row],[Априор Классификация]],1,0)</f>
        <v>0</v>
      </c>
      <c r="AM59" t="s">
        <v>186</v>
      </c>
      <c r="AN59">
        <f>IF(VALUE(RIGHT(Таблица23[[#This Row],[фнкция ДА ВКЛ]],1))=Таблица23[[#This Row],[обучающая выборка]],1,0)</f>
        <v>0</v>
      </c>
      <c r="AO59">
        <f>IF(Таблица23[[#This Row],[обучающая выборка]]=Таблица23[[#This Row],[Result forward]],1,0)</f>
        <v>0</v>
      </c>
      <c r="AP59">
        <v>1</v>
      </c>
      <c r="AQ59" t="s">
        <v>187</v>
      </c>
      <c r="AR59">
        <v>14.446999999999999</v>
      </c>
      <c r="AS59">
        <v>1442.6790000000001</v>
      </c>
      <c r="AT59">
        <v>63.515999999999998</v>
      </c>
      <c r="AU59">
        <v>25.062999999999999</v>
      </c>
      <c r="AV59">
        <v>32.383000000000003</v>
      </c>
      <c r="AW59">
        <f>MIN(Таблица23[[#This Row],[Махал1ВКЛ]:[Махал5ВКл]])</f>
        <v>14.446999999999999</v>
      </c>
      <c r="AX5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9">
        <f>IF(Таблица23[[#This Row],[обучающая выборка]]=Таблица23[[#This Row],[МахаланобисКлассификацияВКЛ]],1,0)</f>
        <v>0</v>
      </c>
      <c r="AZ59" t="s">
        <v>187</v>
      </c>
      <c r="BA59">
        <v>0.99768500000000004</v>
      </c>
      <c r="BB59">
        <v>0</v>
      </c>
      <c r="BC59">
        <v>0</v>
      </c>
      <c r="BD59">
        <v>2.245E-3</v>
      </c>
      <c r="BE59">
        <v>6.8999999999999997E-5</v>
      </c>
      <c r="BF59">
        <f>MAX(Таблица23[[#This Row],[АприорВКл1]:[АприорВКл5]])</f>
        <v>0.99768500000000004</v>
      </c>
      <c r="BG5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9">
        <f>IF(Таблица23[[#This Row],[АприорВклКлассификация]]=Таблица23[[#This Row],[обучающая выборка]],1,0)</f>
        <v>0</v>
      </c>
      <c r="BI59" s="21" t="s">
        <v>186</v>
      </c>
      <c r="BJ59" s="21">
        <f>IF(VALUE(RIGHT(Таблица23[[#This Row],[Фунция ДА ИСК]]))=Таблица23[[#This Row],[обучающая выборка]],1,0)</f>
        <v>0</v>
      </c>
      <c r="BK59" s="21">
        <f>IF(Таблица23[[#This Row],[обучающая выборка]]=Таблица23[[#This Row],[Result backward]],1,0)</f>
        <v>0</v>
      </c>
      <c r="BL59" s="21">
        <v>1</v>
      </c>
      <c r="BM59" t="s">
        <v>187</v>
      </c>
      <c r="BN59">
        <v>14.446999999999999</v>
      </c>
      <c r="BO59">
        <v>1442.6790000000001</v>
      </c>
      <c r="BP59">
        <v>63.515999999999998</v>
      </c>
      <c r="BQ59">
        <v>25.062999999999999</v>
      </c>
      <c r="BR59">
        <v>32.383000000000003</v>
      </c>
      <c r="BS59">
        <f>MIN(Таблица23[[#This Row],[Махал1ИСК]:[Махал5ИСК]])</f>
        <v>14.446999999999999</v>
      </c>
      <c r="BT5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9">
        <f>IF(Таблица23[[#This Row],[МАХАЛ ИСК Классификация]]=Таблица23[[#This Row],[обучающая выборка]],1,0)</f>
        <v>0</v>
      </c>
      <c r="BV59" t="s">
        <v>187</v>
      </c>
      <c r="BW59">
        <v>0.99768500000000004</v>
      </c>
      <c r="BX59">
        <v>0</v>
      </c>
      <c r="BY59">
        <v>0</v>
      </c>
      <c r="BZ59">
        <v>2.245E-3</v>
      </c>
      <c r="CA59">
        <v>6.8999999999999997E-5</v>
      </c>
      <c r="CB59">
        <f>MAX(Таблица23[[#This Row],[АприорИСК1]]:Таблица23[[#This Row],[АприорИСК5]])</f>
        <v>0.99768500000000004</v>
      </c>
      <c r="CC5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9">
        <f>IF(Таблица23[[#This Row],[АприорИСК классификация]]=Таблица23[[#This Row],[обучающая выборка]],1,0)</f>
        <v>0</v>
      </c>
      <c r="CE59" s="35">
        <v>0.484467756484109</v>
      </c>
      <c r="CF59" s="35">
        <v>0.42536730318197968</v>
      </c>
      <c r="CG59" s="35">
        <v>0.65809404502101287</v>
      </c>
      <c r="CH59" s="35">
        <v>1</v>
      </c>
      <c r="CI59" s="35">
        <v>4</v>
      </c>
      <c r="CJ59" s="36">
        <v>3</v>
      </c>
      <c r="CK59" s="35">
        <v>1</v>
      </c>
      <c r="CL59" s="36">
        <v>0.48446775642530132</v>
      </c>
      <c r="CM59" s="36">
        <v>0.42536730309958048</v>
      </c>
      <c r="CN59" s="36">
        <v>-0.65809404482756972</v>
      </c>
    </row>
    <row r="60" spans="1:92" x14ac:dyDescent="0.25">
      <c r="A60" s="3" t="s">
        <v>73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SUMXMY2(Таблица23[[#This Row],[X1]:[X9]],Таблица23[[#Totals],[X1]:[X9]])</f>
        <v>15.940368580875958</v>
      </c>
      <c r="P60" s="20"/>
      <c r="Q60" s="20" t="s">
        <v>188</v>
      </c>
      <c r="R60" s="20">
        <f>IF(VALUE(RIGHT(Таблица23[[#This Row],[функция]],1))=Таблица23[[#This Row],[обучающая выборка]],1,0)</f>
        <v>0</v>
      </c>
      <c r="S60" s="20">
        <f>IF(Таблица23[[#This Row],[обучающая выборка]]=Таблица23[[#This Row],[Result Lda]],1,0)</f>
        <v>0</v>
      </c>
      <c r="T60" s="20">
        <v>3</v>
      </c>
      <c r="U60" s="20" t="s">
        <v>187</v>
      </c>
      <c r="V60" s="20">
        <v>229.72300000000001</v>
      </c>
      <c r="W60" s="20">
        <v>1347.8219999999999</v>
      </c>
      <c r="X60" s="20">
        <v>200.85499999999999</v>
      </c>
      <c r="Y60" s="20">
        <v>244.94499999999999</v>
      </c>
      <c r="Z60" s="20">
        <v>239.32400000000001</v>
      </c>
      <c r="AA60" s="20">
        <f>MIN(Таблица23[[#This Row],[Махал1]:[Махал5]])</f>
        <v>200.85499999999999</v>
      </c>
      <c r="AB6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60" s="20">
        <f>IF(Таблица23[[#This Row],[Махаланобис классификация]]=Таблица23[[#This Row],[обучающая выборка]],1,0)</f>
        <v>0</v>
      </c>
      <c r="AD60" s="21" t="s">
        <v>187</v>
      </c>
      <c r="AE60" s="22">
        <v>9.8801754954477171E-7</v>
      </c>
      <c r="AF60" s="22">
        <v>0</v>
      </c>
      <c r="AG60" s="22">
        <v>0.9999990073273427</v>
      </c>
      <c r="AH60" s="22">
        <v>2.2227698488372882E-10</v>
      </c>
      <c r="AI60" s="22">
        <v>4.4328307755560806E-9</v>
      </c>
      <c r="AJ60">
        <f>MAX(Таблица23[[#This Row],[априор1]:[априор5]])</f>
        <v>0.9999990073273427</v>
      </c>
      <c r="AK6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60">
        <f>IF(Таблица23[[#This Row],[обучающая выборка]]=Таблица23[[#This Row],[Априор Классификация]],1,0)</f>
        <v>0</v>
      </c>
      <c r="AM60" t="s">
        <v>188</v>
      </c>
      <c r="AN60">
        <f>IF(VALUE(RIGHT(Таблица23[[#This Row],[фнкция ДА ВКЛ]],1))=Таблица23[[#This Row],[обучающая выборка]],1,0)</f>
        <v>0</v>
      </c>
      <c r="AO60">
        <f>IF(Таблица23[[#This Row],[обучающая выборка]]=Таблица23[[#This Row],[Result forward]],1,0)</f>
        <v>0</v>
      </c>
      <c r="AP60">
        <v>3</v>
      </c>
      <c r="AQ60" t="s">
        <v>187</v>
      </c>
      <c r="AR60">
        <v>215.60900000000001</v>
      </c>
      <c r="AS60">
        <v>596.71299999999997</v>
      </c>
      <c r="AT60">
        <v>172.36699999999999</v>
      </c>
      <c r="AU60">
        <v>210.172</v>
      </c>
      <c r="AV60">
        <v>219.14699999999999</v>
      </c>
      <c r="AW60">
        <f>MIN(Таблица23[[#This Row],[Махал1ВКЛ]:[Махал5ВКл]])</f>
        <v>172.36699999999999</v>
      </c>
      <c r="AX6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60">
        <f>IF(Таблица23[[#This Row],[обучающая выборка]]=Таблица23[[#This Row],[МахаланобисКлассификацияВКЛ]],1,0)</f>
        <v>0</v>
      </c>
      <c r="AZ60" t="s">
        <v>187</v>
      </c>
      <c r="BA60">
        <v>0</v>
      </c>
      <c r="BB60">
        <v>0</v>
      </c>
      <c r="BC60">
        <v>1</v>
      </c>
      <c r="BD60">
        <v>0</v>
      </c>
      <c r="BE60">
        <v>0</v>
      </c>
      <c r="BF60">
        <f>MAX(Таблица23[[#This Row],[АприорВКл1]:[АприорВКл5]])</f>
        <v>1</v>
      </c>
      <c r="BG6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60">
        <f>IF(Таблица23[[#This Row],[АприорВклКлассификация]]=Таблица23[[#This Row],[обучающая выборка]],1,0)</f>
        <v>0</v>
      </c>
      <c r="BI60" s="21" t="s">
        <v>188</v>
      </c>
      <c r="BJ60" s="21">
        <f>IF(VALUE(RIGHT(Таблица23[[#This Row],[Фунция ДА ИСК]]))=Таблица23[[#This Row],[обучающая выборка]],1,0)</f>
        <v>0</v>
      </c>
      <c r="BK60" s="21">
        <f>IF(Таблица23[[#This Row],[обучающая выборка]]=Таблица23[[#This Row],[Result backward]],1,0)</f>
        <v>0</v>
      </c>
      <c r="BL60" s="21">
        <v>3</v>
      </c>
      <c r="BM60" t="s">
        <v>187</v>
      </c>
      <c r="BN60">
        <v>215.60900000000001</v>
      </c>
      <c r="BO60">
        <v>596.71299999999997</v>
      </c>
      <c r="BP60">
        <v>172.36699999999999</v>
      </c>
      <c r="BQ60">
        <v>210.172</v>
      </c>
      <c r="BR60">
        <v>219.14699999999999</v>
      </c>
      <c r="BS60">
        <f>MIN(Таблица23[[#This Row],[Махал1ИСК]:[Махал5ИСК]])</f>
        <v>172.36699999999999</v>
      </c>
      <c r="BT6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60">
        <f>IF(Таблица23[[#This Row],[МАХАЛ ИСК Классификация]]=Таблица23[[#This Row],[обучающая выборка]],1,0)</f>
        <v>0</v>
      </c>
      <c r="BV60" t="s">
        <v>187</v>
      </c>
      <c r="BW60">
        <v>0</v>
      </c>
      <c r="BX60">
        <v>0</v>
      </c>
      <c r="BY60">
        <v>1</v>
      </c>
      <c r="BZ60">
        <v>0</v>
      </c>
      <c r="CA60">
        <v>0</v>
      </c>
      <c r="CB60">
        <f>MAX(Таблица23[[#This Row],[АприорИСК1]]:Таблица23[[#This Row],[АприорИСК5]])</f>
        <v>1</v>
      </c>
      <c r="CC6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60">
        <f>IF(Таблица23[[#This Row],[АприорИСК классификация]]=Таблица23[[#This Row],[обучающая выборка]],1,0)</f>
        <v>0</v>
      </c>
      <c r="CE60" s="35">
        <v>-1.0004446836060266</v>
      </c>
      <c r="CF60" s="35">
        <v>-0.95097027796243738</v>
      </c>
      <c r="CG60" s="35">
        <v>-0.20443263136984879</v>
      </c>
      <c r="CH60" s="35">
        <v>2</v>
      </c>
      <c r="CI60" s="35">
        <v>3</v>
      </c>
      <c r="CJ60" s="36">
        <v>1</v>
      </c>
      <c r="CK60" s="35">
        <v>3</v>
      </c>
      <c r="CL60" s="36">
        <v>-1.0004446837794589</v>
      </c>
      <c r="CM60" s="36">
        <v>-0.95097027793418609</v>
      </c>
      <c r="CN60" s="36">
        <v>0.20443263146690169</v>
      </c>
    </row>
    <row r="61" spans="1:92" x14ac:dyDescent="0.25">
      <c r="A61" s="3" t="s">
        <v>74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SUMXMY2(Таблица23[[#This Row],[X1]:[X9]],Таблица23[[#Totals],[X1]:[X9]])</f>
        <v>3.0179610606263636</v>
      </c>
      <c r="P61" s="20"/>
      <c r="Q61" s="20" t="s">
        <v>188</v>
      </c>
      <c r="R61" s="20">
        <f>IF(VALUE(RIGHT(Таблица23[[#This Row],[функция]],1))=Таблица23[[#This Row],[обучающая выборка]],1,0)</f>
        <v>0</v>
      </c>
      <c r="S61" s="20">
        <f>IF(Таблица23[[#This Row],[обучающая выборка]]=Таблица23[[#This Row],[Result Lda]],1,0)</f>
        <v>0</v>
      </c>
      <c r="T61" s="20">
        <v>3</v>
      </c>
      <c r="U61" s="20" t="s">
        <v>187</v>
      </c>
      <c r="V61" s="20">
        <v>21.954999999999998</v>
      </c>
      <c r="W61" s="20">
        <v>2050.9940000000001</v>
      </c>
      <c r="X61" s="20">
        <v>13.696999999999999</v>
      </c>
      <c r="Y61" s="20">
        <v>35.009</v>
      </c>
      <c r="Z61" s="20">
        <v>41.512999999999998</v>
      </c>
      <c r="AA61" s="20">
        <f>MIN(Таблица23[[#This Row],[Махал1]:[Махал5]])</f>
        <v>13.696999999999999</v>
      </c>
      <c r="AB6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61" s="20">
        <f>IF(Таблица23[[#This Row],[Махаланобис классификация]]=Таблица23[[#This Row],[обучающая выборка]],1,0)</f>
        <v>0</v>
      </c>
      <c r="AD61" s="21" t="s">
        <v>187</v>
      </c>
      <c r="AE61" s="22">
        <v>2.8669664153027765E-2</v>
      </c>
      <c r="AF61" s="22">
        <v>0</v>
      </c>
      <c r="AG61" s="22">
        <v>0.97131038452096385</v>
      </c>
      <c r="AH61" s="22">
        <v>1.9065881900092349E-5</v>
      </c>
      <c r="AI61" s="22">
        <v>8.8544410826536922E-7</v>
      </c>
      <c r="AJ61">
        <f>MAX(Таблица23[[#This Row],[априор1]:[априор5]])</f>
        <v>0.97131038452096385</v>
      </c>
      <c r="AK6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61">
        <f>IF(Таблица23[[#This Row],[обучающая выборка]]=Таблица23[[#This Row],[Априор Классификация]],1,0)</f>
        <v>0</v>
      </c>
      <c r="AM61" t="s">
        <v>188</v>
      </c>
      <c r="AN61">
        <f>IF(VALUE(RIGHT(Таблица23[[#This Row],[фнкция ДА ВКЛ]],1))=Таблица23[[#This Row],[обучающая выборка]],1,0)</f>
        <v>0</v>
      </c>
      <c r="AO61">
        <f>IF(Таблица23[[#This Row],[обучающая выборка]]=Таблица23[[#This Row],[Result forward]],1,0)</f>
        <v>0</v>
      </c>
      <c r="AP61">
        <v>3</v>
      </c>
      <c r="AQ61" t="s">
        <v>187</v>
      </c>
      <c r="AR61">
        <v>16.684000000000001</v>
      </c>
      <c r="AS61">
        <v>1354.5409999999999</v>
      </c>
      <c r="AT61">
        <v>7.0949999999999998</v>
      </c>
      <c r="AU61">
        <v>26.641999999999999</v>
      </c>
      <c r="AV61">
        <v>18.776</v>
      </c>
      <c r="AW61">
        <f>MIN(Таблица23[[#This Row],[Махал1ВКЛ]:[Махал5ВКл]])</f>
        <v>7.0949999999999998</v>
      </c>
      <c r="AX6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61">
        <f>IF(Таблица23[[#This Row],[обучающая выборка]]=Таблица23[[#This Row],[МахаланобисКлассификацияВКЛ]],1,0)</f>
        <v>0</v>
      </c>
      <c r="AZ61" t="s">
        <v>187</v>
      </c>
      <c r="BA61">
        <v>1.4902E-2</v>
      </c>
      <c r="BB61">
        <v>0</v>
      </c>
      <c r="BC61">
        <v>0.98219599999999996</v>
      </c>
      <c r="BD61">
        <v>4.6999999999999997E-5</v>
      </c>
      <c r="BE61">
        <v>2.856E-3</v>
      </c>
      <c r="BF61">
        <f>MAX(Таблица23[[#This Row],[АприорВКл1]:[АприорВКл5]])</f>
        <v>0.98219599999999996</v>
      </c>
      <c r="BG6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61">
        <f>IF(Таблица23[[#This Row],[АприорВклКлассификация]]=Таблица23[[#This Row],[обучающая выборка]],1,0)</f>
        <v>0</v>
      </c>
      <c r="BI61" s="21" t="s">
        <v>188</v>
      </c>
      <c r="BJ61" s="21">
        <f>IF(VALUE(RIGHT(Таблица23[[#This Row],[Фунция ДА ИСК]]))=Таблица23[[#This Row],[обучающая выборка]],1,0)</f>
        <v>0</v>
      </c>
      <c r="BK61" s="21">
        <f>IF(Таблица23[[#This Row],[обучающая выборка]]=Таблица23[[#This Row],[Result backward]],1,0)</f>
        <v>0</v>
      </c>
      <c r="BL61" s="21">
        <v>3</v>
      </c>
      <c r="BM61" t="s">
        <v>187</v>
      </c>
      <c r="BN61">
        <v>16.684000000000001</v>
      </c>
      <c r="BO61">
        <v>1354.5409999999999</v>
      </c>
      <c r="BP61">
        <v>7.0949999999999998</v>
      </c>
      <c r="BQ61">
        <v>26.641999999999999</v>
      </c>
      <c r="BR61">
        <v>18.776</v>
      </c>
      <c r="BS61">
        <f>MIN(Таблица23[[#This Row],[Махал1ИСК]:[Махал5ИСК]])</f>
        <v>7.0949999999999998</v>
      </c>
      <c r="BT6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61">
        <f>IF(Таблица23[[#This Row],[МАХАЛ ИСК Классификация]]=Таблица23[[#This Row],[обучающая выборка]],1,0)</f>
        <v>0</v>
      </c>
      <c r="BV61" t="s">
        <v>187</v>
      </c>
      <c r="BW61">
        <v>1.4902E-2</v>
      </c>
      <c r="BX61">
        <v>0</v>
      </c>
      <c r="BY61">
        <v>0.98219599999999996</v>
      </c>
      <c r="BZ61">
        <v>4.6999999999999997E-5</v>
      </c>
      <c r="CA61">
        <v>2.856E-3</v>
      </c>
      <c r="CB61">
        <f>MAX(Таблица23[[#This Row],[АприорИСК1]]:Таблица23[[#This Row],[АприорИСК5]])</f>
        <v>0.98219599999999996</v>
      </c>
      <c r="CC6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61">
        <f>IF(Таблица23[[#This Row],[АприорИСК классификация]]=Таблица23[[#This Row],[обучающая выборка]],1,0)</f>
        <v>0</v>
      </c>
      <c r="CE61" s="35">
        <v>-5.2605709804272177E-2</v>
      </c>
      <c r="CF61" s="35">
        <v>-0.37935552940187595</v>
      </c>
      <c r="CG61" s="35">
        <v>-0.2978935483865871</v>
      </c>
      <c r="CH61" s="35">
        <v>2</v>
      </c>
      <c r="CI61" s="35">
        <v>3</v>
      </c>
      <c r="CJ61" s="36">
        <v>1</v>
      </c>
      <c r="CK61" s="35">
        <v>3</v>
      </c>
      <c r="CL61" s="36">
        <v>-5.2605709921261019E-2</v>
      </c>
      <c r="CM61" s="36">
        <v>-0.37935552949604168</v>
      </c>
      <c r="CN61" s="36">
        <v>0.29789354849560312</v>
      </c>
    </row>
    <row r="62" spans="1:92" x14ac:dyDescent="0.25">
      <c r="A62" s="3" t="s">
        <v>75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SUMXMY2(Таблица23[[#This Row],[X1]:[X9]],Таблица23[[#Totals],[X1]:[X9]])</f>
        <v>4.8618885506375511</v>
      </c>
      <c r="P62" s="20">
        <v>4</v>
      </c>
      <c r="Q62" s="20" t="s">
        <v>190</v>
      </c>
      <c r="R62" s="20">
        <f>IF(VALUE(RIGHT(Таблица23[[#This Row],[функция]],1))=Таблица23[[#This Row],[обучающая выборка]],1,0)</f>
        <v>1</v>
      </c>
      <c r="S62" s="20">
        <f>IF(Таблица23[[#This Row],[обучающая выборка]]=Таблица23[[#This Row],[Result Lda]],1,0)</f>
        <v>1</v>
      </c>
      <c r="T62" s="20">
        <v>4</v>
      </c>
      <c r="U62" s="20" t="s">
        <v>190</v>
      </c>
      <c r="V62" s="20">
        <v>18.597000000000001</v>
      </c>
      <c r="W62" s="20">
        <v>2017.48</v>
      </c>
      <c r="X62" s="20">
        <v>36.799999999999997</v>
      </c>
      <c r="Y62" s="20">
        <v>7.8479999999999999</v>
      </c>
      <c r="Z62" s="20">
        <v>71.289000000000001</v>
      </c>
      <c r="AA62" s="20">
        <f>MIN(Таблица23[[#This Row],[Махал1]:[Махал5]])</f>
        <v>7.8479999999999999</v>
      </c>
      <c r="AB6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62" s="20">
        <f>IF(Таблица23[[#This Row],[Махаланобис классификация]]=Таблица23[[#This Row],[обучающая выборка]],1,0)</f>
        <v>1</v>
      </c>
      <c r="AD62" s="21" t="s">
        <v>190</v>
      </c>
      <c r="AE62" s="22">
        <v>1.0089038921482803E-2</v>
      </c>
      <c r="AF62" s="22">
        <v>0</v>
      </c>
      <c r="AG62" s="22">
        <v>6.1367916463119949E-7</v>
      </c>
      <c r="AH62" s="22">
        <v>0.98991034739933259</v>
      </c>
      <c r="AI62" s="22">
        <v>1.9894093311940248E-14</v>
      </c>
      <c r="AJ62">
        <f>MAX(Таблица23[[#This Row],[априор1]:[априор5]])</f>
        <v>0.98991034739933259</v>
      </c>
      <c r="AK6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62">
        <f>IF(Таблица23[[#This Row],[обучающая выборка]]=Таблица23[[#This Row],[Априор Классификация]],1,0)</f>
        <v>1</v>
      </c>
      <c r="AM62" t="s">
        <v>186</v>
      </c>
      <c r="AN62">
        <f>IF(VALUE(RIGHT(Таблица23[[#This Row],[фнкция ДА ВКЛ]],1))=Таблица23[[#This Row],[обучающая выборка]],1,0)</f>
        <v>0</v>
      </c>
      <c r="AO62">
        <f>IF(Таблица23[[#This Row],[обучающая выборка]]=Таблица23[[#This Row],[Result forward]],1,0)</f>
        <v>0</v>
      </c>
      <c r="AP62">
        <v>1</v>
      </c>
      <c r="AQ62" t="s">
        <v>190</v>
      </c>
      <c r="AR62">
        <v>5.3179999999999996</v>
      </c>
      <c r="AS62">
        <v>1438.2529999999999</v>
      </c>
      <c r="AT62">
        <v>27.257999999999999</v>
      </c>
      <c r="AU62">
        <v>5.5869999999999997</v>
      </c>
      <c r="AV62">
        <v>36.493000000000002</v>
      </c>
      <c r="AW62">
        <f>MIN(Таблица23[[#This Row],[Махал1ВКЛ]:[Махал5ВКл]])</f>
        <v>5.3179999999999996</v>
      </c>
      <c r="AX6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2">
        <f>IF(Таблица23[[#This Row],[обучающая выборка]]=Таблица23[[#This Row],[МахаланобисКлассификацияВКЛ]],1,0)</f>
        <v>0</v>
      </c>
      <c r="AZ62" t="s">
        <v>190</v>
      </c>
      <c r="BA62">
        <v>0.71567599999999998</v>
      </c>
      <c r="BB62">
        <v>0</v>
      </c>
      <c r="BC62">
        <v>6.9999999999999999E-6</v>
      </c>
      <c r="BD62">
        <v>0.28431699999999999</v>
      </c>
      <c r="BE62">
        <v>0</v>
      </c>
      <c r="BF62">
        <f>MAX(Таблица23[[#This Row],[АприорВКл1]:[АприорВКл5]])</f>
        <v>0.71567599999999998</v>
      </c>
      <c r="BG6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2">
        <f>IF(Таблица23[[#This Row],[АприорВклКлассификация]]=Таблица23[[#This Row],[обучающая выборка]],1,0)</f>
        <v>0</v>
      </c>
      <c r="BI62" s="21" t="s">
        <v>186</v>
      </c>
      <c r="BJ62" s="21">
        <f>IF(VALUE(RIGHT(Таблица23[[#This Row],[Фунция ДА ИСК]]))=Таблица23[[#This Row],[обучающая выборка]],1,0)</f>
        <v>0</v>
      </c>
      <c r="BK62" s="21">
        <f>IF(Таблица23[[#This Row],[обучающая выборка]]=Таблица23[[#This Row],[Result backward]],1,0)</f>
        <v>0</v>
      </c>
      <c r="BL62" s="21">
        <v>1</v>
      </c>
      <c r="BM62" t="s">
        <v>190</v>
      </c>
      <c r="BN62">
        <v>5.3179999999999996</v>
      </c>
      <c r="BO62">
        <v>1438.2529999999999</v>
      </c>
      <c r="BP62">
        <v>27.257999999999999</v>
      </c>
      <c r="BQ62">
        <v>5.5869999999999997</v>
      </c>
      <c r="BR62">
        <v>36.493000000000002</v>
      </c>
      <c r="BS62">
        <f>MIN(Таблица23[[#This Row],[Махал1ИСК]:[Махал5ИСК]])</f>
        <v>5.3179999999999996</v>
      </c>
      <c r="BT6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2">
        <f>IF(Таблица23[[#This Row],[МАХАЛ ИСК Классификация]]=Таблица23[[#This Row],[обучающая выборка]],1,0)</f>
        <v>0</v>
      </c>
      <c r="BV62" t="s">
        <v>190</v>
      </c>
      <c r="BW62">
        <v>0.71567599999999998</v>
      </c>
      <c r="BX62">
        <v>0</v>
      </c>
      <c r="BY62">
        <v>6.9999999999999999E-6</v>
      </c>
      <c r="BZ62">
        <v>0.28431699999999999</v>
      </c>
      <c r="CA62">
        <v>0</v>
      </c>
      <c r="CB62">
        <f>MAX(Таблица23[[#This Row],[АприорИСК1]]:Таблица23[[#This Row],[АприорИСК5]])</f>
        <v>0.71567599999999998</v>
      </c>
      <c r="CC6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2">
        <f>IF(Таблица23[[#This Row],[АприорИСК классификация]]=Таблица23[[#This Row],[обучающая выборка]],1,0)</f>
        <v>0</v>
      </c>
      <c r="CE62" s="35">
        <v>0.986172032352854</v>
      </c>
      <c r="CF62" s="35">
        <v>0.4507622932255928</v>
      </c>
      <c r="CG62" s="35">
        <v>0.37325843326704333</v>
      </c>
      <c r="CH62" s="35">
        <v>2</v>
      </c>
      <c r="CI62" s="35">
        <v>4</v>
      </c>
      <c r="CJ62" s="36">
        <v>3</v>
      </c>
      <c r="CK62" s="35">
        <v>1</v>
      </c>
      <c r="CL62" s="36">
        <v>0.98617203227904815</v>
      </c>
      <c r="CM62" s="36">
        <v>0.45076229300913262</v>
      </c>
      <c r="CN62" s="36">
        <v>-0.37325843331383929</v>
      </c>
    </row>
    <row r="63" spans="1:92" x14ac:dyDescent="0.25">
      <c r="A63" s="3" t="s">
        <v>76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SUMXMY2(Таблица23[[#This Row],[X1]:[X9]],Таблица23[[#Totals],[X1]:[X9]])</f>
        <v>2.0798846808109785</v>
      </c>
      <c r="P63" s="20"/>
      <c r="Q63" s="20" t="s">
        <v>189</v>
      </c>
      <c r="R63" s="20">
        <f>IF(VALUE(RIGHT(Таблица23[[#This Row],[функция]],1))=Таблица23[[#This Row],[обучающая выборка]],1,0)</f>
        <v>0</v>
      </c>
      <c r="S63" s="20">
        <f>IF(Таблица23[[#This Row],[обучающая выборка]]=Таблица23[[#This Row],[Result Lda]],1,0)</f>
        <v>0</v>
      </c>
      <c r="T63" s="20">
        <v>1</v>
      </c>
      <c r="U63" s="20" t="s">
        <v>187</v>
      </c>
      <c r="V63" s="20">
        <v>16.513000000000002</v>
      </c>
      <c r="W63" s="20">
        <v>2002.913</v>
      </c>
      <c r="X63" s="20">
        <v>30.067</v>
      </c>
      <c r="Y63" s="20">
        <v>43.515999999999998</v>
      </c>
      <c r="Z63" s="20">
        <v>14.872</v>
      </c>
      <c r="AA63" s="20">
        <f>MIN(Таблица23[[#This Row],[Махал1]:[Махал5]])</f>
        <v>14.872</v>
      </c>
      <c r="AB6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63" s="20">
        <f>IF(Таблица23[[#This Row],[Махаланобис классификация]]=Таблица23[[#This Row],[обучающая выборка]],1,0)</f>
        <v>0</v>
      </c>
      <c r="AD63" s="21" t="s">
        <v>187</v>
      </c>
      <c r="AE63" s="22">
        <v>0.44646398696896378</v>
      </c>
      <c r="AF63" s="22">
        <v>0</v>
      </c>
      <c r="AG63" s="22">
        <v>2.7758041401049443E-4</v>
      </c>
      <c r="AH63" s="22">
        <v>2.7773321175155517E-7</v>
      </c>
      <c r="AI63" s="22">
        <v>0.55325815488381402</v>
      </c>
      <c r="AJ63">
        <f>MAX(Таблица23[[#This Row],[априор1]:[априор5]])</f>
        <v>0.55325815488381402</v>
      </c>
      <c r="AK6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63">
        <f>IF(Таблица23[[#This Row],[обучающая выборка]]=Таблица23[[#This Row],[Априор Классификация]],1,0)</f>
        <v>0</v>
      </c>
      <c r="AM63" t="s">
        <v>186</v>
      </c>
      <c r="AN63">
        <f>IF(VALUE(RIGHT(Таблица23[[#This Row],[фнкция ДА ВКЛ]],1))=Таблица23[[#This Row],[обучающая выборка]],1,0)</f>
        <v>0</v>
      </c>
      <c r="AO63">
        <f>IF(Таблица23[[#This Row],[обучающая выборка]]=Таблица23[[#This Row],[Result forward]],1,0)</f>
        <v>0</v>
      </c>
      <c r="AP63">
        <v>1</v>
      </c>
      <c r="AQ63" t="s">
        <v>187</v>
      </c>
      <c r="AR63">
        <v>1.4710000000000001</v>
      </c>
      <c r="AS63">
        <v>1394.508</v>
      </c>
      <c r="AT63">
        <v>11.558</v>
      </c>
      <c r="AU63">
        <v>14.233000000000001</v>
      </c>
      <c r="AV63">
        <v>13.411</v>
      </c>
      <c r="AW63">
        <f>MIN(Таблица23[[#This Row],[Махал1ВКЛ]:[Махал5ВКл]])</f>
        <v>1.4710000000000001</v>
      </c>
      <c r="AX6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3">
        <f>IF(Таблица23[[#This Row],[обучающая выборка]]=Таблица23[[#This Row],[МахаланобисКлассификацияВКЛ]],1,0)</f>
        <v>0</v>
      </c>
      <c r="AZ63" t="s">
        <v>187</v>
      </c>
      <c r="BA63">
        <v>0.99434900000000004</v>
      </c>
      <c r="BB63">
        <v>0</v>
      </c>
      <c r="BC63">
        <v>3.5000000000000001E-3</v>
      </c>
      <c r="BD63">
        <v>7.6499999999999995E-4</v>
      </c>
      <c r="BE63">
        <v>1.3849999999999999E-3</v>
      </c>
      <c r="BF63">
        <f>MAX(Таблица23[[#This Row],[АприорВКл1]:[АприорВКл5]])</f>
        <v>0.99434900000000004</v>
      </c>
      <c r="BG6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3">
        <f>IF(Таблица23[[#This Row],[АприорВклКлассификация]]=Таблица23[[#This Row],[обучающая выборка]],1,0)</f>
        <v>0</v>
      </c>
      <c r="BI63" s="21" t="s">
        <v>186</v>
      </c>
      <c r="BJ63" s="21">
        <f>IF(VALUE(RIGHT(Таблица23[[#This Row],[Фунция ДА ИСК]]))=Таблица23[[#This Row],[обучающая выборка]],1,0)</f>
        <v>0</v>
      </c>
      <c r="BK63" s="21">
        <f>IF(Таблица23[[#This Row],[обучающая выборка]]=Таблица23[[#This Row],[Result backward]],1,0)</f>
        <v>0</v>
      </c>
      <c r="BL63" s="21">
        <v>1</v>
      </c>
      <c r="BM63" t="s">
        <v>187</v>
      </c>
      <c r="BN63">
        <v>1.4710000000000001</v>
      </c>
      <c r="BO63">
        <v>1394.508</v>
      </c>
      <c r="BP63">
        <v>11.558</v>
      </c>
      <c r="BQ63">
        <v>14.233000000000001</v>
      </c>
      <c r="BR63">
        <v>13.411</v>
      </c>
      <c r="BS63">
        <f>MIN(Таблица23[[#This Row],[Махал1ИСК]:[Махал5ИСК]])</f>
        <v>1.4710000000000001</v>
      </c>
      <c r="BT6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3">
        <f>IF(Таблица23[[#This Row],[МАХАЛ ИСК Классификация]]=Таблица23[[#This Row],[обучающая выборка]],1,0)</f>
        <v>0</v>
      </c>
      <c r="BV63" t="s">
        <v>187</v>
      </c>
      <c r="BW63">
        <v>0.99434900000000004</v>
      </c>
      <c r="BX63">
        <v>0</v>
      </c>
      <c r="BY63">
        <v>3.5000000000000001E-3</v>
      </c>
      <c r="BZ63">
        <v>7.6499999999999995E-4</v>
      </c>
      <c r="CA63">
        <v>1.3849999999999999E-3</v>
      </c>
      <c r="CB63">
        <f>MAX(Таблица23[[#This Row],[АприорИСК1]]:Таблица23[[#This Row],[АприорИСК5]])</f>
        <v>0.99434900000000004</v>
      </c>
      <c r="CC6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3">
        <f>IF(Таблица23[[#This Row],[АприорИСК классификация]]=Таблица23[[#This Row],[обучающая выборка]],1,0)</f>
        <v>0</v>
      </c>
      <c r="CE63" s="35">
        <v>0.27493403227950697</v>
      </c>
      <c r="CF63" s="35">
        <v>-0.68834654154526809</v>
      </c>
      <c r="CG63" s="35">
        <v>0.24122058913630645</v>
      </c>
      <c r="CH63" s="35">
        <v>1</v>
      </c>
      <c r="CI63" s="35">
        <v>2</v>
      </c>
      <c r="CJ63" s="36">
        <v>1</v>
      </c>
      <c r="CK63" s="35">
        <v>3</v>
      </c>
      <c r="CL63" s="36">
        <v>0.27493403223783741</v>
      </c>
      <c r="CM63" s="36">
        <v>-0.68834654143136931</v>
      </c>
      <c r="CN63" s="36">
        <v>-0.24122058904749971</v>
      </c>
    </row>
    <row r="64" spans="1:92" x14ac:dyDescent="0.25">
      <c r="A64" s="3" t="s">
        <v>77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SUMXMY2(Таблица23[[#This Row],[X1]:[X9]],Таблица23[[#Totals],[X1]:[X9]])</f>
        <v>2.0923711650137586</v>
      </c>
      <c r="P64" s="20">
        <v>1</v>
      </c>
      <c r="Q64" s="20" t="s">
        <v>186</v>
      </c>
      <c r="R64" s="20">
        <f>IF(VALUE(RIGHT(Таблица23[[#This Row],[функция]],1))=Таблица23[[#This Row],[обучающая выборка]],1,0)</f>
        <v>1</v>
      </c>
      <c r="S64" s="20">
        <f>IF(Таблица23[[#This Row],[обучающая выборка]]=Таблица23[[#This Row],[Result Lda]],1,0)</f>
        <v>1</v>
      </c>
      <c r="T64" s="20">
        <v>1</v>
      </c>
      <c r="U64" s="20" t="s">
        <v>186</v>
      </c>
      <c r="V64" s="20">
        <v>3.8759999999999999</v>
      </c>
      <c r="W64" s="20">
        <v>1997.366</v>
      </c>
      <c r="X64" s="20">
        <v>33.917999999999999</v>
      </c>
      <c r="Y64" s="20">
        <v>18.215</v>
      </c>
      <c r="Z64" s="20">
        <v>29.527999999999999</v>
      </c>
      <c r="AA64" s="20">
        <f>MIN(Таблица23[[#This Row],[Махал1]:[Махал5]])</f>
        <v>3.8759999999999999</v>
      </c>
      <c r="AB6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64" s="20">
        <f>IF(Таблица23[[#This Row],[Махаланобис классификация]]=Таблица23[[#This Row],[обучающая выборка]],1,0)</f>
        <v>1</v>
      </c>
      <c r="AD64" s="21" t="s">
        <v>186</v>
      </c>
      <c r="AE64" s="22">
        <v>0.99964870847707055</v>
      </c>
      <c r="AF64" s="22">
        <v>0</v>
      </c>
      <c r="AG64" s="22">
        <v>1.6334020900669365E-7</v>
      </c>
      <c r="AH64" s="22">
        <v>3.4966149828364722E-4</v>
      </c>
      <c r="AI64" s="22">
        <v>1.4666844367514355E-6</v>
      </c>
      <c r="AJ64">
        <f>MAX(Таблица23[[#This Row],[априор1]:[априор5]])</f>
        <v>0.99964870847707055</v>
      </c>
      <c r="AK6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64">
        <f>IF(Таблица23[[#This Row],[обучающая выборка]]=Таблица23[[#This Row],[Априор Классификация]],1,0)</f>
        <v>1</v>
      </c>
      <c r="AM64" t="s">
        <v>186</v>
      </c>
      <c r="AN64">
        <f>IF(VALUE(RIGHT(Таблица23[[#This Row],[фнкция ДА ВКЛ]],1))=Таблица23[[#This Row],[обучающая выборка]],1,0)</f>
        <v>1</v>
      </c>
      <c r="AO64">
        <f>IF(Таблица23[[#This Row],[обучающая выборка]]=Таблица23[[#This Row],[Result forward]],1,0)</f>
        <v>1</v>
      </c>
      <c r="AP64">
        <v>1</v>
      </c>
      <c r="AQ64" t="s">
        <v>186</v>
      </c>
      <c r="AR64">
        <v>2.3010000000000002</v>
      </c>
      <c r="AS64">
        <v>1378.7329999999999</v>
      </c>
      <c r="AT64">
        <v>29.65</v>
      </c>
      <c r="AU64">
        <v>11.738</v>
      </c>
      <c r="AV64">
        <v>23.097999999999999</v>
      </c>
      <c r="AW64">
        <f>MIN(Таблица23[[#This Row],[Махал1ВКЛ]:[Махал5ВКл]])</f>
        <v>2.3010000000000002</v>
      </c>
      <c r="AX6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4">
        <f>IF(Таблица23[[#This Row],[обучающая выборка]]=Таблица23[[#This Row],[МахаланобисКлассификацияВКЛ]],1,0)</f>
        <v>1</v>
      </c>
      <c r="AZ64" t="s">
        <v>186</v>
      </c>
      <c r="BA64">
        <v>0.99594199999999999</v>
      </c>
      <c r="BB64">
        <v>0</v>
      </c>
      <c r="BC64">
        <v>9.9999999999999995E-7</v>
      </c>
      <c r="BD64">
        <v>4.0410000000000003E-3</v>
      </c>
      <c r="BE64">
        <v>1.7E-5</v>
      </c>
      <c r="BF64">
        <f>MAX(Таблица23[[#This Row],[АприорВКл1]:[АприорВКл5]])</f>
        <v>0.99594199999999999</v>
      </c>
      <c r="BG6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4">
        <f>IF(Таблица23[[#This Row],[АприорВклКлассификация]]=Таблица23[[#This Row],[обучающая выборка]],1,0)</f>
        <v>1</v>
      </c>
      <c r="BI64" s="21" t="s">
        <v>186</v>
      </c>
      <c r="BJ64" s="21">
        <f>IF(VALUE(RIGHT(Таблица23[[#This Row],[Фунция ДА ИСК]]))=Таблица23[[#This Row],[обучающая выборка]],1,0)</f>
        <v>1</v>
      </c>
      <c r="BK64" s="21">
        <f>IF(Таблица23[[#This Row],[обучающая выборка]]=Таблица23[[#This Row],[Result backward]],1,0)</f>
        <v>1</v>
      </c>
      <c r="BL64" s="21">
        <v>1</v>
      </c>
      <c r="BM64" t="s">
        <v>186</v>
      </c>
      <c r="BN64">
        <v>2.3010000000000002</v>
      </c>
      <c r="BO64">
        <v>1378.7329999999999</v>
      </c>
      <c r="BP64">
        <v>29.65</v>
      </c>
      <c r="BQ64">
        <v>11.738</v>
      </c>
      <c r="BR64">
        <v>23.097999999999999</v>
      </c>
      <c r="BS64">
        <f>MIN(Таблица23[[#This Row],[Махал1ИСК]:[Махал5ИСК]])</f>
        <v>2.3010000000000002</v>
      </c>
      <c r="BT6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4">
        <f>IF(Таблица23[[#This Row],[МАХАЛ ИСК Классификация]]=Таблица23[[#This Row],[обучающая выборка]],1,0)</f>
        <v>1</v>
      </c>
      <c r="BV64" t="s">
        <v>186</v>
      </c>
      <c r="BW64">
        <v>0.99594199999999999</v>
      </c>
      <c r="BX64">
        <v>0</v>
      </c>
      <c r="BY64">
        <v>9.9999999999999995E-7</v>
      </c>
      <c r="BZ64">
        <v>4.0410000000000003E-3</v>
      </c>
      <c r="CA64">
        <v>1.7E-5</v>
      </c>
      <c r="CB64">
        <f>MAX(Таблица23[[#This Row],[АприорИСК1]]:Таблица23[[#This Row],[АприорИСК5]])</f>
        <v>0.99594199999999999</v>
      </c>
      <c r="CC6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4">
        <f>IF(Таблица23[[#This Row],[АприорИСК классификация]]=Таблица23[[#This Row],[обучающая выборка]],1,0)</f>
        <v>1</v>
      </c>
      <c r="CE64" s="35">
        <v>0.64086387046044768</v>
      </c>
      <c r="CF64" s="35">
        <v>4.7587805671222727E-2</v>
      </c>
      <c r="CG64" s="35">
        <v>-3.9368803893020221E-2</v>
      </c>
      <c r="CH64" s="35">
        <v>4</v>
      </c>
      <c r="CI64" s="35">
        <v>2</v>
      </c>
      <c r="CJ64" s="36">
        <v>3</v>
      </c>
      <c r="CK64" s="35">
        <v>1</v>
      </c>
      <c r="CL64" s="36">
        <v>0.64086387038425896</v>
      </c>
      <c r="CM64" s="36">
        <v>4.7587805609768788E-2</v>
      </c>
      <c r="CN64" s="36">
        <v>3.9368803926643041E-2</v>
      </c>
    </row>
    <row r="65" spans="1:92" x14ac:dyDescent="0.25">
      <c r="A65" s="3" t="s">
        <v>78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SUMXMY2(Таблица23[[#This Row],[X1]:[X9]],Таблица23[[#Totals],[X1]:[X9]])</f>
        <v>19.177326088168495</v>
      </c>
      <c r="P65" s="20"/>
      <c r="Q65" s="20" t="s">
        <v>190</v>
      </c>
      <c r="R65" s="20">
        <f>IF(VALUE(RIGHT(Таблица23[[#This Row],[функция]],1))=Таблица23[[#This Row],[обучающая выборка]],1,0)</f>
        <v>0</v>
      </c>
      <c r="S65" s="20">
        <f>IF(Таблица23[[#This Row],[обучающая выборка]]=Таблица23[[#This Row],[Result Lda]],1,0)</f>
        <v>0</v>
      </c>
      <c r="T65" s="20">
        <v>4</v>
      </c>
      <c r="U65" s="20" t="s">
        <v>187</v>
      </c>
      <c r="V65" s="20">
        <v>125.364</v>
      </c>
      <c r="W65" s="20">
        <v>1984.7380000000001</v>
      </c>
      <c r="X65" s="20">
        <v>217.72499999999999</v>
      </c>
      <c r="Y65" s="20">
        <v>123.41200000000001</v>
      </c>
      <c r="Z65" s="20">
        <v>176.887</v>
      </c>
      <c r="AA65" s="20">
        <f>MIN(Таблица23[[#This Row],[Махал1]:[Махал5]])</f>
        <v>123.41200000000001</v>
      </c>
      <c r="AB6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65" s="20">
        <f>IF(Таблица23[[#This Row],[Махаланобис классификация]]=Таблица23[[#This Row],[обучающая выборка]],1,0)</f>
        <v>0</v>
      </c>
      <c r="AD65" s="21" t="s">
        <v>187</v>
      </c>
      <c r="AE65" s="22">
        <v>0.45330422754209293</v>
      </c>
      <c r="AF65" s="22">
        <v>0</v>
      </c>
      <c r="AG65" s="22">
        <v>2.1738060273595495E-21</v>
      </c>
      <c r="AH65" s="22">
        <v>0.54669577245630374</v>
      </c>
      <c r="AI65" s="22">
        <v>1.6035157935774908E-12</v>
      </c>
      <c r="AJ65">
        <f>MAX(Таблица23[[#This Row],[априор1]:[априор5]])</f>
        <v>0.54669577245630374</v>
      </c>
      <c r="AK6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65">
        <f>IF(Таблица23[[#This Row],[обучающая выборка]]=Таблица23[[#This Row],[Априор Классификация]],1,0)</f>
        <v>0</v>
      </c>
      <c r="AM65" t="s">
        <v>186</v>
      </c>
      <c r="AN65">
        <f>IF(VALUE(RIGHT(Таблица23[[#This Row],[фнкция ДА ВКЛ]],1))=Таблица23[[#This Row],[обучающая выборка]],1,0)</f>
        <v>0</v>
      </c>
      <c r="AO65">
        <f>IF(Таблица23[[#This Row],[обучающая выборка]]=Таблица23[[#This Row],[Result forward]],1,0)</f>
        <v>0</v>
      </c>
      <c r="AP65">
        <v>4</v>
      </c>
      <c r="AQ65" t="s">
        <v>187</v>
      </c>
      <c r="AR65">
        <v>96.188000000000002</v>
      </c>
      <c r="AS65">
        <v>1461.951</v>
      </c>
      <c r="AT65">
        <v>189.78299999999999</v>
      </c>
      <c r="AU65">
        <v>96.697999999999993</v>
      </c>
      <c r="AV65">
        <v>146.01599999999999</v>
      </c>
      <c r="AW65">
        <f>MIN(Таблица23[[#This Row],[Махал1ВКЛ]:[Махал5ВКл]])</f>
        <v>96.188000000000002</v>
      </c>
      <c r="AX6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5">
        <f>IF(Таблица23[[#This Row],[обучающая выборка]]=Таблица23[[#This Row],[МахаланобисКлассификацияВКЛ]],1,0)</f>
        <v>0</v>
      </c>
      <c r="AZ65" t="s">
        <v>187</v>
      </c>
      <c r="BA65">
        <v>0.73948499999999995</v>
      </c>
      <c r="BB65">
        <v>0</v>
      </c>
      <c r="BC65">
        <v>0</v>
      </c>
      <c r="BD65">
        <v>0.260515</v>
      </c>
      <c r="BE65">
        <v>0</v>
      </c>
      <c r="BF65">
        <f>MAX(Таблица23[[#This Row],[АприорВКл1]:[АприорВКл5]])</f>
        <v>0.73948499999999995</v>
      </c>
      <c r="BG6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5">
        <f>IF(Таблица23[[#This Row],[АприорВклКлассификация]]=Таблица23[[#This Row],[обучающая выборка]],1,0)</f>
        <v>0</v>
      </c>
      <c r="BI65" s="21" t="s">
        <v>186</v>
      </c>
      <c r="BJ65" s="21">
        <f>IF(VALUE(RIGHT(Таблица23[[#This Row],[Фунция ДА ИСК]]))=Таблица23[[#This Row],[обучающая выборка]],1,0)</f>
        <v>0</v>
      </c>
      <c r="BK65" s="21">
        <f>IF(Таблица23[[#This Row],[обучающая выборка]]=Таблица23[[#This Row],[Result backward]],1,0)</f>
        <v>0</v>
      </c>
      <c r="BL65" s="21">
        <v>4</v>
      </c>
      <c r="BM65" t="s">
        <v>187</v>
      </c>
      <c r="BN65">
        <v>96.188000000000002</v>
      </c>
      <c r="BO65">
        <v>1461.951</v>
      </c>
      <c r="BP65">
        <v>189.78299999999999</v>
      </c>
      <c r="BQ65">
        <v>96.697999999999993</v>
      </c>
      <c r="BR65">
        <v>146.01599999999999</v>
      </c>
      <c r="BS65">
        <f>MIN(Таблица23[[#This Row],[Махал1ИСК]:[Махал5ИСК]])</f>
        <v>96.188000000000002</v>
      </c>
      <c r="BT6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5">
        <f>IF(Таблица23[[#This Row],[МАХАЛ ИСК Классификация]]=Таблица23[[#This Row],[обучающая выборка]],1,0)</f>
        <v>0</v>
      </c>
      <c r="BV65" t="s">
        <v>187</v>
      </c>
      <c r="BW65">
        <v>0.73948499999999995</v>
      </c>
      <c r="BX65">
        <v>0</v>
      </c>
      <c r="BY65">
        <v>0</v>
      </c>
      <c r="BZ65">
        <v>0.260515</v>
      </c>
      <c r="CA65">
        <v>0</v>
      </c>
      <c r="CB65">
        <f>MAX(Таблица23[[#This Row],[АприорИСК1]]:Таблица23[[#This Row],[АприорИСК5]])</f>
        <v>0.73948499999999995</v>
      </c>
      <c r="CC6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5">
        <f>IF(Таблица23[[#This Row],[АприорИСК классификация]]=Таблица23[[#This Row],[обучающая выборка]],1,0)</f>
        <v>0</v>
      </c>
      <c r="CE65" s="35">
        <v>1.2900430873827986</v>
      </c>
      <c r="CF65" s="35">
        <v>1.3670031343710574</v>
      </c>
      <c r="CG65" s="35">
        <v>0.36360792349494386</v>
      </c>
      <c r="CH65" s="35">
        <v>4</v>
      </c>
      <c r="CI65" s="35">
        <v>4</v>
      </c>
      <c r="CJ65" s="36">
        <v>5</v>
      </c>
      <c r="CK65" s="35">
        <v>1</v>
      </c>
      <c r="CL65" s="36">
        <v>1.2900430873677731</v>
      </c>
      <c r="CM65" s="36">
        <v>1.367003134243526</v>
      </c>
      <c r="CN65" s="36">
        <v>-0.36360792356460941</v>
      </c>
    </row>
    <row r="66" spans="1:92" x14ac:dyDescent="0.25">
      <c r="A66" s="3" t="s">
        <v>79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SUMXMY2(Таблица23[[#This Row],[X1]:[X9]],Таблица23[[#Totals],[X1]:[X9]])</f>
        <v>3.1489525934349305</v>
      </c>
      <c r="P66" s="20"/>
      <c r="Q66" s="20" t="s">
        <v>186</v>
      </c>
      <c r="R66" s="20">
        <f>IF(VALUE(RIGHT(Таблица23[[#This Row],[функция]],1))=Таблица23[[#This Row],[обучающая выборка]],1,0)</f>
        <v>0</v>
      </c>
      <c r="S66" s="20">
        <f>IF(Таблица23[[#This Row],[обучающая выборка]]=Таблица23[[#This Row],[Result Lda]],1,0)</f>
        <v>0</v>
      </c>
      <c r="T66" s="20">
        <v>1</v>
      </c>
      <c r="U66" s="20" t="s">
        <v>187</v>
      </c>
      <c r="V66" s="20">
        <v>12.509</v>
      </c>
      <c r="W66" s="20">
        <v>2226.8580000000002</v>
      </c>
      <c r="X66" s="20">
        <v>53.662999999999997</v>
      </c>
      <c r="Y66" s="20">
        <v>41.381</v>
      </c>
      <c r="Z66" s="20">
        <v>40.488</v>
      </c>
      <c r="AA66" s="20">
        <f>MIN(Таблица23[[#This Row],[Махал1]:[Махал5]])</f>
        <v>12.509</v>
      </c>
      <c r="AB6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66" s="20">
        <f>IF(Таблица23[[#This Row],[Махаланобис классификация]]=Таблица23[[#This Row],[обучающая выборка]],1,0)</f>
        <v>0</v>
      </c>
      <c r="AD66" s="21" t="s">
        <v>187</v>
      </c>
      <c r="AE66" s="22">
        <v>0.99999929676008836</v>
      </c>
      <c r="AF66" s="22">
        <v>0</v>
      </c>
      <c r="AG66" s="22">
        <v>6.3127270337657645E-10</v>
      </c>
      <c r="AH66" s="22">
        <v>2.4433987327446037E-7</v>
      </c>
      <c r="AI66" s="22">
        <v>4.5826876554288322E-7</v>
      </c>
      <c r="AJ66">
        <f>MAX(Таблица23[[#This Row],[априор1]:[априор5]])</f>
        <v>0.99999929676008836</v>
      </c>
      <c r="AK6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66">
        <f>IF(Таблица23[[#This Row],[обучающая выборка]]=Таблица23[[#This Row],[Априор Классификация]],1,0)</f>
        <v>0</v>
      </c>
      <c r="AM66" t="s">
        <v>186</v>
      </c>
      <c r="AN66">
        <f>IF(VALUE(RIGHT(Таблица23[[#This Row],[фнкция ДА ВКЛ]],1))=Таблица23[[#This Row],[обучающая выборка]],1,0)</f>
        <v>0</v>
      </c>
      <c r="AO66">
        <f>IF(Таблица23[[#This Row],[обучающая выборка]]=Таблица23[[#This Row],[Result forward]],1,0)</f>
        <v>0</v>
      </c>
      <c r="AP66">
        <v>1</v>
      </c>
      <c r="AQ66" t="s">
        <v>187</v>
      </c>
      <c r="AR66">
        <v>2.1920000000000002</v>
      </c>
      <c r="AS66">
        <v>1469.316</v>
      </c>
      <c r="AT66">
        <v>26.501999999999999</v>
      </c>
      <c r="AU66">
        <v>7.4420000000000002</v>
      </c>
      <c r="AV66">
        <v>27.364000000000001</v>
      </c>
      <c r="AW66">
        <f>MIN(Таблица23[[#This Row],[Махал1ВКЛ]:[Махал5ВКл]])</f>
        <v>2.1920000000000002</v>
      </c>
      <c r="AX6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6">
        <f>IF(Таблица23[[#This Row],[обучающая выборка]]=Таблица23[[#This Row],[МахаланобисКлассификацияВКЛ]],1,0)</f>
        <v>0</v>
      </c>
      <c r="AZ66" t="s">
        <v>187</v>
      </c>
      <c r="BA66">
        <v>0.96811599999999998</v>
      </c>
      <c r="BB66">
        <v>0</v>
      </c>
      <c r="BC66">
        <v>3.0000000000000001E-6</v>
      </c>
      <c r="BD66">
        <v>3.1878999999999998E-2</v>
      </c>
      <c r="BE66">
        <v>1.9999999999999999E-6</v>
      </c>
      <c r="BF66">
        <f>MAX(Таблица23[[#This Row],[АприорВКл1]:[АприорВКл5]])</f>
        <v>0.96811599999999998</v>
      </c>
      <c r="BG6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6">
        <f>IF(Таблица23[[#This Row],[АприорВклКлассификация]]=Таблица23[[#This Row],[обучающая выборка]],1,0)</f>
        <v>0</v>
      </c>
      <c r="BI66" s="21" t="s">
        <v>186</v>
      </c>
      <c r="BJ66" s="21">
        <f>IF(VALUE(RIGHT(Таблица23[[#This Row],[Фунция ДА ИСК]]))=Таблица23[[#This Row],[обучающая выборка]],1,0)</f>
        <v>0</v>
      </c>
      <c r="BK66" s="21">
        <f>IF(Таблица23[[#This Row],[обучающая выборка]]=Таблица23[[#This Row],[Result backward]],1,0)</f>
        <v>0</v>
      </c>
      <c r="BL66" s="21">
        <v>1</v>
      </c>
      <c r="BM66" t="s">
        <v>187</v>
      </c>
      <c r="BN66">
        <v>2.1920000000000002</v>
      </c>
      <c r="BO66">
        <v>1469.316</v>
      </c>
      <c r="BP66">
        <v>26.501999999999999</v>
      </c>
      <c r="BQ66">
        <v>7.4420000000000002</v>
      </c>
      <c r="BR66">
        <v>27.364000000000001</v>
      </c>
      <c r="BS66">
        <f>MIN(Таблица23[[#This Row],[Махал1ИСК]:[Махал5ИСК]])</f>
        <v>2.1920000000000002</v>
      </c>
      <c r="BT6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6">
        <f>IF(Таблица23[[#This Row],[МАХАЛ ИСК Классификация]]=Таблица23[[#This Row],[обучающая выборка]],1,0)</f>
        <v>0</v>
      </c>
      <c r="BV66" t="s">
        <v>187</v>
      </c>
      <c r="BW66">
        <v>0.96811599999999998</v>
      </c>
      <c r="BX66">
        <v>0</v>
      </c>
      <c r="BY66">
        <v>3.0000000000000001E-6</v>
      </c>
      <c r="BZ66">
        <v>3.1878999999999998E-2</v>
      </c>
      <c r="CA66">
        <v>1.9999999999999999E-6</v>
      </c>
      <c r="CB66">
        <f>MAX(Таблица23[[#This Row],[АприорИСК1]]:Таблица23[[#This Row],[АприорИСК5]])</f>
        <v>0.96811599999999998</v>
      </c>
      <c r="CC6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6">
        <f>IF(Таблица23[[#This Row],[АприорИСК классификация]]=Таблица23[[#This Row],[обучающая выборка]],1,0)</f>
        <v>0</v>
      </c>
      <c r="CE66" s="35">
        <v>0.7443143823808136</v>
      </c>
      <c r="CF66" s="35">
        <v>-0.46856068063637746</v>
      </c>
      <c r="CG66" s="35">
        <v>-0.3429163684851726</v>
      </c>
      <c r="CH66" s="35">
        <v>5</v>
      </c>
      <c r="CI66" s="35">
        <v>2</v>
      </c>
      <c r="CJ66" s="36">
        <v>3</v>
      </c>
      <c r="CK66" s="35">
        <v>1</v>
      </c>
      <c r="CL66" s="36">
        <v>0.74431438233643743</v>
      </c>
      <c r="CM66" s="36">
        <v>-0.46856068055495331</v>
      </c>
      <c r="CN66" s="36">
        <v>0.34291636846450541</v>
      </c>
    </row>
    <row r="67" spans="1:92" x14ac:dyDescent="0.25">
      <c r="A67" s="3" t="s">
        <v>80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SUMXMY2(Таблица23[[#This Row],[X1]:[X9]],Таблица23[[#Totals],[X1]:[X9]])</f>
        <v>15.672803117354693</v>
      </c>
      <c r="P67" s="20"/>
      <c r="Q67" s="20" t="s">
        <v>189</v>
      </c>
      <c r="R67" s="20">
        <f>IF(VALUE(RIGHT(Таблица23[[#This Row],[функция]],1))=Таблица23[[#This Row],[обучающая выборка]],1,0)</f>
        <v>0</v>
      </c>
      <c r="S67" s="20">
        <f>IF(Таблица23[[#This Row],[обучающая выборка]]=Таблица23[[#This Row],[Result Lda]],1,0)</f>
        <v>0</v>
      </c>
      <c r="T67" s="20">
        <v>5</v>
      </c>
      <c r="U67" s="20" t="s">
        <v>187</v>
      </c>
      <c r="V67" s="20">
        <v>146.43299999999999</v>
      </c>
      <c r="W67" s="20">
        <v>2430.7089999999998</v>
      </c>
      <c r="X67" s="20">
        <v>147.23699999999999</v>
      </c>
      <c r="Y67" s="20">
        <v>190.49100000000001</v>
      </c>
      <c r="Z67" s="20">
        <v>109.89</v>
      </c>
      <c r="AA67" s="20">
        <f>MIN(Таблица23[[#This Row],[Махал1]:[Махал5]])</f>
        <v>109.89</v>
      </c>
      <c r="AB6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67" s="20">
        <f>IF(Таблица23[[#This Row],[Махаланобис классификация]]=Таблица23[[#This Row],[обучающая выборка]],1,0)</f>
        <v>0</v>
      </c>
      <c r="AD67" s="21" t="s">
        <v>187</v>
      </c>
      <c r="AE67" s="22">
        <v>2.128353898681209E-8</v>
      </c>
      <c r="AF67" s="22">
        <v>0</v>
      </c>
      <c r="AG67" s="22">
        <v>7.7644598233384281E-9</v>
      </c>
      <c r="AH67" s="22">
        <v>2.6208253277113868E-18</v>
      </c>
      <c r="AI67" s="22">
        <v>0.9999999709520011</v>
      </c>
      <c r="AJ67">
        <f>MAX(Таблица23[[#This Row],[априор1]:[априор5]])</f>
        <v>0.9999999709520011</v>
      </c>
      <c r="AK6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67">
        <f>IF(Таблица23[[#This Row],[обучающая выборка]]=Таблица23[[#This Row],[Априор Классификация]],1,0)</f>
        <v>0</v>
      </c>
      <c r="AM67" t="s">
        <v>189</v>
      </c>
      <c r="AN67">
        <f>IF(VALUE(RIGHT(Таблица23[[#This Row],[фнкция ДА ВКЛ]],1))=Таблица23[[#This Row],[обучающая выборка]],1,0)</f>
        <v>0</v>
      </c>
      <c r="AO67">
        <f>IF(Таблица23[[#This Row],[обучающая выборка]]=Таблица23[[#This Row],[Result forward]],1,0)</f>
        <v>0</v>
      </c>
      <c r="AP67">
        <v>5</v>
      </c>
      <c r="AQ67" t="s">
        <v>187</v>
      </c>
      <c r="AR67">
        <v>96.21</v>
      </c>
      <c r="AS67">
        <v>1871.4760000000001</v>
      </c>
      <c r="AT67">
        <v>100.753</v>
      </c>
      <c r="AU67">
        <v>141.892</v>
      </c>
      <c r="AV67">
        <v>57.34</v>
      </c>
      <c r="AW67">
        <f>MIN(Таблица23[[#This Row],[Махал1ВКЛ]:[Махал5ВКл]])</f>
        <v>57.34</v>
      </c>
      <c r="AX6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67">
        <f>IF(Таблица23[[#This Row],[обучающая выборка]]=Таблица23[[#This Row],[МахаланобисКлассификацияВКЛ]],1,0)</f>
        <v>0</v>
      </c>
      <c r="AZ67" t="s">
        <v>187</v>
      </c>
      <c r="BA67">
        <v>0</v>
      </c>
      <c r="BB67">
        <v>0</v>
      </c>
      <c r="BC67">
        <v>0</v>
      </c>
      <c r="BD67">
        <v>0</v>
      </c>
      <c r="BE67">
        <v>1</v>
      </c>
      <c r="BF67">
        <f>MAX(Таблица23[[#This Row],[АприорВКл1]:[АприорВКл5]])</f>
        <v>1</v>
      </c>
      <c r="BG6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67">
        <f>IF(Таблица23[[#This Row],[АприорВклКлассификация]]=Таблица23[[#This Row],[обучающая выборка]],1,0)</f>
        <v>0</v>
      </c>
      <c r="BI67" s="21" t="s">
        <v>189</v>
      </c>
      <c r="BJ67" s="21">
        <f>IF(VALUE(RIGHT(Таблица23[[#This Row],[Фунция ДА ИСК]]))=Таблица23[[#This Row],[обучающая выборка]],1,0)</f>
        <v>0</v>
      </c>
      <c r="BK67" s="21">
        <f>IF(Таблица23[[#This Row],[обучающая выборка]]=Таблица23[[#This Row],[Result backward]],1,0)</f>
        <v>0</v>
      </c>
      <c r="BL67" s="21">
        <v>5</v>
      </c>
      <c r="BM67" t="s">
        <v>187</v>
      </c>
      <c r="BN67">
        <v>96.21</v>
      </c>
      <c r="BO67">
        <v>1871.4760000000001</v>
      </c>
      <c r="BP67">
        <v>100.753</v>
      </c>
      <c r="BQ67">
        <v>141.892</v>
      </c>
      <c r="BR67">
        <v>57.34</v>
      </c>
      <c r="BS67">
        <f>MIN(Таблица23[[#This Row],[Махал1ИСК]:[Махал5ИСК]])</f>
        <v>57.34</v>
      </c>
      <c r="BT6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67">
        <f>IF(Таблица23[[#This Row],[МАХАЛ ИСК Классификация]]=Таблица23[[#This Row],[обучающая выборка]],1,0)</f>
        <v>0</v>
      </c>
      <c r="BV67" t="s">
        <v>187</v>
      </c>
      <c r="BW67">
        <v>0</v>
      </c>
      <c r="BX67">
        <v>0</v>
      </c>
      <c r="BY67">
        <v>0</v>
      </c>
      <c r="BZ67">
        <v>0</v>
      </c>
      <c r="CA67">
        <v>1</v>
      </c>
      <c r="CB67">
        <f>MAX(Таблица23[[#This Row],[АприорИСК1]]:Таблица23[[#This Row],[АприорИСК5]])</f>
        <v>1</v>
      </c>
      <c r="CC6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67">
        <f>IF(Таблица23[[#This Row],[АприорИСК классификация]]=Таблица23[[#This Row],[обучающая выборка]],1,0)</f>
        <v>0</v>
      </c>
      <c r="CE67" s="35">
        <v>-1.2893231153394096</v>
      </c>
      <c r="CF67" s="35">
        <v>0.24960693064638501</v>
      </c>
      <c r="CG67" s="35">
        <v>-2.0374874009732222</v>
      </c>
      <c r="CH67" s="35">
        <v>5</v>
      </c>
      <c r="CI67" s="35">
        <v>5</v>
      </c>
      <c r="CJ67" s="36">
        <v>4</v>
      </c>
      <c r="CK67" s="35">
        <v>2</v>
      </c>
      <c r="CL67" s="36">
        <v>-1.289323115483747</v>
      </c>
      <c r="CM67" s="36">
        <v>0.2496069304175883</v>
      </c>
      <c r="CN67" s="36">
        <v>2.0374874006502091</v>
      </c>
    </row>
    <row r="68" spans="1:92" x14ac:dyDescent="0.25">
      <c r="A68" s="3" t="s">
        <v>81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SUMXMY2(Таблица23[[#This Row],[X1]:[X9]],Таблица23[[#Totals],[X1]:[X9]])</f>
        <v>1.7417740364451202</v>
      </c>
      <c r="P68" s="20"/>
      <c r="Q68" s="20" t="s">
        <v>186</v>
      </c>
      <c r="R68" s="20">
        <f>IF(VALUE(RIGHT(Таблица23[[#This Row],[функция]],1))=Таблица23[[#This Row],[обучающая выборка]],1,0)</f>
        <v>0</v>
      </c>
      <c r="S68" s="20">
        <f>IF(Таблица23[[#This Row],[обучающая выборка]]=Таблица23[[#This Row],[Result Lda]],1,0)</f>
        <v>0</v>
      </c>
      <c r="T68" s="20">
        <v>1</v>
      </c>
      <c r="U68" s="20" t="s">
        <v>187</v>
      </c>
      <c r="V68" s="20">
        <v>17.754999999999999</v>
      </c>
      <c r="W68" s="20">
        <v>1943.4580000000001</v>
      </c>
      <c r="X68" s="20">
        <v>27.044</v>
      </c>
      <c r="Y68" s="20">
        <v>18.88</v>
      </c>
      <c r="Z68" s="20">
        <v>45.548999999999999</v>
      </c>
      <c r="AA68" s="20">
        <f>MIN(Таблица23[[#This Row],[Махал1]:[Махал5]])</f>
        <v>17.754999999999999</v>
      </c>
      <c r="AB6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68" s="20">
        <f>IF(Таблица23[[#This Row],[Махаланобис классификация]]=Таблица23[[#This Row],[обучающая выборка]],1,0)</f>
        <v>0</v>
      </c>
      <c r="AD68" s="21" t="s">
        <v>187</v>
      </c>
      <c r="AE68" s="22">
        <v>0.79093377496629291</v>
      </c>
      <c r="AF68" s="22">
        <v>0</v>
      </c>
      <c r="AG68" s="22">
        <v>4.1495053184475231E-3</v>
      </c>
      <c r="AH68" s="22">
        <v>0.20491632195650589</v>
      </c>
      <c r="AI68" s="22">
        <v>3.9775875362104875E-7</v>
      </c>
      <c r="AJ68">
        <f>MAX(Таблица23[[#This Row],[априор1]:[априор5]])</f>
        <v>0.79093377496629291</v>
      </c>
      <c r="AK6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68">
        <f>IF(Таблица23[[#This Row],[обучающая выборка]]=Таблица23[[#This Row],[Априор Классификация]],1,0)</f>
        <v>0</v>
      </c>
      <c r="AM68" t="s">
        <v>186</v>
      </c>
      <c r="AN68">
        <f>IF(VALUE(RIGHT(Таблица23[[#This Row],[фнкция ДА ВКЛ]],1))=Таблица23[[#This Row],[обучающая выборка]],1,0)</f>
        <v>0</v>
      </c>
      <c r="AO68">
        <f>IF(Таблица23[[#This Row],[обучающая выборка]]=Таблица23[[#This Row],[Result forward]],1,0)</f>
        <v>0</v>
      </c>
      <c r="AP68">
        <v>1</v>
      </c>
      <c r="AQ68" t="s">
        <v>187</v>
      </c>
      <c r="AR68">
        <v>1.2210000000000001</v>
      </c>
      <c r="AS68">
        <v>1381.873</v>
      </c>
      <c r="AT68">
        <v>20.177</v>
      </c>
      <c r="AU68">
        <v>16.658999999999999</v>
      </c>
      <c r="AV68">
        <v>10.114000000000001</v>
      </c>
      <c r="AW68">
        <f>MIN(Таблица23[[#This Row],[Махал1ВКЛ]:[Махал5ВКл]])</f>
        <v>1.2210000000000001</v>
      </c>
      <c r="AX6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8">
        <f>IF(Таблица23[[#This Row],[обучающая выборка]]=Таблица23[[#This Row],[МахаланобисКлассификацияВКЛ]],1,0)</f>
        <v>0</v>
      </c>
      <c r="AZ68" t="s">
        <v>187</v>
      </c>
      <c r="BA68">
        <v>0.99340799999999996</v>
      </c>
      <c r="BB68">
        <v>0</v>
      </c>
      <c r="BC68">
        <v>4.1E-5</v>
      </c>
      <c r="BD68">
        <v>2.0100000000000001E-4</v>
      </c>
      <c r="BE68">
        <v>6.3499999999999997E-3</v>
      </c>
      <c r="BF68">
        <f>MAX(Таблица23[[#This Row],[АприорВКл1]:[АприорВКл5]])</f>
        <v>0.99340799999999996</v>
      </c>
      <c r="BG6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8">
        <f>IF(Таблица23[[#This Row],[АприорВклКлассификация]]=Таблица23[[#This Row],[обучающая выборка]],1,0)</f>
        <v>0</v>
      </c>
      <c r="BI68" s="21" t="s">
        <v>186</v>
      </c>
      <c r="BJ68" s="21">
        <f>IF(VALUE(RIGHT(Таблица23[[#This Row],[Фунция ДА ИСК]]))=Таблица23[[#This Row],[обучающая выборка]],1,0)</f>
        <v>0</v>
      </c>
      <c r="BK68" s="21">
        <f>IF(Таблица23[[#This Row],[обучающая выборка]]=Таблица23[[#This Row],[Result backward]],1,0)</f>
        <v>0</v>
      </c>
      <c r="BL68" s="21">
        <v>1</v>
      </c>
      <c r="BM68" t="s">
        <v>187</v>
      </c>
      <c r="BN68">
        <v>1.2210000000000001</v>
      </c>
      <c r="BO68">
        <v>1381.873</v>
      </c>
      <c r="BP68">
        <v>20.177</v>
      </c>
      <c r="BQ68">
        <v>16.658999999999999</v>
      </c>
      <c r="BR68">
        <v>10.114000000000001</v>
      </c>
      <c r="BS68">
        <f>MIN(Таблица23[[#This Row],[Махал1ИСК]:[Махал5ИСК]])</f>
        <v>1.2210000000000001</v>
      </c>
      <c r="BT6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8">
        <f>IF(Таблица23[[#This Row],[МАХАЛ ИСК Классификация]]=Таблица23[[#This Row],[обучающая выборка]],1,0)</f>
        <v>0</v>
      </c>
      <c r="BV68" t="s">
        <v>187</v>
      </c>
      <c r="BW68">
        <v>0.99340799999999996</v>
      </c>
      <c r="BX68">
        <v>0</v>
      </c>
      <c r="BY68">
        <v>4.1E-5</v>
      </c>
      <c r="BZ68">
        <v>2.0100000000000001E-4</v>
      </c>
      <c r="CA68">
        <v>6.3499999999999997E-3</v>
      </c>
      <c r="CB68">
        <f>MAX(Таблица23[[#This Row],[АприорИСК1]]:Таблица23[[#This Row],[АприорИСК5]])</f>
        <v>0.99340799999999996</v>
      </c>
      <c r="CC6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8">
        <f>IF(Таблица23[[#This Row],[АприорИСК классификация]]=Таблица23[[#This Row],[обучающая выборка]],1,0)</f>
        <v>0</v>
      </c>
      <c r="CE68" s="35">
        <v>0.16961161285855619</v>
      </c>
      <c r="CF68" s="35">
        <v>0.4541286851891112</v>
      </c>
      <c r="CG68" s="35">
        <v>1.506703080036334E-2</v>
      </c>
      <c r="CH68" s="35">
        <v>5</v>
      </c>
      <c r="CI68" s="35">
        <v>2</v>
      </c>
      <c r="CJ68" s="36">
        <v>3</v>
      </c>
      <c r="CK68" s="35">
        <v>3</v>
      </c>
      <c r="CL68" s="36">
        <v>0.16961161272572359</v>
      </c>
      <c r="CM68" s="36">
        <v>0.45412868493104508</v>
      </c>
      <c r="CN68" s="36">
        <v>-1.506703075283296E-2</v>
      </c>
    </row>
    <row r="69" spans="1:92" x14ac:dyDescent="0.25">
      <c r="A69" s="3" t="s">
        <v>82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SUMXMY2(Таблица23[[#This Row],[X1]:[X9]],Таблица23[[#Totals],[X1]:[X9]])</f>
        <v>8.1283677557440548</v>
      </c>
      <c r="P69" s="20"/>
      <c r="Q69" s="20" t="s">
        <v>186</v>
      </c>
      <c r="R69" s="20">
        <f>IF(VALUE(RIGHT(Таблица23[[#This Row],[функция]],1))=Таблица23[[#This Row],[обучающая выборка]],1,0)</f>
        <v>0</v>
      </c>
      <c r="S69" s="20">
        <f>IF(Таблица23[[#This Row],[обучающая выборка]]=Таблица23[[#This Row],[Result Lda]],1,0)</f>
        <v>0</v>
      </c>
      <c r="T69" s="20">
        <v>1</v>
      </c>
      <c r="U69" s="20" t="s">
        <v>187</v>
      </c>
      <c r="V69" s="20">
        <v>51.024999999999999</v>
      </c>
      <c r="W69" s="20">
        <v>2485.2240000000002</v>
      </c>
      <c r="X69" s="20">
        <v>105.071</v>
      </c>
      <c r="Y69" s="20">
        <v>66.206999999999994</v>
      </c>
      <c r="Z69" s="20">
        <v>65.5</v>
      </c>
      <c r="AA69" s="20">
        <f>MIN(Таблица23[[#This Row],[Махал1]:[Махал5]])</f>
        <v>51.024999999999999</v>
      </c>
      <c r="AB6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69" s="20">
        <f>IF(Таблица23[[#This Row],[Махаланобис классификация]]=Таблица23[[#This Row],[обучающая выборка]],1,0)</f>
        <v>0</v>
      </c>
      <c r="AD69" s="21" t="s">
        <v>187</v>
      </c>
      <c r="AE69" s="22">
        <v>0.99937846009440112</v>
      </c>
      <c r="AF69" s="22">
        <v>0</v>
      </c>
      <c r="AG69" s="22">
        <v>1.00159572390486E-12</v>
      </c>
      <c r="AH69" s="22">
        <v>2.2950046367406458E-4</v>
      </c>
      <c r="AI69" s="22">
        <v>3.9203944092319824E-4</v>
      </c>
      <c r="AJ69">
        <f>MAX(Таблица23[[#This Row],[априор1]:[априор5]])</f>
        <v>0.99937846009440112</v>
      </c>
      <c r="AK6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69">
        <f>IF(Таблица23[[#This Row],[обучающая выборка]]=Таблица23[[#This Row],[Априор Классификация]],1,0)</f>
        <v>0</v>
      </c>
      <c r="AM69" t="s">
        <v>186</v>
      </c>
      <c r="AN69">
        <f>IF(VALUE(RIGHT(Таблица23[[#This Row],[фнкция ДА ВКЛ]],1))=Таблица23[[#This Row],[обучающая выборка]],1,0)</f>
        <v>0</v>
      </c>
      <c r="AO69">
        <f>IF(Таблица23[[#This Row],[обучающая выборка]]=Таблица23[[#This Row],[Result forward]],1,0)</f>
        <v>0</v>
      </c>
      <c r="AP69">
        <v>1</v>
      </c>
      <c r="AQ69" t="s">
        <v>187</v>
      </c>
      <c r="AR69">
        <v>39.917000000000002</v>
      </c>
      <c r="AS69">
        <v>1840.952</v>
      </c>
      <c r="AT69">
        <v>99.287000000000006</v>
      </c>
      <c r="AU69">
        <v>50.5</v>
      </c>
      <c r="AV69">
        <v>54.497999999999998</v>
      </c>
      <c r="AW69">
        <f>MIN(Таблица23[[#This Row],[Махал1ВКЛ]:[Махал5ВКл]])</f>
        <v>39.917000000000002</v>
      </c>
      <c r="AX6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9">
        <f>IF(Таблица23[[#This Row],[обучающая выборка]]=Таблица23[[#This Row],[МахаланобисКлассификацияВКЛ]],1,0)</f>
        <v>0</v>
      </c>
      <c r="AZ69" t="s">
        <v>187</v>
      </c>
      <c r="BA69">
        <v>0.99734699999999998</v>
      </c>
      <c r="BB69">
        <v>0</v>
      </c>
      <c r="BC69">
        <v>0</v>
      </c>
      <c r="BD69">
        <v>2.2820000000000002E-3</v>
      </c>
      <c r="BE69">
        <v>3.7100000000000002E-4</v>
      </c>
      <c r="BF69">
        <f>MAX(Таблица23[[#This Row],[АприорВКл1]:[АприорВКл5]])</f>
        <v>0.99734699999999998</v>
      </c>
      <c r="BG6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9">
        <f>IF(Таблица23[[#This Row],[АприорВклКлассификация]]=Таблица23[[#This Row],[обучающая выборка]],1,0)</f>
        <v>0</v>
      </c>
      <c r="BI69" s="21" t="s">
        <v>186</v>
      </c>
      <c r="BJ69" s="21">
        <f>IF(VALUE(RIGHT(Таблица23[[#This Row],[Фунция ДА ИСК]]))=Таблица23[[#This Row],[обучающая выборка]],1,0)</f>
        <v>0</v>
      </c>
      <c r="BK69" s="21">
        <f>IF(Таблица23[[#This Row],[обучающая выборка]]=Таблица23[[#This Row],[Result backward]],1,0)</f>
        <v>0</v>
      </c>
      <c r="BL69" s="21">
        <v>1</v>
      </c>
      <c r="BM69" t="s">
        <v>187</v>
      </c>
      <c r="BN69">
        <v>39.917000000000002</v>
      </c>
      <c r="BO69">
        <v>1840.952</v>
      </c>
      <c r="BP69">
        <v>99.287000000000006</v>
      </c>
      <c r="BQ69">
        <v>50.5</v>
      </c>
      <c r="BR69">
        <v>54.497999999999998</v>
      </c>
      <c r="BS69">
        <f>MIN(Таблица23[[#This Row],[Махал1ИСК]:[Махал5ИСК]])</f>
        <v>39.917000000000002</v>
      </c>
      <c r="BT6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9">
        <f>IF(Таблица23[[#This Row],[МАХАЛ ИСК Классификация]]=Таблица23[[#This Row],[обучающая выборка]],1,0)</f>
        <v>0</v>
      </c>
      <c r="BV69" t="s">
        <v>187</v>
      </c>
      <c r="BW69">
        <v>0.99734699999999998</v>
      </c>
      <c r="BX69">
        <v>0</v>
      </c>
      <c r="BY69">
        <v>0</v>
      </c>
      <c r="BZ69">
        <v>2.2820000000000002E-3</v>
      </c>
      <c r="CA69">
        <v>3.7100000000000002E-4</v>
      </c>
      <c r="CB69">
        <f>MAX(Таблица23[[#This Row],[АприорИСК1]]:Таблица23[[#This Row],[АприорИСК5]])</f>
        <v>0.99734699999999998</v>
      </c>
      <c r="CC6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9">
        <f>IF(Таблица23[[#This Row],[АприорИСК классификация]]=Таблица23[[#This Row],[обучающая выборка]],1,0)</f>
        <v>0</v>
      </c>
      <c r="CE69" s="35">
        <v>1.005869542554052</v>
      </c>
      <c r="CF69" s="35">
        <v>0.28394978208197325</v>
      </c>
      <c r="CG69" s="35">
        <v>0.1004230568284613</v>
      </c>
      <c r="CH69" s="35">
        <v>2</v>
      </c>
      <c r="CI69" s="35">
        <v>4</v>
      </c>
      <c r="CJ69" s="36">
        <v>3</v>
      </c>
      <c r="CK69" s="35">
        <v>1</v>
      </c>
      <c r="CL69" s="36">
        <v>1.0058695425786091</v>
      </c>
      <c r="CM69" s="36">
        <v>0.28394978215717848</v>
      </c>
      <c r="CN69" s="36">
        <v>-0.1004230565450966</v>
      </c>
    </row>
    <row r="70" spans="1:92" x14ac:dyDescent="0.25">
      <c r="A70" s="3" t="s">
        <v>83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SUMXMY2(Таблица23[[#This Row],[X1]:[X9]],Таблица23[[#Totals],[X1]:[X9]])</f>
        <v>3.5881752244898477</v>
      </c>
      <c r="P70" s="20">
        <v>3</v>
      </c>
      <c r="Q70" s="20" t="s">
        <v>188</v>
      </c>
      <c r="R70" s="20">
        <f>IF(VALUE(RIGHT(Таблица23[[#This Row],[функция]],1))=Таблица23[[#This Row],[обучающая выборка]],1,0)</f>
        <v>1</v>
      </c>
      <c r="S70" s="20">
        <f>IF(Таблица23[[#This Row],[обучающая выборка]]=Таблица23[[#This Row],[Result Lda]],1,0)</f>
        <v>1</v>
      </c>
      <c r="T70" s="20">
        <v>3</v>
      </c>
      <c r="U70" s="20" t="s">
        <v>188</v>
      </c>
      <c r="V70" s="20">
        <v>17.384</v>
      </c>
      <c r="W70" s="20">
        <v>2009.903</v>
      </c>
      <c r="X70" s="20">
        <v>7.2130000000000001</v>
      </c>
      <c r="Y70" s="20">
        <v>43.145000000000003</v>
      </c>
      <c r="Z70" s="20">
        <v>24.678999999999998</v>
      </c>
      <c r="AA70" s="20">
        <f>MIN(Таблица23[[#This Row],[Махал1]:[Махал5]])</f>
        <v>7.2130000000000001</v>
      </c>
      <c r="AB7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0" s="20">
        <f>IF(Таблица23[[#This Row],[Махаланобис классификация]]=Таблица23[[#This Row],[обучающая выборка]],1,0)</f>
        <v>1</v>
      </c>
      <c r="AD70" s="21" t="s">
        <v>188</v>
      </c>
      <c r="AE70" s="22">
        <v>1.121062488442014E-2</v>
      </c>
      <c r="AF70" s="22">
        <v>0</v>
      </c>
      <c r="AG70" s="22">
        <v>0.98863001052402899</v>
      </c>
      <c r="AH70" s="22">
        <v>1.2984700945247872E-8</v>
      </c>
      <c r="AI70" s="22">
        <v>1.5935160684985497E-4</v>
      </c>
      <c r="AJ70">
        <f>MAX(Таблица23[[#This Row],[априор1]:[априор5]])</f>
        <v>0.98863001052402899</v>
      </c>
      <c r="AK7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0">
        <f>IF(Таблица23[[#This Row],[обучающая выборка]]=Таблица23[[#This Row],[Априор Классификация]],1,0)</f>
        <v>1</v>
      </c>
      <c r="AM70" t="s">
        <v>188</v>
      </c>
      <c r="AN70">
        <f>IF(VALUE(RIGHT(Таблица23[[#This Row],[фнкция ДА ВКЛ]],1))=Таблица23[[#This Row],[обучающая выборка]],1,0)</f>
        <v>1</v>
      </c>
      <c r="AO70">
        <f>IF(Таблица23[[#This Row],[обучающая выборка]]=Таблица23[[#This Row],[Result forward]],1,0)</f>
        <v>1</v>
      </c>
      <c r="AP70">
        <v>3</v>
      </c>
      <c r="AQ70" t="s">
        <v>188</v>
      </c>
      <c r="AR70">
        <v>15.034000000000001</v>
      </c>
      <c r="AS70">
        <v>1409.9059999999999</v>
      </c>
      <c r="AT70">
        <v>4.5940000000000003</v>
      </c>
      <c r="AU70">
        <v>39.786999999999999</v>
      </c>
      <c r="AV70">
        <v>15.28</v>
      </c>
      <c r="AW70">
        <f>MIN(Таблица23[[#This Row],[Махал1ВКЛ]:[Махал5ВКл]])</f>
        <v>4.5940000000000003</v>
      </c>
      <c r="AX7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0">
        <f>IF(Таблица23[[#This Row],[обучающая выборка]]=Таблица23[[#This Row],[МахаланобисКлассификацияВКЛ]],1,0)</f>
        <v>1</v>
      </c>
      <c r="AZ70" t="s">
        <v>188</v>
      </c>
      <c r="BA70">
        <v>9.7719999999999994E-3</v>
      </c>
      <c r="BB70">
        <v>0</v>
      </c>
      <c r="BC70">
        <v>0.98551500000000003</v>
      </c>
      <c r="BD70">
        <v>0</v>
      </c>
      <c r="BE70">
        <v>4.7130000000000002E-3</v>
      </c>
      <c r="BF70">
        <f>MAX(Таблица23[[#This Row],[АприорВКл1]:[АприорВКл5]])</f>
        <v>0.98551500000000003</v>
      </c>
      <c r="BG7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0">
        <f>IF(Таблица23[[#This Row],[АприорВклКлассификация]]=Таблица23[[#This Row],[обучающая выборка]],1,0)</f>
        <v>1</v>
      </c>
      <c r="BI70" s="21" t="s">
        <v>188</v>
      </c>
      <c r="BJ70" s="21">
        <f>IF(VALUE(RIGHT(Таблица23[[#This Row],[Фунция ДА ИСК]]))=Таблица23[[#This Row],[обучающая выборка]],1,0)</f>
        <v>1</v>
      </c>
      <c r="BK70" s="21">
        <f>IF(Таблица23[[#This Row],[обучающая выборка]]=Таблица23[[#This Row],[Result backward]],1,0)</f>
        <v>1</v>
      </c>
      <c r="BL70" s="21">
        <v>3</v>
      </c>
      <c r="BM70" t="s">
        <v>188</v>
      </c>
      <c r="BN70">
        <v>15.034000000000001</v>
      </c>
      <c r="BO70">
        <v>1409.9059999999999</v>
      </c>
      <c r="BP70">
        <v>4.5940000000000003</v>
      </c>
      <c r="BQ70">
        <v>39.786999999999999</v>
      </c>
      <c r="BR70">
        <v>15.28</v>
      </c>
      <c r="BS70">
        <f>MIN(Таблица23[[#This Row],[Махал1ИСК]:[Махал5ИСК]])</f>
        <v>4.5940000000000003</v>
      </c>
      <c r="BT7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0">
        <f>IF(Таблица23[[#This Row],[МАХАЛ ИСК Классификация]]=Таблица23[[#This Row],[обучающая выборка]],1,0)</f>
        <v>1</v>
      </c>
      <c r="BV70" t="s">
        <v>188</v>
      </c>
      <c r="BW70">
        <v>9.7719999999999994E-3</v>
      </c>
      <c r="BX70">
        <v>0</v>
      </c>
      <c r="BY70">
        <v>0.98551500000000003</v>
      </c>
      <c r="BZ70">
        <v>0</v>
      </c>
      <c r="CA70">
        <v>4.7130000000000002E-3</v>
      </c>
      <c r="CB70">
        <f>MAX(Таблица23[[#This Row],[АприорИСК1]]:Таблица23[[#This Row],[АприорИСК5]])</f>
        <v>0.98551500000000003</v>
      </c>
      <c r="CC7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0">
        <f>IF(Таблица23[[#This Row],[АприорИСК классификация]]=Таблица23[[#This Row],[обучающая выборка]],1,0)</f>
        <v>1</v>
      </c>
      <c r="CE70" s="35">
        <v>-0.33647682232699305</v>
      </c>
      <c r="CF70" s="35">
        <v>-0.75536894841946534</v>
      </c>
      <c r="CG70" s="35">
        <v>0.25948450090691377</v>
      </c>
      <c r="CH70" s="35">
        <v>5</v>
      </c>
      <c r="CI70" s="35">
        <v>2</v>
      </c>
      <c r="CJ70" s="36">
        <v>1</v>
      </c>
      <c r="CK70" s="35">
        <v>3</v>
      </c>
      <c r="CL70" s="36">
        <v>-0.33647682248582689</v>
      </c>
      <c r="CM70" s="36">
        <v>-0.75536894853489056</v>
      </c>
      <c r="CN70" s="36">
        <v>-0.25948450091003222</v>
      </c>
    </row>
    <row r="71" spans="1:92" x14ac:dyDescent="0.25">
      <c r="A71" s="3" t="s">
        <v>84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SUMXMY2(Таблица23[[#This Row],[X1]:[X9]],Таблица23[[#Totals],[X1]:[X9]])</f>
        <v>9.5205337454338803</v>
      </c>
      <c r="P71" s="20"/>
      <c r="Q71" s="20" t="s">
        <v>190</v>
      </c>
      <c r="R71" s="20">
        <f>IF(VALUE(RIGHT(Таблица23[[#This Row],[функция]],1))=Таблица23[[#This Row],[обучающая выборка]],1,0)</f>
        <v>0</v>
      </c>
      <c r="S71" s="20">
        <f>IF(Таблица23[[#This Row],[обучающая выборка]]=Таблица23[[#This Row],[Result Lda]],1,0)</f>
        <v>0</v>
      </c>
      <c r="T71" s="20">
        <v>4</v>
      </c>
      <c r="U71" s="20" t="s">
        <v>187</v>
      </c>
      <c r="V71" s="20">
        <v>45.719000000000001</v>
      </c>
      <c r="W71" s="20">
        <v>1988.4649999999999</v>
      </c>
      <c r="X71" s="20">
        <v>52.709000000000003</v>
      </c>
      <c r="Y71" s="20">
        <v>22.652000000000001</v>
      </c>
      <c r="Z71" s="20">
        <v>74.748999999999995</v>
      </c>
      <c r="AA71" s="20">
        <f>MIN(Таблица23[[#This Row],[Махал1]:[Махал5]])</f>
        <v>22.652000000000001</v>
      </c>
      <c r="AB7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71" s="20">
        <f>IF(Таблица23[[#This Row],[Махаланобис классификация]]=Таблица23[[#This Row],[обучающая выборка]],1,0)</f>
        <v>0</v>
      </c>
      <c r="AD71" s="21" t="s">
        <v>187</v>
      </c>
      <c r="AE71" s="22">
        <v>2.1548259802510425E-5</v>
      </c>
      <c r="AF71" s="22">
        <v>0</v>
      </c>
      <c r="AG71" s="22">
        <v>3.5669854991789042E-7</v>
      </c>
      <c r="AH71" s="22">
        <v>0.99997809503580881</v>
      </c>
      <c r="AI71" s="22">
        <v>5.838918029663246E-12</v>
      </c>
      <c r="AJ71">
        <f>MAX(Таблица23[[#This Row],[априор1]:[априор5]])</f>
        <v>0.99997809503580881</v>
      </c>
      <c r="AK7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71">
        <f>IF(Таблица23[[#This Row],[обучающая выборка]]=Таблица23[[#This Row],[Априор Классификация]],1,0)</f>
        <v>0</v>
      </c>
      <c r="AM71" t="s">
        <v>190</v>
      </c>
      <c r="AN71">
        <f>IF(VALUE(RIGHT(Таблица23[[#This Row],[фнкция ДА ВКЛ]],1))=Таблица23[[#This Row],[обучающая выборка]],1,0)</f>
        <v>0</v>
      </c>
      <c r="AO71">
        <f>IF(Таблица23[[#This Row],[обучающая выборка]]=Таблица23[[#This Row],[Result forward]],1,0)</f>
        <v>0</v>
      </c>
      <c r="AP71">
        <v>4</v>
      </c>
      <c r="AQ71" t="s">
        <v>187</v>
      </c>
      <c r="AR71">
        <v>7.1680000000000001</v>
      </c>
      <c r="AS71">
        <v>1458.2070000000001</v>
      </c>
      <c r="AT71">
        <v>34.840000000000003</v>
      </c>
      <c r="AU71">
        <v>1.1619999999999999</v>
      </c>
      <c r="AV71">
        <v>31.888000000000002</v>
      </c>
      <c r="AW71">
        <f>MIN(Таблица23[[#This Row],[Махал1ВКЛ]:[Махал5ВКл]])</f>
        <v>1.1619999999999999</v>
      </c>
      <c r="AX7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71">
        <f>IF(Таблица23[[#This Row],[обучающая выборка]]=Таблица23[[#This Row],[МахаланобисКлассификацияВКЛ]],1,0)</f>
        <v>0</v>
      </c>
      <c r="AZ71" t="s">
        <v>187</v>
      </c>
      <c r="BA71">
        <v>9.8447000000000007E-2</v>
      </c>
      <c r="BB71">
        <v>0</v>
      </c>
      <c r="BC71">
        <v>0</v>
      </c>
      <c r="BD71">
        <v>0.90155300000000005</v>
      </c>
      <c r="BE71">
        <v>0</v>
      </c>
      <c r="BF71">
        <f>MAX(Таблица23[[#This Row],[АприорВКл1]:[АприорВКл5]])</f>
        <v>0.90155300000000005</v>
      </c>
      <c r="BG7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71">
        <f>IF(Таблица23[[#This Row],[АприорВклКлассификация]]=Таблица23[[#This Row],[обучающая выборка]],1,0)</f>
        <v>0</v>
      </c>
      <c r="BI71" s="21" t="s">
        <v>190</v>
      </c>
      <c r="BJ71" s="21">
        <f>IF(VALUE(RIGHT(Таблица23[[#This Row],[Фунция ДА ИСК]]))=Таблица23[[#This Row],[обучающая выборка]],1,0)</f>
        <v>0</v>
      </c>
      <c r="BK71" s="21">
        <f>IF(Таблица23[[#This Row],[обучающая выборка]]=Таблица23[[#This Row],[Result backward]],1,0)</f>
        <v>0</v>
      </c>
      <c r="BL71" s="21">
        <v>4</v>
      </c>
      <c r="BM71" t="s">
        <v>187</v>
      </c>
      <c r="BN71">
        <v>7.1680000000000001</v>
      </c>
      <c r="BO71">
        <v>1458.2070000000001</v>
      </c>
      <c r="BP71">
        <v>34.840000000000003</v>
      </c>
      <c r="BQ71">
        <v>1.1619999999999999</v>
      </c>
      <c r="BR71">
        <v>31.888000000000002</v>
      </c>
      <c r="BS71">
        <f>MIN(Таблица23[[#This Row],[Махал1ИСК]:[Махал5ИСК]])</f>
        <v>1.1619999999999999</v>
      </c>
      <c r="BT7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71">
        <f>IF(Таблица23[[#This Row],[МАХАЛ ИСК Классификация]]=Таблица23[[#This Row],[обучающая выборка]],1,0)</f>
        <v>0</v>
      </c>
      <c r="BV71" t="s">
        <v>187</v>
      </c>
      <c r="BW71">
        <v>9.8447000000000007E-2</v>
      </c>
      <c r="BX71">
        <v>0</v>
      </c>
      <c r="BY71">
        <v>0</v>
      </c>
      <c r="BZ71">
        <v>0.90155300000000005</v>
      </c>
      <c r="CA71">
        <v>0</v>
      </c>
      <c r="CB71">
        <f>MAX(Таблица23[[#This Row],[АприорИСК1]]:Таблица23[[#This Row],[АприорИСК5]])</f>
        <v>0.90155300000000005</v>
      </c>
      <c r="CC7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71">
        <f>IF(Таблица23[[#This Row],[АприорИСК классификация]]=Таблица23[[#This Row],[обучающая выборка]],1,0)</f>
        <v>0</v>
      </c>
      <c r="CE71" s="35">
        <v>1.2324174071738814</v>
      </c>
      <c r="CF71" s="35">
        <v>0.3351483900230432</v>
      </c>
      <c r="CG71" s="35">
        <v>1.3396653136792993</v>
      </c>
      <c r="CH71" s="35">
        <v>5</v>
      </c>
      <c r="CI71" s="35">
        <v>4</v>
      </c>
      <c r="CJ71" s="36">
        <v>3</v>
      </c>
      <c r="CK71" s="35">
        <v>1</v>
      </c>
      <c r="CL71" s="36">
        <v>1.232417407198575</v>
      </c>
      <c r="CM71" s="36">
        <v>0.33514839000700969</v>
      </c>
      <c r="CN71" s="36">
        <v>-1.339665313277528</v>
      </c>
    </row>
    <row r="72" spans="1:92" x14ac:dyDescent="0.25">
      <c r="A72" s="3" t="s">
        <v>85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SUMXMY2(Таблица23[[#This Row],[X1]:[X9]],Таблица23[[#Totals],[X1]:[X9]])</f>
        <v>12.759749014360002</v>
      </c>
      <c r="P72" s="20"/>
      <c r="Q72" s="20" t="s">
        <v>188</v>
      </c>
      <c r="R72" s="20">
        <f>IF(VALUE(RIGHT(Таблица23[[#This Row],[функция]],1))=Таблица23[[#This Row],[обучающая выборка]],1,0)</f>
        <v>0</v>
      </c>
      <c r="S72" s="20">
        <f>IF(Таблица23[[#This Row],[обучающая выборка]]=Таблица23[[#This Row],[Result Lda]],1,0)</f>
        <v>0</v>
      </c>
      <c r="T72" s="20">
        <v>3</v>
      </c>
      <c r="U72" s="20" t="s">
        <v>187</v>
      </c>
      <c r="V72" s="20">
        <v>70.456999999999994</v>
      </c>
      <c r="W72" s="20">
        <v>2055.5250000000001</v>
      </c>
      <c r="X72" s="20">
        <v>67.3</v>
      </c>
      <c r="Y72" s="20">
        <v>84.21</v>
      </c>
      <c r="Z72" s="20">
        <v>112.93899999999999</v>
      </c>
      <c r="AA72" s="20">
        <f>MIN(Таблица23[[#This Row],[Махал1]:[Махал5]])</f>
        <v>67.3</v>
      </c>
      <c r="AB7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2" s="20">
        <f>IF(Таблица23[[#This Row],[Махаланобис классификация]]=Таблица23[[#This Row],[обучающая выборка]],1,0)</f>
        <v>0</v>
      </c>
      <c r="AD72" s="21" t="s">
        <v>187</v>
      </c>
      <c r="AE72" s="22">
        <v>0.27433510973863534</v>
      </c>
      <c r="AF72" s="22">
        <v>0</v>
      </c>
      <c r="AG72" s="22">
        <v>0.72553624272971129</v>
      </c>
      <c r="AH72" s="22">
        <v>1.2864744248060735E-4</v>
      </c>
      <c r="AI72" s="22">
        <v>8.9172647871702042E-11</v>
      </c>
      <c r="AJ72">
        <f>MAX(Таблица23[[#This Row],[априор1]:[априор5]])</f>
        <v>0.72553624272971129</v>
      </c>
      <c r="AK7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2">
        <f>IF(Таблица23[[#This Row],[обучающая выборка]]=Таблица23[[#This Row],[Априор Классификация]],1,0)</f>
        <v>0</v>
      </c>
      <c r="AM72" t="s">
        <v>188</v>
      </c>
      <c r="AN72">
        <f>IF(VALUE(RIGHT(Таблица23[[#This Row],[фнкция ДА ВКЛ]],1))=Таблица23[[#This Row],[обучающая выборка]],1,0)</f>
        <v>0</v>
      </c>
      <c r="AO72">
        <f>IF(Таблица23[[#This Row],[обучающая выборка]]=Таблица23[[#This Row],[Result forward]],1,0)</f>
        <v>0</v>
      </c>
      <c r="AP72">
        <v>3</v>
      </c>
      <c r="AQ72" t="s">
        <v>187</v>
      </c>
      <c r="AR72">
        <v>39.698</v>
      </c>
      <c r="AS72">
        <v>1354.54</v>
      </c>
      <c r="AT72">
        <v>23.088000000000001</v>
      </c>
      <c r="AU72">
        <v>42.353000000000002</v>
      </c>
      <c r="AV72">
        <v>67.078000000000003</v>
      </c>
      <c r="AW72">
        <f>MIN(Таблица23[[#This Row],[Махал1ВКЛ]:[Махал5ВКл]])</f>
        <v>23.088000000000001</v>
      </c>
      <c r="AX7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2">
        <f>IF(Таблица23[[#This Row],[обучающая выборка]]=Таблица23[[#This Row],[МахаланобисКлассификацияВКЛ]],1,0)</f>
        <v>0</v>
      </c>
      <c r="AZ72" t="s">
        <v>187</v>
      </c>
      <c r="BA72">
        <v>4.5300000000000001E-4</v>
      </c>
      <c r="BB72">
        <v>0</v>
      </c>
      <c r="BC72">
        <v>0.99949200000000005</v>
      </c>
      <c r="BD72">
        <v>5.5000000000000002E-5</v>
      </c>
      <c r="BE72">
        <v>0</v>
      </c>
      <c r="BF72">
        <f>MAX(Таблица23[[#This Row],[АприорВКл1]:[АприорВКл5]])</f>
        <v>0.99949200000000005</v>
      </c>
      <c r="BG7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2">
        <f>IF(Таблица23[[#This Row],[АприорВклКлассификация]]=Таблица23[[#This Row],[обучающая выборка]],1,0)</f>
        <v>0</v>
      </c>
      <c r="BI72" s="21" t="s">
        <v>188</v>
      </c>
      <c r="BJ72" s="21">
        <f>IF(VALUE(RIGHT(Таблица23[[#This Row],[Фунция ДА ИСК]]))=Таблица23[[#This Row],[обучающая выборка]],1,0)</f>
        <v>0</v>
      </c>
      <c r="BK72" s="21">
        <f>IF(Таблица23[[#This Row],[обучающая выборка]]=Таблица23[[#This Row],[Result backward]],1,0)</f>
        <v>0</v>
      </c>
      <c r="BL72" s="21">
        <v>3</v>
      </c>
      <c r="BM72" t="s">
        <v>187</v>
      </c>
      <c r="BN72">
        <v>39.698</v>
      </c>
      <c r="BO72">
        <v>1354.54</v>
      </c>
      <c r="BP72">
        <v>23.088000000000001</v>
      </c>
      <c r="BQ72">
        <v>42.353000000000002</v>
      </c>
      <c r="BR72">
        <v>67.078000000000003</v>
      </c>
      <c r="BS72">
        <f>MIN(Таблица23[[#This Row],[Махал1ИСК]:[Махал5ИСК]])</f>
        <v>23.088000000000001</v>
      </c>
      <c r="BT7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2">
        <f>IF(Таблица23[[#This Row],[МАХАЛ ИСК Классификация]]=Таблица23[[#This Row],[обучающая выборка]],1,0)</f>
        <v>0</v>
      </c>
      <c r="BV72" t="s">
        <v>187</v>
      </c>
      <c r="BW72">
        <v>4.5300000000000001E-4</v>
      </c>
      <c r="BX72">
        <v>0</v>
      </c>
      <c r="BY72">
        <v>0.99949200000000005</v>
      </c>
      <c r="BZ72">
        <v>5.5000000000000002E-5</v>
      </c>
      <c r="CA72">
        <v>0</v>
      </c>
      <c r="CB72">
        <f>MAX(Таблица23[[#This Row],[АприорИСК1]]:Таблица23[[#This Row],[АприорИСК5]])</f>
        <v>0.99949200000000005</v>
      </c>
      <c r="CC7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2">
        <f>IF(Таблица23[[#This Row],[АприорИСК классификация]]=Таблица23[[#This Row],[обучающая выборка]],1,0)</f>
        <v>0</v>
      </c>
      <c r="CE72" s="35">
        <v>3.5346049848015801E-2</v>
      </c>
      <c r="CF72" s="35">
        <v>-1.0143922311683753</v>
      </c>
      <c r="CG72" s="35">
        <v>0.79590443132256095</v>
      </c>
      <c r="CH72" s="35">
        <v>5</v>
      </c>
      <c r="CI72" s="35">
        <v>2</v>
      </c>
      <c r="CJ72" s="36">
        <v>1</v>
      </c>
      <c r="CK72" s="35">
        <v>5</v>
      </c>
      <c r="CL72" s="36">
        <v>3.5346049739769327E-2</v>
      </c>
      <c r="CM72" s="36">
        <v>-1.014392231221714</v>
      </c>
      <c r="CN72" s="36">
        <v>-0.79590443150407275</v>
      </c>
    </row>
    <row r="73" spans="1:92" x14ac:dyDescent="0.25">
      <c r="A73" s="3" t="s">
        <v>86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SUMXMY2(Таблица23[[#This Row],[X1]:[X9]],Таблица23[[#Totals],[X1]:[X9]])</f>
        <v>5.9765761239321273</v>
      </c>
      <c r="P73" s="20"/>
      <c r="Q73" s="20" t="s">
        <v>188</v>
      </c>
      <c r="R73" s="20">
        <f>IF(VALUE(RIGHT(Таблица23[[#This Row],[функция]],1))=Таблица23[[#This Row],[обучающая выборка]],1,0)</f>
        <v>0</v>
      </c>
      <c r="S73" s="20">
        <f>IF(Таблица23[[#This Row],[обучающая выборка]]=Таблица23[[#This Row],[Result Lda]],1,0)</f>
        <v>0</v>
      </c>
      <c r="T73" s="20">
        <v>3</v>
      </c>
      <c r="U73" s="20" t="s">
        <v>187</v>
      </c>
      <c r="V73" s="20">
        <v>44.219000000000001</v>
      </c>
      <c r="W73" s="20">
        <v>1881.694</v>
      </c>
      <c r="X73" s="20">
        <v>14.106999999999999</v>
      </c>
      <c r="Y73" s="20">
        <v>71.558000000000007</v>
      </c>
      <c r="Z73" s="20">
        <v>23.684999999999999</v>
      </c>
      <c r="AA73" s="20">
        <f>MIN(Таблица23[[#This Row],[Махал1]:[Махал5]])</f>
        <v>14.106999999999999</v>
      </c>
      <c r="AB7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3" s="20">
        <f>IF(Таблица23[[#This Row],[Махаланобис классификация]]=Таблица23[[#This Row],[обучающая выборка]],1,0)</f>
        <v>0</v>
      </c>
      <c r="AD73" s="21" t="s">
        <v>187</v>
      </c>
      <c r="AE73" s="22">
        <v>5.258439762227887E-7</v>
      </c>
      <c r="AF73" s="22">
        <v>0</v>
      </c>
      <c r="AG73" s="22">
        <v>0.99175016323637677</v>
      </c>
      <c r="AH73" s="22">
        <v>2.7659252845735377E-13</v>
      </c>
      <c r="AI73" s="22">
        <v>8.2493109193702476E-3</v>
      </c>
      <c r="AJ73">
        <f>MAX(Таблица23[[#This Row],[априор1]:[априор5]])</f>
        <v>0.99175016323637677</v>
      </c>
      <c r="AK7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3">
        <f>IF(Таблица23[[#This Row],[обучающая выборка]]=Таблица23[[#This Row],[Априор Классификация]],1,0)</f>
        <v>0</v>
      </c>
      <c r="AM73" t="s">
        <v>188</v>
      </c>
      <c r="AN73">
        <f>IF(VALUE(RIGHT(Таблица23[[#This Row],[фнкция ДА ВКЛ]],1))=Таблица23[[#This Row],[обучающая выборка]],1,0)</f>
        <v>0</v>
      </c>
      <c r="AO73">
        <f>IF(Таблица23[[#This Row],[обучающая выборка]]=Таблица23[[#This Row],[Result forward]],1,0)</f>
        <v>0</v>
      </c>
      <c r="AP73">
        <v>3</v>
      </c>
      <c r="AQ73" t="s">
        <v>187</v>
      </c>
      <c r="AR73">
        <v>31.305</v>
      </c>
      <c r="AS73">
        <v>1354.001</v>
      </c>
      <c r="AT73">
        <v>5.67</v>
      </c>
      <c r="AU73">
        <v>58.13</v>
      </c>
      <c r="AV73">
        <v>18.445</v>
      </c>
      <c r="AW73">
        <f>MIN(Таблица23[[#This Row],[Махал1ВКЛ]:[Махал5ВКл]])</f>
        <v>5.67</v>
      </c>
      <c r="AX7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3">
        <f>IF(Таблица23[[#This Row],[обучающая выборка]]=Таблица23[[#This Row],[МахаланобисКлассификацияВКЛ]],1,0)</f>
        <v>0</v>
      </c>
      <c r="AZ73" t="s">
        <v>187</v>
      </c>
      <c r="BA73">
        <v>5.0000000000000004E-6</v>
      </c>
      <c r="BB73">
        <v>0</v>
      </c>
      <c r="BC73">
        <v>0.99831499999999995</v>
      </c>
      <c r="BD73">
        <v>0</v>
      </c>
      <c r="BE73">
        <v>1.6800000000000001E-3</v>
      </c>
      <c r="BF73">
        <f>MAX(Таблица23[[#This Row],[АприорВКл1]:[АприорВКл5]])</f>
        <v>0.99831499999999995</v>
      </c>
      <c r="BG7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3">
        <f>IF(Таблица23[[#This Row],[АприорВклКлассификация]]=Таблица23[[#This Row],[обучающая выборка]],1,0)</f>
        <v>0</v>
      </c>
      <c r="BI73" s="21" t="s">
        <v>188</v>
      </c>
      <c r="BJ73" s="21">
        <f>IF(VALUE(RIGHT(Таблица23[[#This Row],[Фунция ДА ИСК]]))=Таблица23[[#This Row],[обучающая выборка]],1,0)</f>
        <v>0</v>
      </c>
      <c r="BK73" s="21">
        <f>IF(Таблица23[[#This Row],[обучающая выборка]]=Таблица23[[#This Row],[Result backward]],1,0)</f>
        <v>0</v>
      </c>
      <c r="BL73" s="21">
        <v>3</v>
      </c>
      <c r="BM73" t="s">
        <v>187</v>
      </c>
      <c r="BN73">
        <v>31.305</v>
      </c>
      <c r="BO73">
        <v>1354.001</v>
      </c>
      <c r="BP73">
        <v>5.67</v>
      </c>
      <c r="BQ73">
        <v>58.13</v>
      </c>
      <c r="BR73">
        <v>18.445</v>
      </c>
      <c r="BS73">
        <f>MIN(Таблица23[[#This Row],[Махал1ИСК]:[Махал5ИСК]])</f>
        <v>5.67</v>
      </c>
      <c r="BT7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3">
        <f>IF(Таблица23[[#This Row],[МАХАЛ ИСК Классификация]]=Таблица23[[#This Row],[обучающая выборка]],1,0)</f>
        <v>0</v>
      </c>
      <c r="BV73" t="s">
        <v>187</v>
      </c>
      <c r="BW73">
        <v>5.0000000000000004E-6</v>
      </c>
      <c r="BX73">
        <v>0</v>
      </c>
      <c r="BY73">
        <v>0.99831499999999995</v>
      </c>
      <c r="BZ73">
        <v>0</v>
      </c>
      <c r="CA73">
        <v>1.6800000000000001E-3</v>
      </c>
      <c r="CB73">
        <f>MAX(Таблица23[[#This Row],[АприорИСК1]]:Таблица23[[#This Row],[АприорИСК5]])</f>
        <v>0.99831499999999995</v>
      </c>
      <c r="CC7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3">
        <f>IF(Таблица23[[#This Row],[АприорИСК классификация]]=Таблица23[[#This Row],[обучающая выборка]],1,0)</f>
        <v>0</v>
      </c>
      <c r="CE73" s="35">
        <v>-0.62846576532602727</v>
      </c>
      <c r="CF73" s="35">
        <v>-0.98018553615211512</v>
      </c>
      <c r="CG73" s="35">
        <v>0.31044232735904581</v>
      </c>
      <c r="CH73" s="35">
        <v>2</v>
      </c>
      <c r="CI73" s="35">
        <v>2</v>
      </c>
      <c r="CJ73" s="36">
        <v>1</v>
      </c>
      <c r="CK73" s="35">
        <v>5</v>
      </c>
      <c r="CL73" s="36">
        <v>-0.62846576545829536</v>
      </c>
      <c r="CM73" s="36">
        <v>-0.98018553618716364</v>
      </c>
      <c r="CN73" s="36">
        <v>-0.31044232734965183</v>
      </c>
    </row>
    <row r="74" spans="1:92" x14ac:dyDescent="0.25">
      <c r="A74" s="3" t="s">
        <v>87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SUMXMY2(Таблица23[[#This Row],[X1]:[X9]],Таблица23[[#Totals],[X1]:[X9]])</f>
        <v>15.773996885338644</v>
      </c>
      <c r="P74" s="20"/>
      <c r="Q74" s="20" t="s">
        <v>190</v>
      </c>
      <c r="R74" s="20">
        <f>IF(VALUE(RIGHT(Таблица23[[#This Row],[функция]],1))=Таблица23[[#This Row],[обучающая выборка]],1,0)</f>
        <v>0</v>
      </c>
      <c r="S74" s="20">
        <f>IF(Таблица23[[#This Row],[обучающая выборка]]=Таблица23[[#This Row],[Result Lda]],1,0)</f>
        <v>0</v>
      </c>
      <c r="T74" s="20">
        <v>4</v>
      </c>
      <c r="U74" s="20" t="s">
        <v>187</v>
      </c>
      <c r="V74" s="20">
        <v>156.251</v>
      </c>
      <c r="W74" s="20">
        <v>1781.0070000000001</v>
      </c>
      <c r="X74" s="20">
        <v>223.31100000000001</v>
      </c>
      <c r="Y74" s="20">
        <v>148.279</v>
      </c>
      <c r="Z74" s="20">
        <v>238.35400000000001</v>
      </c>
      <c r="AA74" s="20">
        <f>MIN(Таблица23[[#This Row],[Махал1]:[Махал5]])</f>
        <v>148.279</v>
      </c>
      <c r="AB7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74" s="20">
        <f>IF(Таблица23[[#This Row],[Махаланобис классификация]]=Таблица23[[#This Row],[обучающая выборка]],1,0)</f>
        <v>0</v>
      </c>
      <c r="AD74" s="21" t="s">
        <v>187</v>
      </c>
      <c r="AE74" s="22">
        <v>3.9246417632165374E-2</v>
      </c>
      <c r="AF74" s="22">
        <v>0</v>
      </c>
      <c r="AG74" s="22">
        <v>5.870243884658553E-17</v>
      </c>
      <c r="AH74" s="22">
        <v>0.96075358236783448</v>
      </c>
      <c r="AI74" s="22">
        <v>3.1790492478362231E-20</v>
      </c>
      <c r="AJ74">
        <f>MAX(Таблица23[[#This Row],[априор1]:[априор5]])</f>
        <v>0.96075358236783448</v>
      </c>
      <c r="AK7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74">
        <f>IF(Таблица23[[#This Row],[обучающая выборка]]=Таблица23[[#This Row],[Априор Классификация]],1,0)</f>
        <v>0</v>
      </c>
      <c r="AM74" t="s">
        <v>186</v>
      </c>
      <c r="AN74">
        <f>IF(VALUE(RIGHT(Таблица23[[#This Row],[фнкция ДА ВКЛ]],1))=Таблица23[[#This Row],[обучающая выборка]],1,0)</f>
        <v>0</v>
      </c>
      <c r="AO74">
        <f>IF(Таблица23[[#This Row],[обучающая выборка]]=Таблица23[[#This Row],[Result forward]],1,0)</f>
        <v>0</v>
      </c>
      <c r="AP74">
        <v>4</v>
      </c>
      <c r="AQ74" t="s">
        <v>187</v>
      </c>
      <c r="AR74">
        <v>134.286</v>
      </c>
      <c r="AS74">
        <v>1071.24</v>
      </c>
      <c r="AT74">
        <v>198.05799999999999</v>
      </c>
      <c r="AU74">
        <v>133.398</v>
      </c>
      <c r="AV74">
        <v>181.49199999999999</v>
      </c>
      <c r="AW74">
        <f>MIN(Таблица23[[#This Row],[Махал1ВКЛ]:[Махал5ВКл]])</f>
        <v>133.398</v>
      </c>
      <c r="AX7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74">
        <f>IF(Таблица23[[#This Row],[обучающая выборка]]=Таблица23[[#This Row],[МахаланобисКлассификацияВКЛ]],1,0)</f>
        <v>0</v>
      </c>
      <c r="AZ74" t="s">
        <v>187</v>
      </c>
      <c r="BA74">
        <v>0.58517699999999995</v>
      </c>
      <c r="BB74">
        <v>0</v>
      </c>
      <c r="BC74">
        <v>0</v>
      </c>
      <c r="BD74">
        <v>0.414823</v>
      </c>
      <c r="BE74">
        <v>0</v>
      </c>
      <c r="BF74">
        <f>MAX(Таблица23[[#This Row],[АприорВКл1]:[АприорВКл5]])</f>
        <v>0.58517699999999995</v>
      </c>
      <c r="BG7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74">
        <f>IF(Таблица23[[#This Row],[АприорВклКлассификация]]=Таблица23[[#This Row],[обучающая выборка]],1,0)</f>
        <v>0</v>
      </c>
      <c r="BI74" s="21" t="s">
        <v>186</v>
      </c>
      <c r="BJ74" s="21">
        <f>IF(VALUE(RIGHT(Таблица23[[#This Row],[Фунция ДА ИСК]]))=Таблица23[[#This Row],[обучающая выборка]],1,0)</f>
        <v>0</v>
      </c>
      <c r="BK74" s="21">
        <f>IF(Таблица23[[#This Row],[обучающая выборка]]=Таблица23[[#This Row],[Result backward]],1,0)</f>
        <v>0</v>
      </c>
      <c r="BL74" s="21">
        <v>4</v>
      </c>
      <c r="BM74" t="s">
        <v>187</v>
      </c>
      <c r="BN74">
        <v>134.286</v>
      </c>
      <c r="BO74">
        <v>1071.24</v>
      </c>
      <c r="BP74">
        <v>198.05799999999999</v>
      </c>
      <c r="BQ74">
        <v>133.398</v>
      </c>
      <c r="BR74">
        <v>181.49199999999999</v>
      </c>
      <c r="BS74">
        <f>MIN(Таблица23[[#This Row],[Махал1ИСК]:[Махал5ИСК]])</f>
        <v>133.398</v>
      </c>
      <c r="BT7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74">
        <f>IF(Таблица23[[#This Row],[МАХАЛ ИСК Классификация]]=Таблица23[[#This Row],[обучающая выборка]],1,0)</f>
        <v>0</v>
      </c>
      <c r="BV74" t="s">
        <v>187</v>
      </c>
      <c r="BW74">
        <v>0.58517699999999995</v>
      </c>
      <c r="BX74">
        <v>0</v>
      </c>
      <c r="BY74">
        <v>0</v>
      </c>
      <c r="BZ74">
        <v>0.414823</v>
      </c>
      <c r="CA74">
        <v>0</v>
      </c>
      <c r="CB74">
        <f>MAX(Таблица23[[#This Row],[АприорИСК1]]:Таблица23[[#This Row],[АприорИСК5]])</f>
        <v>0.58517699999999995</v>
      </c>
      <c r="CC7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74">
        <f>IF(Таблица23[[#This Row],[АприорИСК классификация]]=Таблица23[[#This Row],[обучающая выборка]],1,0)</f>
        <v>0</v>
      </c>
      <c r="CE74" s="35">
        <v>0.80174717802825035</v>
      </c>
      <c r="CF74" s="35">
        <v>0.78746018549289243</v>
      </c>
      <c r="CG74" s="35">
        <v>1.0302156035920054</v>
      </c>
      <c r="CH74" s="35">
        <v>2</v>
      </c>
      <c r="CI74" s="35">
        <v>4</v>
      </c>
      <c r="CJ74" s="36">
        <v>3</v>
      </c>
      <c r="CK74" s="35">
        <v>1</v>
      </c>
      <c r="CL74" s="36">
        <v>0.80174717785003125</v>
      </c>
      <c r="CM74" s="36">
        <v>0.78746018521439909</v>
      </c>
      <c r="CN74" s="36">
        <v>-1.030215603450487</v>
      </c>
    </row>
    <row r="75" spans="1:92" x14ac:dyDescent="0.25">
      <c r="A75" s="3" t="s">
        <v>88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SUMXMY2(Таблица23[[#This Row],[X1]:[X9]],Таблица23[[#Totals],[X1]:[X9]])</f>
        <v>3.8641824298753433</v>
      </c>
      <c r="P75" s="20"/>
      <c r="Q75" s="20" t="s">
        <v>188</v>
      </c>
      <c r="R75" s="20">
        <f>IF(VALUE(RIGHT(Таблица23[[#This Row],[функция]],1))=Таблица23[[#This Row],[обучающая выборка]],1,0)</f>
        <v>0</v>
      </c>
      <c r="S75" s="20">
        <f>IF(Таблица23[[#This Row],[обучающая выборка]]=Таблица23[[#This Row],[Result Lda]],1,0)</f>
        <v>0</v>
      </c>
      <c r="T75" s="20">
        <v>1</v>
      </c>
      <c r="U75" s="20" t="s">
        <v>187</v>
      </c>
      <c r="V75" s="20">
        <v>42.475999999999999</v>
      </c>
      <c r="W75" s="20">
        <v>1886.26</v>
      </c>
      <c r="X75" s="20">
        <v>31.523</v>
      </c>
      <c r="Y75" s="20">
        <v>52.456000000000003</v>
      </c>
      <c r="Z75" s="20">
        <v>32.926000000000002</v>
      </c>
      <c r="AA75" s="20">
        <f>MIN(Таблица23[[#This Row],[Махал1]:[Махал5]])</f>
        <v>31.523</v>
      </c>
      <c r="AB7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5" s="20">
        <f>IF(Таблица23[[#This Row],[Махаланобис классификация]]=Таблица23[[#This Row],[обучающая выборка]],1,0)</f>
        <v>0</v>
      </c>
      <c r="AD75" s="21" t="s">
        <v>187</v>
      </c>
      <c r="AE75" s="22">
        <v>5.099608027147126E-3</v>
      </c>
      <c r="AF75" s="22">
        <v>0</v>
      </c>
      <c r="AG75" s="22">
        <v>0.66512167812411782</v>
      </c>
      <c r="AH75" s="22">
        <v>1.578039727218072E-5</v>
      </c>
      <c r="AI75" s="22">
        <v>0.32976293345146274</v>
      </c>
      <c r="AJ75">
        <f>MAX(Таблица23[[#This Row],[априор1]:[априор5]])</f>
        <v>0.66512167812411782</v>
      </c>
      <c r="AK7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5">
        <f>IF(Таблица23[[#This Row],[обучающая выборка]]=Таблица23[[#This Row],[Априор Классификация]],1,0)</f>
        <v>0</v>
      </c>
      <c r="AM75" t="s">
        <v>186</v>
      </c>
      <c r="AN75">
        <f>IF(VALUE(RIGHT(Таблица23[[#This Row],[фнкция ДА ВКЛ]],1))=Таблица23[[#This Row],[обучающая выборка]],1,0)</f>
        <v>0</v>
      </c>
      <c r="AO75">
        <f>IF(Таблица23[[#This Row],[обучающая выборка]]=Таблица23[[#This Row],[Result forward]],1,0)</f>
        <v>0</v>
      </c>
      <c r="AP75">
        <v>1</v>
      </c>
      <c r="AQ75" t="s">
        <v>187</v>
      </c>
      <c r="AR75">
        <v>6.298</v>
      </c>
      <c r="AS75">
        <v>1385.6590000000001</v>
      </c>
      <c r="AT75">
        <v>12.68</v>
      </c>
      <c r="AU75">
        <v>23.581</v>
      </c>
      <c r="AV75">
        <v>10.49</v>
      </c>
      <c r="AW75">
        <f>MIN(Таблица23[[#This Row],[Махал1ВКЛ]:[Махал5ВКл]])</f>
        <v>6.298</v>
      </c>
      <c r="AX7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75">
        <f>IF(Таблица23[[#This Row],[обучающая выборка]]=Таблица23[[#This Row],[МахаланобисКлассификацияВКЛ]],1,0)</f>
        <v>0</v>
      </c>
      <c r="AZ75" t="s">
        <v>187</v>
      </c>
      <c r="BA75">
        <v>0.91778400000000004</v>
      </c>
      <c r="BB75">
        <v>0</v>
      </c>
      <c r="BC75">
        <v>2.0589E-2</v>
      </c>
      <c r="BD75">
        <v>7.3999999999999996E-5</v>
      </c>
      <c r="BE75">
        <v>6.1553999999999998E-2</v>
      </c>
      <c r="BF75">
        <f>MAX(Таблица23[[#This Row],[АприорВКл1]:[АприорВКл5]])</f>
        <v>0.91778400000000004</v>
      </c>
      <c r="BG7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75">
        <f>IF(Таблица23[[#This Row],[АприорВклКлассификация]]=Таблица23[[#This Row],[обучающая выборка]],1,0)</f>
        <v>0</v>
      </c>
      <c r="BI75" s="21" t="s">
        <v>186</v>
      </c>
      <c r="BJ75" s="21">
        <f>IF(VALUE(RIGHT(Таблица23[[#This Row],[Фунция ДА ИСК]]))=Таблица23[[#This Row],[обучающая выборка]],1,0)</f>
        <v>0</v>
      </c>
      <c r="BK75" s="21">
        <f>IF(Таблица23[[#This Row],[обучающая выборка]]=Таблица23[[#This Row],[Result backward]],1,0)</f>
        <v>0</v>
      </c>
      <c r="BL75" s="21">
        <v>1</v>
      </c>
      <c r="BM75" t="s">
        <v>187</v>
      </c>
      <c r="BN75">
        <v>6.298</v>
      </c>
      <c r="BO75">
        <v>1385.6590000000001</v>
      </c>
      <c r="BP75">
        <v>12.68</v>
      </c>
      <c r="BQ75">
        <v>23.581</v>
      </c>
      <c r="BR75">
        <v>10.49</v>
      </c>
      <c r="BS75">
        <f>MIN(Таблица23[[#This Row],[Махал1ИСК]:[Махал5ИСК]])</f>
        <v>6.298</v>
      </c>
      <c r="BT7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75">
        <f>IF(Таблица23[[#This Row],[МАХАЛ ИСК Классификация]]=Таблица23[[#This Row],[обучающая выборка]],1,0)</f>
        <v>0</v>
      </c>
      <c r="BV75" t="s">
        <v>187</v>
      </c>
      <c r="BW75">
        <v>0.91778400000000004</v>
      </c>
      <c r="BX75">
        <v>0</v>
      </c>
      <c r="BY75">
        <v>2.0589E-2</v>
      </c>
      <c r="BZ75">
        <v>7.3999999999999996E-5</v>
      </c>
      <c r="CA75">
        <v>6.1553999999999998E-2</v>
      </c>
      <c r="CB75">
        <f>MAX(Таблица23[[#This Row],[АприорИСК1]]:Таблица23[[#This Row],[АприорИСК5]])</f>
        <v>0.91778400000000004</v>
      </c>
      <c r="CC7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75">
        <f>IF(Таблица23[[#This Row],[АприорИСК классификация]]=Таблица23[[#This Row],[обучающая выборка]],1,0)</f>
        <v>0</v>
      </c>
      <c r="CE75" s="35">
        <v>0.27283018865904274</v>
      </c>
      <c r="CF75" s="35">
        <v>-0.30328306413293937</v>
      </c>
      <c r="CG75" s="35">
        <v>0.64974698850112111</v>
      </c>
      <c r="CH75" s="35">
        <v>1</v>
      </c>
      <c r="CI75" s="35">
        <v>2</v>
      </c>
      <c r="CJ75" s="36">
        <v>3</v>
      </c>
      <c r="CK75" s="35">
        <v>5</v>
      </c>
      <c r="CL75" s="36">
        <v>0.27283018860111791</v>
      </c>
      <c r="CM75" s="36">
        <v>-0.30328306412430872</v>
      </c>
      <c r="CN75" s="36">
        <v>-0.64974698816090892</v>
      </c>
    </row>
    <row r="76" spans="1:92" x14ac:dyDescent="0.25">
      <c r="A76" s="3" t="s">
        <v>89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SUMXMY2(Таблица23[[#This Row],[X1]:[X9]],Таблица23[[#Totals],[X1]:[X9]])</f>
        <v>11.745590811997223</v>
      </c>
      <c r="P76" s="20"/>
      <c r="Q76" s="20" t="s">
        <v>188</v>
      </c>
      <c r="R76" s="20">
        <f>IF(VALUE(RIGHT(Таблица23[[#This Row],[функция]],1))=Таблица23[[#This Row],[обучающая выборка]],1,0)</f>
        <v>0</v>
      </c>
      <c r="S76" s="20">
        <f>IF(Таблица23[[#This Row],[обучающая выборка]]=Таблица23[[#This Row],[Result Lda]],1,0)</f>
        <v>0</v>
      </c>
      <c r="T76" s="20">
        <v>3</v>
      </c>
      <c r="U76" s="20" t="s">
        <v>187</v>
      </c>
      <c r="V76" s="20">
        <v>86.119</v>
      </c>
      <c r="W76" s="20">
        <v>1631.5830000000001</v>
      </c>
      <c r="X76" s="20">
        <v>69.795000000000002</v>
      </c>
      <c r="Y76" s="20">
        <v>92.203000000000003</v>
      </c>
      <c r="Z76" s="20">
        <v>77.058000000000007</v>
      </c>
      <c r="AA76" s="20">
        <f>MIN(Таблица23[[#This Row],[Махал1]:[Махал5]])</f>
        <v>69.795000000000002</v>
      </c>
      <c r="AB7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6" s="20">
        <f>IF(Таблица23[[#This Row],[Махаланобис классификация]]=Таблица23[[#This Row],[обучающая выборка]],1,0)</f>
        <v>0</v>
      </c>
      <c r="AD76" s="21" t="s">
        <v>187</v>
      </c>
      <c r="AE76" s="22">
        <v>5.0928035933503338E-4</v>
      </c>
      <c r="AF76" s="22">
        <v>0</v>
      </c>
      <c r="AG76" s="22">
        <v>0.97370498326833954</v>
      </c>
      <c r="AH76" s="22">
        <v>1.1049389849687465E-5</v>
      </c>
      <c r="AI76" s="22">
        <v>2.5774686982475769E-2</v>
      </c>
      <c r="AJ76">
        <f>MAX(Таблица23[[#This Row],[априор1]:[априор5]])</f>
        <v>0.97370498326833954</v>
      </c>
      <c r="AK7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6">
        <f>IF(Таблица23[[#This Row],[обучающая выборка]]=Таблица23[[#This Row],[Априор Классификация]],1,0)</f>
        <v>0</v>
      </c>
      <c r="AM76" t="s">
        <v>188</v>
      </c>
      <c r="AN76">
        <f>IF(VALUE(RIGHT(Таблица23[[#This Row],[фнкция ДА ВКЛ]],1))=Таблица23[[#This Row],[обучающая выборка]],1,0)</f>
        <v>0</v>
      </c>
      <c r="AO76">
        <f>IF(Таблица23[[#This Row],[обучающая выборка]]=Таблица23[[#This Row],[Result forward]],1,0)</f>
        <v>0</v>
      </c>
      <c r="AP76">
        <v>3</v>
      </c>
      <c r="AQ76" t="s">
        <v>187</v>
      </c>
      <c r="AR76">
        <v>36.674999999999997</v>
      </c>
      <c r="AS76">
        <v>1123.8689999999999</v>
      </c>
      <c r="AT76">
        <v>32.662999999999997</v>
      </c>
      <c r="AU76">
        <v>37.950000000000003</v>
      </c>
      <c r="AV76">
        <v>54.052</v>
      </c>
      <c r="AW76">
        <f>MIN(Таблица23[[#This Row],[Махал1ВКЛ]:[Махал5ВКл]])</f>
        <v>32.662999999999997</v>
      </c>
      <c r="AX7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6">
        <f>IF(Таблица23[[#This Row],[обучающая выборка]]=Таблица23[[#This Row],[МахаланобисКлассификацияВКЛ]],1,0)</f>
        <v>0</v>
      </c>
      <c r="AZ76" t="s">
        <v>187</v>
      </c>
      <c r="BA76">
        <v>0.18887000000000001</v>
      </c>
      <c r="BB76">
        <v>0</v>
      </c>
      <c r="BC76">
        <v>0.76572600000000002</v>
      </c>
      <c r="BD76">
        <v>4.5386000000000003E-2</v>
      </c>
      <c r="BE76">
        <v>1.7E-5</v>
      </c>
      <c r="BF76">
        <f>MAX(Таблица23[[#This Row],[АприорВКл1]:[АприорВКл5]])</f>
        <v>0.76572600000000002</v>
      </c>
      <c r="BG7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6">
        <f>IF(Таблица23[[#This Row],[АприорВклКлассификация]]=Таблица23[[#This Row],[обучающая выборка]],1,0)</f>
        <v>0</v>
      </c>
      <c r="BI76" s="21" t="s">
        <v>188</v>
      </c>
      <c r="BJ76" s="21">
        <f>IF(VALUE(RIGHT(Таблица23[[#This Row],[Фунция ДА ИСК]]))=Таблица23[[#This Row],[обучающая выборка]],1,0)</f>
        <v>0</v>
      </c>
      <c r="BK76" s="21">
        <f>IF(Таблица23[[#This Row],[обучающая выборка]]=Таблица23[[#This Row],[Result backward]],1,0)</f>
        <v>0</v>
      </c>
      <c r="BL76" s="21">
        <v>3</v>
      </c>
      <c r="BM76" t="s">
        <v>187</v>
      </c>
      <c r="BN76">
        <v>36.674999999999997</v>
      </c>
      <c r="BO76">
        <v>1123.8689999999999</v>
      </c>
      <c r="BP76">
        <v>32.662999999999997</v>
      </c>
      <c r="BQ76">
        <v>37.950000000000003</v>
      </c>
      <c r="BR76">
        <v>54.052</v>
      </c>
      <c r="BS76">
        <f>MIN(Таблица23[[#This Row],[Махал1ИСК]:[Махал5ИСК]])</f>
        <v>32.662999999999997</v>
      </c>
      <c r="BT7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6">
        <f>IF(Таблица23[[#This Row],[МАХАЛ ИСК Классификация]]=Таблица23[[#This Row],[обучающая выборка]],1,0)</f>
        <v>0</v>
      </c>
      <c r="BV76" t="s">
        <v>187</v>
      </c>
      <c r="BW76">
        <v>0.18887000000000001</v>
      </c>
      <c r="BX76">
        <v>0</v>
      </c>
      <c r="BY76">
        <v>0.76572600000000002</v>
      </c>
      <c r="BZ76">
        <v>4.5386000000000003E-2</v>
      </c>
      <c r="CA76">
        <v>1.7E-5</v>
      </c>
      <c r="CB76">
        <f>MAX(Таблица23[[#This Row],[АприорИСК1]]:Таблица23[[#This Row],[АприорИСК5]])</f>
        <v>0.76572600000000002</v>
      </c>
      <c r="CC7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6">
        <f>IF(Таблица23[[#This Row],[АприорИСК классификация]]=Таблица23[[#This Row],[обучающая выборка]],1,0)</f>
        <v>0</v>
      </c>
      <c r="CE76" s="35">
        <v>-0.2766852919480296</v>
      </c>
      <c r="CF76" s="35">
        <v>-1.1830861094987901</v>
      </c>
      <c r="CG76" s="35">
        <v>2.2879342858556533</v>
      </c>
      <c r="CH76" s="35">
        <v>5</v>
      </c>
      <c r="CI76" s="35">
        <v>2</v>
      </c>
      <c r="CJ76" s="36">
        <v>1</v>
      </c>
      <c r="CK76" s="35">
        <v>5</v>
      </c>
      <c r="CL76" s="36">
        <v>-0.27668529194838137</v>
      </c>
      <c r="CM76" s="36">
        <v>-1.183086109254635</v>
      </c>
      <c r="CN76" s="36">
        <v>-2.2879342854433662</v>
      </c>
    </row>
    <row r="77" spans="1:92" x14ac:dyDescent="0.25">
      <c r="A77" s="3" t="s">
        <v>90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SUMXMY2(Таблица23[[#This Row],[X1]:[X9]],Таблица23[[#Totals],[X1]:[X9]])</f>
        <v>2.5278873215998674</v>
      </c>
      <c r="P77" s="20"/>
      <c r="Q77" s="20" t="s">
        <v>186</v>
      </c>
      <c r="R77" s="20">
        <f>IF(VALUE(RIGHT(Таблица23[[#This Row],[функция]],1))=Таблица23[[#This Row],[обучающая выборка]],1,0)</f>
        <v>0</v>
      </c>
      <c r="S77" s="20">
        <f>IF(Таблица23[[#This Row],[обучающая выборка]]=Таблица23[[#This Row],[Result Lda]],1,0)</f>
        <v>0</v>
      </c>
      <c r="T77" s="20">
        <v>1</v>
      </c>
      <c r="U77" s="20" t="s">
        <v>187</v>
      </c>
      <c r="V77" s="20">
        <v>14.544</v>
      </c>
      <c r="W77" s="20">
        <v>2281.66</v>
      </c>
      <c r="X77" s="20">
        <v>59.231999999999999</v>
      </c>
      <c r="Y77" s="20">
        <v>52.524999999999999</v>
      </c>
      <c r="Z77" s="20">
        <v>34.363</v>
      </c>
      <c r="AA77" s="20">
        <f>MIN(Таблица23[[#This Row],[Махал1]:[Махал5]])</f>
        <v>14.544</v>
      </c>
      <c r="AB7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77" s="20">
        <f>IF(Таблица23[[#This Row],[Махаланобис классификация]]=Таблица23[[#This Row],[обучающая выборка]],1,0)</f>
        <v>0</v>
      </c>
      <c r="AD77" s="21" t="s">
        <v>187</v>
      </c>
      <c r="AE77" s="22">
        <v>0.99997289255455601</v>
      </c>
      <c r="AF77" s="22">
        <v>0</v>
      </c>
      <c r="AG77" s="22">
        <v>1.0785004161760669E-10</v>
      </c>
      <c r="AH77" s="22">
        <v>2.5699300594246995E-9</v>
      </c>
      <c r="AI77" s="22">
        <v>2.7104767663857544E-5</v>
      </c>
      <c r="AJ77">
        <f>MAX(Таблица23[[#This Row],[априор1]:[априор5]])</f>
        <v>0.99997289255455601</v>
      </c>
      <c r="AK7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77">
        <f>IF(Таблица23[[#This Row],[обучающая выборка]]=Таблица23[[#This Row],[Априор Классификация]],1,0)</f>
        <v>0</v>
      </c>
      <c r="AM77" t="s">
        <v>186</v>
      </c>
      <c r="AN77">
        <f>IF(VALUE(RIGHT(Таблица23[[#This Row],[фнкция ДА ВКЛ]],1))=Таблица23[[#This Row],[обучающая выборка]],1,0)</f>
        <v>0</v>
      </c>
      <c r="AO77">
        <f>IF(Таблица23[[#This Row],[обучающая выборка]]=Таблица23[[#This Row],[Result forward]],1,0)</f>
        <v>0</v>
      </c>
      <c r="AP77">
        <v>1</v>
      </c>
      <c r="AQ77" t="s">
        <v>187</v>
      </c>
      <c r="AR77">
        <v>8.9640000000000004</v>
      </c>
      <c r="AS77">
        <v>1485.6489999999999</v>
      </c>
      <c r="AT77">
        <v>38.168999999999997</v>
      </c>
      <c r="AU77">
        <v>30.704999999999998</v>
      </c>
      <c r="AV77">
        <v>9.2430000000000003</v>
      </c>
      <c r="AW77">
        <f>MIN(Таблица23[[#This Row],[Махал1ВКЛ]:[Махал5ВКл]])</f>
        <v>8.9640000000000004</v>
      </c>
      <c r="AX7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77">
        <f>IF(Таблица23[[#This Row],[обучающая выборка]]=Таблица23[[#This Row],[МахаланобисКлассификацияВКЛ]],1,0)</f>
        <v>0</v>
      </c>
      <c r="AZ77" t="s">
        <v>187</v>
      </c>
      <c r="BA77">
        <v>0.67825899999999995</v>
      </c>
      <c r="BB77">
        <v>0</v>
      </c>
      <c r="BC77">
        <v>0</v>
      </c>
      <c r="BD77">
        <v>6.0000000000000002E-6</v>
      </c>
      <c r="BE77">
        <v>0.32173499999999999</v>
      </c>
      <c r="BF77">
        <f>MAX(Таблица23[[#This Row],[АприорВКл1]:[АприорВКл5]])</f>
        <v>0.67825899999999995</v>
      </c>
      <c r="BG7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77">
        <f>IF(Таблица23[[#This Row],[АприорВклКлассификация]]=Таблица23[[#This Row],[обучающая выборка]],1,0)</f>
        <v>0</v>
      </c>
      <c r="BI77" s="21" t="s">
        <v>186</v>
      </c>
      <c r="BJ77" s="21">
        <f>IF(VALUE(RIGHT(Таблица23[[#This Row],[Фунция ДА ИСК]]))=Таблица23[[#This Row],[обучающая выборка]],1,0)</f>
        <v>0</v>
      </c>
      <c r="BK77" s="21">
        <f>IF(Таблица23[[#This Row],[обучающая выборка]]=Таблица23[[#This Row],[Result backward]],1,0)</f>
        <v>0</v>
      </c>
      <c r="BL77" s="21">
        <v>1</v>
      </c>
      <c r="BM77" t="s">
        <v>187</v>
      </c>
      <c r="BN77">
        <v>8.9640000000000004</v>
      </c>
      <c r="BO77">
        <v>1485.6489999999999</v>
      </c>
      <c r="BP77">
        <v>38.168999999999997</v>
      </c>
      <c r="BQ77">
        <v>30.704999999999998</v>
      </c>
      <c r="BR77">
        <v>9.2430000000000003</v>
      </c>
      <c r="BS77">
        <f>MIN(Таблица23[[#This Row],[Махал1ИСК]:[Махал5ИСК]])</f>
        <v>8.9640000000000004</v>
      </c>
      <c r="BT7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77">
        <f>IF(Таблица23[[#This Row],[МАХАЛ ИСК Классификация]]=Таблица23[[#This Row],[обучающая выборка]],1,0)</f>
        <v>0</v>
      </c>
      <c r="BV77" t="s">
        <v>187</v>
      </c>
      <c r="BW77">
        <v>0.67825899999999995</v>
      </c>
      <c r="BX77">
        <v>0</v>
      </c>
      <c r="BY77">
        <v>0</v>
      </c>
      <c r="BZ77">
        <v>6.0000000000000002E-6</v>
      </c>
      <c r="CA77">
        <v>0.32173499999999999</v>
      </c>
      <c r="CB77">
        <f>MAX(Таблица23[[#This Row],[АприорИСК1]]:Таблица23[[#This Row],[АприорИСК5]])</f>
        <v>0.67825899999999995</v>
      </c>
      <c r="CC7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77">
        <f>IF(Таблица23[[#This Row],[АприорИСК классификация]]=Таблица23[[#This Row],[обучающая выборка]],1,0)</f>
        <v>0</v>
      </c>
      <c r="CE77" s="35">
        <v>-0.1260130225702788</v>
      </c>
      <c r="CF77" s="35">
        <v>-0.2872649798888956</v>
      </c>
      <c r="CG77" s="35">
        <v>-0.64871550608422823</v>
      </c>
      <c r="CH77" s="35">
        <v>5</v>
      </c>
      <c r="CI77" s="35">
        <v>3</v>
      </c>
      <c r="CJ77" s="36">
        <v>4</v>
      </c>
      <c r="CK77" s="35">
        <v>3</v>
      </c>
      <c r="CL77" s="36">
        <v>-0.1260130227129341</v>
      </c>
      <c r="CM77" s="36">
        <v>-0.28726497996048161</v>
      </c>
      <c r="CN77" s="36">
        <v>0.64871550602703154</v>
      </c>
    </row>
    <row r="78" spans="1:92" x14ac:dyDescent="0.25">
      <c r="A78" s="3" t="s">
        <v>91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SUMXMY2(Таблица23[[#This Row],[X1]:[X9]],Таблица23[[#Totals],[X1]:[X9]])</f>
        <v>1.7469602789198322</v>
      </c>
      <c r="P78" s="20">
        <v>1</v>
      </c>
      <c r="Q78" s="20" t="s">
        <v>186</v>
      </c>
      <c r="R78" s="20">
        <f>IF(VALUE(RIGHT(Таблица23[[#This Row],[функция]],1))=Таблица23[[#This Row],[обучающая выборка]],1,0)</f>
        <v>1</v>
      </c>
      <c r="S78" s="20">
        <f>IF(Таблица23[[#This Row],[обучающая выборка]]=Таблица23[[#This Row],[Result Lda]],1,0)</f>
        <v>1</v>
      </c>
      <c r="T78" s="20">
        <v>1</v>
      </c>
      <c r="U78" s="20" t="s">
        <v>186</v>
      </c>
      <c r="V78" s="20">
        <v>2.613</v>
      </c>
      <c r="W78" s="20">
        <v>2183.5</v>
      </c>
      <c r="X78" s="20">
        <v>31.616</v>
      </c>
      <c r="Y78" s="20">
        <v>21.82</v>
      </c>
      <c r="Z78" s="20">
        <v>38.369</v>
      </c>
      <c r="AA78" s="20">
        <f>MIN(Таблица23[[#This Row],[Махал1]:[Махал5]])</f>
        <v>2.613</v>
      </c>
      <c r="AB7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78" s="20">
        <f>IF(Таблица23[[#This Row],[Махаланобис классификация]]=Таблица23[[#This Row],[обучающая выборка]],1,0)</f>
        <v>1</v>
      </c>
      <c r="AD78" s="21" t="s">
        <v>186</v>
      </c>
      <c r="AE78" s="22">
        <v>0.99996904892411853</v>
      </c>
      <c r="AF78" s="22">
        <v>0</v>
      </c>
      <c r="AG78" s="22">
        <v>2.7456865263601558E-7</v>
      </c>
      <c r="AH78" s="22">
        <v>3.066712418510258E-5</v>
      </c>
      <c r="AI78" s="22">
        <v>9.3830435899050971E-9</v>
      </c>
      <c r="AJ78">
        <f>MAX(Таблица23[[#This Row],[априор1]:[априор5]])</f>
        <v>0.99996904892411853</v>
      </c>
      <c r="AK7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78">
        <f>IF(Таблица23[[#This Row],[обучающая выборка]]=Таблица23[[#This Row],[Априор Классификация]],1,0)</f>
        <v>1</v>
      </c>
      <c r="AM78" t="s">
        <v>186</v>
      </c>
      <c r="AN78">
        <f>IF(VALUE(RIGHT(Таблица23[[#This Row],[фнкция ДА ВКЛ]],1))=Таблица23[[#This Row],[обучающая выборка]],1,0)</f>
        <v>1</v>
      </c>
      <c r="AO78">
        <f>IF(Таблица23[[#This Row],[обучающая выборка]]=Таблица23[[#This Row],[Result forward]],1,0)</f>
        <v>1</v>
      </c>
      <c r="AP78">
        <v>1</v>
      </c>
      <c r="AQ78" t="s">
        <v>186</v>
      </c>
      <c r="AR78">
        <v>0.69499999999999995</v>
      </c>
      <c r="AS78">
        <v>1470.105</v>
      </c>
      <c r="AT78">
        <v>22.594999999999999</v>
      </c>
      <c r="AU78">
        <v>12.682</v>
      </c>
      <c r="AV78">
        <v>19.635999999999999</v>
      </c>
      <c r="AW78">
        <f>MIN(Таблица23[[#This Row],[Махал1ВКЛ]:[Махал5ВКл]])</f>
        <v>0.69499999999999995</v>
      </c>
      <c r="AX7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78">
        <f>IF(Таблица23[[#This Row],[обучающая выборка]]=Таблица23[[#This Row],[МахаланобисКлассификацияВКЛ]],1,0)</f>
        <v>1</v>
      </c>
      <c r="AZ78" t="s">
        <v>186</v>
      </c>
      <c r="BA78">
        <v>0.99881600000000004</v>
      </c>
      <c r="BB78">
        <v>0</v>
      </c>
      <c r="BC78">
        <v>1.0000000000000001E-5</v>
      </c>
      <c r="BD78">
        <v>1.132E-3</v>
      </c>
      <c r="BE78">
        <v>4.1999999999999998E-5</v>
      </c>
      <c r="BF78">
        <f>MAX(Таблица23[[#This Row],[АприорВКл1]:[АприорВКл5]])</f>
        <v>0.99881600000000004</v>
      </c>
      <c r="BG7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78">
        <f>IF(Таблица23[[#This Row],[АприорВклКлассификация]]=Таблица23[[#This Row],[обучающая выборка]],1,0)</f>
        <v>1</v>
      </c>
      <c r="BI78" s="21" t="s">
        <v>186</v>
      </c>
      <c r="BJ78" s="21">
        <f>IF(VALUE(RIGHT(Таблица23[[#This Row],[Фунция ДА ИСК]]))=Таблица23[[#This Row],[обучающая выборка]],1,0)</f>
        <v>1</v>
      </c>
      <c r="BK78" s="21">
        <f>IF(Таблица23[[#This Row],[обучающая выборка]]=Таблица23[[#This Row],[Result backward]],1,0)</f>
        <v>1</v>
      </c>
      <c r="BL78" s="21">
        <v>1</v>
      </c>
      <c r="BM78" t="s">
        <v>186</v>
      </c>
      <c r="BN78">
        <v>0.69499999999999995</v>
      </c>
      <c r="BO78">
        <v>1470.105</v>
      </c>
      <c r="BP78">
        <v>22.594999999999999</v>
      </c>
      <c r="BQ78">
        <v>12.682</v>
      </c>
      <c r="BR78">
        <v>19.635999999999999</v>
      </c>
      <c r="BS78">
        <f>MIN(Таблица23[[#This Row],[Махал1ИСК]:[Махал5ИСК]])</f>
        <v>0.69499999999999995</v>
      </c>
      <c r="BT7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78">
        <f>IF(Таблица23[[#This Row],[МАХАЛ ИСК Классификация]]=Таблица23[[#This Row],[обучающая выборка]],1,0)</f>
        <v>1</v>
      </c>
      <c r="BV78" t="s">
        <v>186</v>
      </c>
      <c r="BW78">
        <v>0.99881600000000004</v>
      </c>
      <c r="BX78">
        <v>0</v>
      </c>
      <c r="BY78">
        <v>1.0000000000000001E-5</v>
      </c>
      <c r="BZ78">
        <v>1.132E-3</v>
      </c>
      <c r="CA78">
        <v>4.1999999999999998E-5</v>
      </c>
      <c r="CB78">
        <f>MAX(Таблица23[[#This Row],[АприорИСК1]]:Таблица23[[#This Row],[АприорИСК5]])</f>
        <v>0.99881600000000004</v>
      </c>
      <c r="CC7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78">
        <f>IF(Таблица23[[#This Row],[АприорИСК классификация]]=Таблица23[[#This Row],[обучающая выборка]],1,0)</f>
        <v>1</v>
      </c>
      <c r="CE78" s="35">
        <v>0.5561516086677204</v>
      </c>
      <c r="CF78" s="35">
        <v>-0.1737745171200526</v>
      </c>
      <c r="CG78" s="35">
        <v>-0.14355587296068242</v>
      </c>
      <c r="CH78" s="35">
        <v>1</v>
      </c>
      <c r="CI78" s="35">
        <v>2</v>
      </c>
      <c r="CJ78" s="36">
        <v>3</v>
      </c>
      <c r="CK78" s="35">
        <v>1</v>
      </c>
      <c r="CL78" s="36">
        <v>0.55615160855740009</v>
      </c>
      <c r="CM78" s="36">
        <v>-0.17377451721579609</v>
      </c>
      <c r="CN78" s="36">
        <v>0.14355587300377759</v>
      </c>
    </row>
    <row r="79" spans="1:92" x14ac:dyDescent="0.25">
      <c r="A79" s="3" t="s">
        <v>92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SUMXMY2(Таблица23[[#This Row],[X1]:[X9]],Таблица23[[#Totals],[X1]:[X9]])</f>
        <v>3.0081067878444201</v>
      </c>
      <c r="P79" s="20"/>
      <c r="Q79" s="20" t="s">
        <v>189</v>
      </c>
      <c r="R79" s="20">
        <f>IF(VALUE(RIGHT(Таблица23[[#This Row],[функция]],1))=Таблица23[[#This Row],[обучающая выборка]],1,0)</f>
        <v>0</v>
      </c>
      <c r="S79" s="20">
        <f>IF(Таблица23[[#This Row],[обучающая выборка]]=Таблица23[[#This Row],[Result Lda]],1,0)</f>
        <v>0</v>
      </c>
      <c r="T79" s="20">
        <v>5</v>
      </c>
      <c r="U79" s="20" t="s">
        <v>187</v>
      </c>
      <c r="V79" s="20">
        <v>60.698999999999998</v>
      </c>
      <c r="W79" s="20">
        <v>1614.44</v>
      </c>
      <c r="X79" s="20">
        <v>58.067999999999998</v>
      </c>
      <c r="Y79" s="20">
        <v>73.959000000000003</v>
      </c>
      <c r="Z79" s="20">
        <v>36.682000000000002</v>
      </c>
      <c r="AA79" s="20">
        <f>MIN(Таблица23[[#This Row],[Махал1]:[Махал5]])</f>
        <v>36.682000000000002</v>
      </c>
      <c r="AB7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79" s="20">
        <f>IF(Таблица23[[#This Row],[Махаланобис классификация]]=Таблица23[[#This Row],[обучающая выборка]],1,0)</f>
        <v>0</v>
      </c>
      <c r="AD79" s="21" t="s">
        <v>187</v>
      </c>
      <c r="AE79" s="22">
        <v>1.1164113151828124E-5</v>
      </c>
      <c r="AF79" s="22">
        <v>0</v>
      </c>
      <c r="AG79" s="22">
        <v>2.2696054576528061E-5</v>
      </c>
      <c r="AH79" s="22">
        <v>6.6992296703247265E-9</v>
      </c>
      <c r="AI79" s="22">
        <v>0.99996613313304206</v>
      </c>
      <c r="AJ79">
        <f>MAX(Таблица23[[#This Row],[априор1]:[априор5]])</f>
        <v>0.99996613313304206</v>
      </c>
      <c r="AK7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79">
        <f>IF(Таблица23[[#This Row],[обучающая выборка]]=Таблица23[[#This Row],[Априор Классификация]],1,0)</f>
        <v>0</v>
      </c>
      <c r="AM79" t="s">
        <v>189</v>
      </c>
      <c r="AN79">
        <f>IF(VALUE(RIGHT(Таблица23[[#This Row],[фнкция ДА ВКЛ]],1))=Таблица23[[#This Row],[обучающая выборка]],1,0)</f>
        <v>0</v>
      </c>
      <c r="AO79">
        <f>IF(Таблица23[[#This Row],[обучающая выборка]]=Таблица23[[#This Row],[Result forward]],1,0)</f>
        <v>0</v>
      </c>
      <c r="AP79">
        <v>5</v>
      </c>
      <c r="AQ79" t="s">
        <v>187</v>
      </c>
      <c r="AR79">
        <v>21.713000000000001</v>
      </c>
      <c r="AS79">
        <v>1183.3409999999999</v>
      </c>
      <c r="AT79">
        <v>39.042999999999999</v>
      </c>
      <c r="AU79">
        <v>46.03</v>
      </c>
      <c r="AV79">
        <v>15.04</v>
      </c>
      <c r="AW79">
        <f>MIN(Таблица23[[#This Row],[Махал1ВКЛ]:[Махал5ВКл]])</f>
        <v>15.04</v>
      </c>
      <c r="AX7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79">
        <f>IF(Таблица23[[#This Row],[обучающая выборка]]=Таблица23[[#This Row],[МахаланобисКлассификацияВКЛ]],1,0)</f>
        <v>0</v>
      </c>
      <c r="AZ79" t="s">
        <v>187</v>
      </c>
      <c r="BA79">
        <v>6.1183000000000001E-2</v>
      </c>
      <c r="BB79">
        <v>0</v>
      </c>
      <c r="BC79">
        <v>6.0000000000000002E-6</v>
      </c>
      <c r="BD79">
        <v>0</v>
      </c>
      <c r="BE79">
        <v>0.93881099999999995</v>
      </c>
      <c r="BF79">
        <f>MAX(Таблица23[[#This Row],[АприорВКл1]:[АприорВКл5]])</f>
        <v>0.93881099999999995</v>
      </c>
      <c r="BG7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79">
        <f>IF(Таблица23[[#This Row],[АприорВклКлассификация]]=Таблица23[[#This Row],[обучающая выборка]],1,0)</f>
        <v>0</v>
      </c>
      <c r="BI79" s="21" t="s">
        <v>189</v>
      </c>
      <c r="BJ79" s="21">
        <f>IF(VALUE(RIGHT(Таблица23[[#This Row],[Фунция ДА ИСК]]))=Таблица23[[#This Row],[обучающая выборка]],1,0)</f>
        <v>0</v>
      </c>
      <c r="BK79" s="21">
        <f>IF(Таблица23[[#This Row],[обучающая выборка]]=Таблица23[[#This Row],[Result backward]],1,0)</f>
        <v>0</v>
      </c>
      <c r="BL79" s="21">
        <v>5</v>
      </c>
      <c r="BM79" t="s">
        <v>187</v>
      </c>
      <c r="BN79">
        <v>21.713000000000001</v>
      </c>
      <c r="BO79">
        <v>1183.3409999999999</v>
      </c>
      <c r="BP79">
        <v>39.042999999999999</v>
      </c>
      <c r="BQ79">
        <v>46.03</v>
      </c>
      <c r="BR79">
        <v>15.04</v>
      </c>
      <c r="BS79">
        <f>MIN(Таблица23[[#This Row],[Махал1ИСК]:[Махал5ИСК]])</f>
        <v>15.04</v>
      </c>
      <c r="BT7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79">
        <f>IF(Таблица23[[#This Row],[МАХАЛ ИСК Классификация]]=Таблица23[[#This Row],[обучающая выборка]],1,0)</f>
        <v>0</v>
      </c>
      <c r="BV79" t="s">
        <v>187</v>
      </c>
      <c r="BW79">
        <v>6.1183000000000001E-2</v>
      </c>
      <c r="BX79">
        <v>0</v>
      </c>
      <c r="BY79">
        <v>6.0000000000000002E-6</v>
      </c>
      <c r="BZ79">
        <v>0</v>
      </c>
      <c r="CA79">
        <v>0.93881099999999995</v>
      </c>
      <c r="CB79">
        <f>MAX(Таблица23[[#This Row],[АприорИСК1]]:Таблица23[[#This Row],[АприорИСК5]])</f>
        <v>0.93881099999999995</v>
      </c>
      <c r="CC7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79">
        <f>IF(Таблица23[[#This Row],[АприорИСК классификация]]=Таблица23[[#This Row],[обучающая выборка]],1,0)</f>
        <v>0</v>
      </c>
      <c r="CE79" s="35">
        <v>-0.47604844048279188</v>
      </c>
      <c r="CF79" s="35">
        <v>-2.1977582973834994E-2</v>
      </c>
      <c r="CG79" s="35">
        <v>0.7261790352751295</v>
      </c>
      <c r="CH79" s="35">
        <v>4</v>
      </c>
      <c r="CI79" s="35">
        <v>2</v>
      </c>
      <c r="CJ79" s="36">
        <v>1</v>
      </c>
      <c r="CK79" s="35">
        <v>5</v>
      </c>
      <c r="CL79" s="36">
        <v>-0.47604844058086287</v>
      </c>
      <c r="CM79" s="36">
        <v>-2.1977583015298022E-2</v>
      </c>
      <c r="CN79" s="36">
        <v>-0.72617903500345693</v>
      </c>
    </row>
    <row r="80" spans="1:92" x14ac:dyDescent="0.25">
      <c r="A80" s="3" t="s">
        <v>93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SUMXMY2(Таблица23[[#This Row],[X1]:[X9]],Таблица23[[#Totals],[X1]:[X9]])</f>
        <v>14.144836888784321</v>
      </c>
      <c r="P80" s="20"/>
      <c r="Q80" s="20" t="s">
        <v>190</v>
      </c>
      <c r="R80" s="20">
        <f>IF(VALUE(RIGHT(Таблица23[[#This Row],[функция]],1))=Таблица23[[#This Row],[обучающая выборка]],1,0)</f>
        <v>0</v>
      </c>
      <c r="S80" s="20">
        <f>IF(Таблица23[[#This Row],[обучающая выборка]]=Таблица23[[#This Row],[Result Lda]],1,0)</f>
        <v>0</v>
      </c>
      <c r="T80" s="20">
        <v>4</v>
      </c>
      <c r="U80" s="20" t="s">
        <v>187</v>
      </c>
      <c r="V80" s="20">
        <v>323.40899999999999</v>
      </c>
      <c r="W80" s="20">
        <v>1106.3399999999999</v>
      </c>
      <c r="X80" s="20">
        <v>260.76799999999997</v>
      </c>
      <c r="Y80" s="20">
        <v>257.685</v>
      </c>
      <c r="Z80" s="20">
        <v>284.97000000000003</v>
      </c>
      <c r="AA80" s="20">
        <f>MIN(Таблица23[[#This Row],[Махал1]:[Махал5]])</f>
        <v>257.685</v>
      </c>
      <c r="AB8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80" s="20">
        <f>IF(Таблица23[[#This Row],[Махаланобис классификация]]=Таблица23[[#This Row],[обучающая выборка]],1,0)</f>
        <v>0</v>
      </c>
      <c r="AD80" s="21" t="s">
        <v>187</v>
      </c>
      <c r="AE80" s="22">
        <v>9.3640023908810293E-15</v>
      </c>
      <c r="AF80" s="22">
        <v>0</v>
      </c>
      <c r="AG80" s="22">
        <v>0.20435515912355079</v>
      </c>
      <c r="AH80" s="22">
        <v>0.79564370576758081</v>
      </c>
      <c r="AI80" s="22">
        <v>1.1351088590456506E-6</v>
      </c>
      <c r="AJ80">
        <f>MAX(Таблица23[[#This Row],[априор1]:[априор5]])</f>
        <v>0.79564370576758081</v>
      </c>
      <c r="AK8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80">
        <f>IF(Таблица23[[#This Row],[обучающая выборка]]=Таблица23[[#This Row],[Априор Классификация]],1,0)</f>
        <v>0</v>
      </c>
      <c r="AM80" t="s">
        <v>189</v>
      </c>
      <c r="AN80">
        <f>IF(VALUE(RIGHT(Таблица23[[#This Row],[фнкция ДА ВКЛ]],1))=Таблица23[[#This Row],[обучающая выборка]],1,0)</f>
        <v>0</v>
      </c>
      <c r="AO80">
        <f>IF(Таблица23[[#This Row],[обучающая выборка]]=Таблица23[[#This Row],[Result forward]],1,0)</f>
        <v>0</v>
      </c>
      <c r="AP80">
        <v>5</v>
      </c>
      <c r="AQ80" t="s">
        <v>187</v>
      </c>
      <c r="AR80">
        <v>78.566000000000003</v>
      </c>
      <c r="AS80">
        <v>894.27499999999998</v>
      </c>
      <c r="AT80">
        <v>84.796999999999997</v>
      </c>
      <c r="AU80">
        <v>75.763999999999996</v>
      </c>
      <c r="AV80">
        <v>65.793000000000006</v>
      </c>
      <c r="AW80">
        <f>MIN(Таблица23[[#This Row],[Махал1ВКЛ]:[Махал5ВКл]])</f>
        <v>65.793000000000006</v>
      </c>
      <c r="AX8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80">
        <f>IF(Таблица23[[#This Row],[обучающая выборка]]=Таблица23[[#This Row],[МахаланобисКлассификацияВКЛ]],1,0)</f>
        <v>0</v>
      </c>
      <c r="AZ80" t="s">
        <v>187</v>
      </c>
      <c r="BA80">
        <v>3.0599999999999998E-3</v>
      </c>
      <c r="BB80">
        <v>0</v>
      </c>
      <c r="BC80">
        <v>7.3999999999999996E-5</v>
      </c>
      <c r="BD80">
        <v>5.6480000000000002E-3</v>
      </c>
      <c r="BE80">
        <v>0.99121800000000004</v>
      </c>
      <c r="BF80">
        <f>MAX(Таблица23[[#This Row],[АприорВКл1]:[АприорВКл5]])</f>
        <v>0.99121800000000004</v>
      </c>
      <c r="BG8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80">
        <f>IF(Таблица23[[#This Row],[АприорВклКлассификация]]=Таблица23[[#This Row],[обучающая выборка]],1,0)</f>
        <v>0</v>
      </c>
      <c r="BI80" s="21" t="s">
        <v>189</v>
      </c>
      <c r="BJ80" s="21">
        <f>IF(VALUE(RIGHT(Таблица23[[#This Row],[Фунция ДА ИСК]]))=Таблица23[[#This Row],[обучающая выборка]],1,0)</f>
        <v>0</v>
      </c>
      <c r="BK80" s="21">
        <f>IF(Таблица23[[#This Row],[обучающая выборка]]=Таблица23[[#This Row],[Result backward]],1,0)</f>
        <v>0</v>
      </c>
      <c r="BL80" s="21">
        <v>5</v>
      </c>
      <c r="BM80" t="s">
        <v>187</v>
      </c>
      <c r="BN80">
        <v>78.566000000000003</v>
      </c>
      <c r="BO80">
        <v>894.27499999999998</v>
      </c>
      <c r="BP80">
        <v>84.796999999999997</v>
      </c>
      <c r="BQ80">
        <v>75.763999999999996</v>
      </c>
      <c r="BR80">
        <v>65.793000000000006</v>
      </c>
      <c r="BS80">
        <f>MIN(Таблица23[[#This Row],[Махал1ИСК]:[Махал5ИСК]])</f>
        <v>65.793000000000006</v>
      </c>
      <c r="BT8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80">
        <f>IF(Таблица23[[#This Row],[МАХАЛ ИСК Классификация]]=Таблица23[[#This Row],[обучающая выборка]],1,0)</f>
        <v>0</v>
      </c>
      <c r="BV80" t="s">
        <v>187</v>
      </c>
      <c r="BW80">
        <v>3.0599999999999998E-3</v>
      </c>
      <c r="BX80">
        <v>0</v>
      </c>
      <c r="BY80">
        <v>7.3999999999999996E-5</v>
      </c>
      <c r="BZ80">
        <v>5.6480000000000002E-3</v>
      </c>
      <c r="CA80">
        <v>0.99121800000000004</v>
      </c>
      <c r="CB80">
        <f>MAX(Таблица23[[#This Row],[АприорИСК1]]:Таблица23[[#This Row],[АприорИСК5]])</f>
        <v>0.99121800000000004</v>
      </c>
      <c r="CC8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80">
        <f>IF(Таблица23[[#This Row],[АприорИСК классификация]]=Таблица23[[#This Row],[обучающая выборка]],1,0)</f>
        <v>0</v>
      </c>
      <c r="CE80" s="35">
        <v>-6.2872015641378454E-2</v>
      </c>
      <c r="CF80" s="35">
        <v>1.5962749734600787</v>
      </c>
      <c r="CG80" s="35">
        <v>1.8508046540804992</v>
      </c>
      <c r="CH80" s="35">
        <v>5</v>
      </c>
      <c r="CI80" s="35">
        <v>4</v>
      </c>
      <c r="CJ80" s="36">
        <v>3</v>
      </c>
      <c r="CK80" s="35">
        <v>1</v>
      </c>
      <c r="CL80" s="36">
        <v>-6.2872015604912221E-2</v>
      </c>
      <c r="CM80" s="36">
        <v>1.596274973291627</v>
      </c>
      <c r="CN80" s="36">
        <v>-1.8508046534521401</v>
      </c>
    </row>
    <row r="81" spans="1:92" x14ac:dyDescent="0.25">
      <c r="A81" s="3" t="s">
        <v>94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SUMXMY2(Таблица23[[#This Row],[X1]:[X9]],Таблица23[[#Totals],[X1]:[X9]])</f>
        <v>1.0193020991836885</v>
      </c>
      <c r="P81" s="20">
        <v>1</v>
      </c>
      <c r="Q81" s="20" t="s">
        <v>186</v>
      </c>
      <c r="R81" s="20">
        <f>IF(VALUE(RIGHT(Таблица23[[#This Row],[функция]],1))=Таблица23[[#This Row],[обучающая выборка]],1,0)</f>
        <v>1</v>
      </c>
      <c r="S81" s="20">
        <f>IF(Таблица23[[#This Row],[обучающая выборка]]=Таблица23[[#This Row],[Result Lda]],1,0)</f>
        <v>1</v>
      </c>
      <c r="T81" s="20">
        <v>1</v>
      </c>
      <c r="U81" s="20" t="s">
        <v>186</v>
      </c>
      <c r="V81" s="20">
        <v>4.1470000000000002</v>
      </c>
      <c r="W81" s="20">
        <v>2107.8240000000001</v>
      </c>
      <c r="X81" s="20">
        <v>20.231999999999999</v>
      </c>
      <c r="Y81" s="20">
        <v>26.359000000000002</v>
      </c>
      <c r="Z81" s="20">
        <v>20.887</v>
      </c>
      <c r="AA81" s="20">
        <f>MIN(Таблица23[[#This Row],[Махал1]:[Махал5]])</f>
        <v>4.1470000000000002</v>
      </c>
      <c r="AB8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81" s="20">
        <f>IF(Таблица23[[#This Row],[Махаланобис классификация]]=Таблица23[[#This Row],[обучающая выборка]],1,0)</f>
        <v>1</v>
      </c>
      <c r="AD81" s="21" t="s">
        <v>186</v>
      </c>
      <c r="AE81" s="22">
        <v>0.9996914886962408</v>
      </c>
      <c r="AF81" s="22">
        <v>0</v>
      </c>
      <c r="AG81" s="22">
        <v>1.7529282077794828E-4</v>
      </c>
      <c r="AH81" s="22">
        <v>6.8268913278142115E-6</v>
      </c>
      <c r="AI81" s="22">
        <v>1.2639159165351338E-4</v>
      </c>
      <c r="AJ81">
        <f>MAX(Таблица23[[#This Row],[априор1]:[априор5]])</f>
        <v>0.9996914886962408</v>
      </c>
      <c r="AK8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81">
        <f>IF(Таблица23[[#This Row],[обучающая выборка]]=Таблица23[[#This Row],[Априор Классификация]],1,0)</f>
        <v>1</v>
      </c>
      <c r="AM81" t="s">
        <v>186</v>
      </c>
      <c r="AN81">
        <f>IF(VALUE(RIGHT(Таблица23[[#This Row],[фнкция ДА ВКЛ]],1))=Таблица23[[#This Row],[обучающая выборка]],1,0)</f>
        <v>1</v>
      </c>
      <c r="AO81">
        <f>IF(Таблица23[[#This Row],[обучающая выборка]]=Таблица23[[#This Row],[Result forward]],1,0)</f>
        <v>1</v>
      </c>
      <c r="AP81">
        <v>1</v>
      </c>
      <c r="AQ81" t="s">
        <v>186</v>
      </c>
      <c r="AR81">
        <v>1.7689999999999999</v>
      </c>
      <c r="AS81">
        <v>1422.0070000000001</v>
      </c>
      <c r="AT81">
        <v>14.597</v>
      </c>
      <c r="AU81">
        <v>14.874000000000001</v>
      </c>
      <c r="AV81">
        <v>10.926</v>
      </c>
      <c r="AW81">
        <f>MIN(Таблица23[[#This Row],[Махал1ВКЛ]:[Махал5ВКл]])</f>
        <v>1.7689999999999999</v>
      </c>
      <c r="AX8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81">
        <f>IF(Таблица23[[#This Row],[обучающая выборка]]=Таблица23[[#This Row],[МахаланобисКлассификацияВКЛ]],1,0)</f>
        <v>1</v>
      </c>
      <c r="AZ81" t="s">
        <v>186</v>
      </c>
      <c r="BA81">
        <v>0.99290699999999998</v>
      </c>
      <c r="BB81">
        <v>0</v>
      </c>
      <c r="BC81">
        <v>8.8699999999999998E-4</v>
      </c>
      <c r="BD81">
        <v>6.4400000000000004E-4</v>
      </c>
      <c r="BE81">
        <v>5.5620000000000001E-3</v>
      </c>
      <c r="BF81">
        <f>MAX(Таблица23[[#This Row],[АприорВКл1]:[АприорВКл5]])</f>
        <v>0.99290699999999998</v>
      </c>
      <c r="BG8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81">
        <f>IF(Таблица23[[#This Row],[АприорВклКлассификация]]=Таблица23[[#This Row],[обучающая выборка]],1,0)</f>
        <v>1</v>
      </c>
      <c r="BI81" s="21" t="s">
        <v>186</v>
      </c>
      <c r="BJ81" s="21">
        <f>IF(VALUE(RIGHT(Таблица23[[#This Row],[Фунция ДА ИСК]]))=Таблица23[[#This Row],[обучающая выборка]],1,0)</f>
        <v>1</v>
      </c>
      <c r="BK81" s="21">
        <f>IF(Таблица23[[#This Row],[обучающая выборка]]=Таблица23[[#This Row],[Result backward]],1,0)</f>
        <v>1</v>
      </c>
      <c r="BL81" s="21">
        <v>1</v>
      </c>
      <c r="BM81" t="s">
        <v>186</v>
      </c>
      <c r="BN81">
        <v>1.7689999999999999</v>
      </c>
      <c r="BO81">
        <v>1422.0070000000001</v>
      </c>
      <c r="BP81">
        <v>14.597</v>
      </c>
      <c r="BQ81">
        <v>14.874000000000001</v>
      </c>
      <c r="BR81">
        <v>10.926</v>
      </c>
      <c r="BS81">
        <f>MIN(Таблица23[[#This Row],[Махал1ИСК]:[Махал5ИСК]])</f>
        <v>1.7689999999999999</v>
      </c>
      <c r="BT8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81">
        <f>IF(Таблица23[[#This Row],[МАХАЛ ИСК Классификация]]=Таблица23[[#This Row],[обучающая выборка]],1,0)</f>
        <v>1</v>
      </c>
      <c r="BV81" t="s">
        <v>186</v>
      </c>
      <c r="BW81">
        <v>0.99290699999999998</v>
      </c>
      <c r="BX81">
        <v>0</v>
      </c>
      <c r="BY81">
        <v>8.8699999999999998E-4</v>
      </c>
      <c r="BZ81">
        <v>6.4400000000000004E-4</v>
      </c>
      <c r="CA81">
        <v>5.5620000000000001E-3</v>
      </c>
      <c r="CB81">
        <f>MAX(Таблица23[[#This Row],[АприорИСК1]]:Таблица23[[#This Row],[АприорИСК5]])</f>
        <v>0.99290699999999998</v>
      </c>
      <c r="CC8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81">
        <f>IF(Таблица23[[#This Row],[АприорИСК классификация]]=Таблица23[[#This Row],[обучающая выборка]],1,0)</f>
        <v>1</v>
      </c>
      <c r="CE81" s="35">
        <v>0.10518680463092887</v>
      </c>
      <c r="CF81" s="35">
        <v>-0.42508506465536783</v>
      </c>
      <c r="CG81" s="35">
        <v>-5.3957399785343266E-3</v>
      </c>
      <c r="CH81" s="35">
        <v>3</v>
      </c>
      <c r="CI81" s="35">
        <v>2</v>
      </c>
      <c r="CJ81" s="36">
        <v>1</v>
      </c>
      <c r="CK81" s="35">
        <v>3</v>
      </c>
      <c r="CL81" s="36">
        <v>0.1051868045392111</v>
      </c>
      <c r="CM81" s="36">
        <v>-0.42508506466550722</v>
      </c>
      <c r="CN81" s="36">
        <v>5.395740122459052E-3</v>
      </c>
    </row>
    <row r="82" spans="1:92" x14ac:dyDescent="0.25">
      <c r="A82" s="3" t="s">
        <v>95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SUMXMY2(Таблица23[[#This Row],[X1]:[X9]],Таблица23[[#Totals],[X1]:[X9]])</f>
        <v>26.804785628859786</v>
      </c>
      <c r="P82" s="20"/>
      <c r="Q82" s="20" t="s">
        <v>190</v>
      </c>
      <c r="R82" s="20">
        <f>IF(VALUE(RIGHT(Таблица23[[#This Row],[функция]],1))=Таблица23[[#This Row],[обучающая выборка]],1,0)</f>
        <v>0</v>
      </c>
      <c r="S82" s="20">
        <f>IF(Таблица23[[#This Row],[обучающая выборка]]=Таблица23[[#This Row],[Result Lda]],1,0)</f>
        <v>0</v>
      </c>
      <c r="T82" s="20">
        <v>4</v>
      </c>
      <c r="U82" s="20" t="s">
        <v>187</v>
      </c>
      <c r="V82" s="20">
        <v>81.831999999999994</v>
      </c>
      <c r="W82" s="20">
        <v>2029.7539999999999</v>
      </c>
      <c r="X82" s="20">
        <v>129.07300000000001</v>
      </c>
      <c r="Y82" s="20">
        <v>35.14</v>
      </c>
      <c r="Z82" s="20">
        <v>166.78</v>
      </c>
      <c r="AA82" s="20">
        <f>MIN(Таблица23[[#This Row],[Махал1]:[Махал5]])</f>
        <v>35.14</v>
      </c>
      <c r="AB8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82" s="20">
        <f>IF(Таблица23[[#This Row],[Махаланобис классификация]]=Таблица23[[#This Row],[обучающая выборка]],1,0)</f>
        <v>0</v>
      </c>
      <c r="AD82" s="21" t="s">
        <v>187</v>
      </c>
      <c r="AE82" s="22">
        <v>1.5971414296705462E-10</v>
      </c>
      <c r="AF82" s="22">
        <v>0</v>
      </c>
      <c r="AG82" s="22">
        <v>4.8070919872865845E-21</v>
      </c>
      <c r="AH82" s="22">
        <v>0.99999999984028598</v>
      </c>
      <c r="AI82" s="22">
        <v>3.1189122911016386E-29</v>
      </c>
      <c r="AJ82">
        <f>MAX(Таблица23[[#This Row],[априор1]:[априор5]])</f>
        <v>0.99999999984028598</v>
      </c>
      <c r="AK8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82">
        <f>IF(Таблица23[[#This Row],[обучающая выборка]]=Таблица23[[#This Row],[Априор Классификация]],1,0)</f>
        <v>0</v>
      </c>
      <c r="AM82" t="s">
        <v>190</v>
      </c>
      <c r="AN82">
        <f>IF(VALUE(RIGHT(Таблица23[[#This Row],[фнкция ДА ВКЛ]],1))=Таблица23[[#This Row],[обучающая выборка]],1,0)</f>
        <v>0</v>
      </c>
      <c r="AO82">
        <f>IF(Таблица23[[#This Row],[обучающая выборка]]=Таблица23[[#This Row],[Result forward]],1,0)</f>
        <v>0</v>
      </c>
      <c r="AP82">
        <v>4</v>
      </c>
      <c r="AQ82" t="s">
        <v>187</v>
      </c>
      <c r="AR82">
        <v>40.314</v>
      </c>
      <c r="AS82">
        <v>1384.501</v>
      </c>
      <c r="AT82">
        <v>85.926000000000002</v>
      </c>
      <c r="AU82">
        <v>11.109</v>
      </c>
      <c r="AV82">
        <v>83.882000000000005</v>
      </c>
      <c r="AW82">
        <f>MIN(Таблица23[[#This Row],[Махал1ВКЛ]:[Махал5ВКл]])</f>
        <v>11.109</v>
      </c>
      <c r="AX8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82">
        <f>IF(Таблица23[[#This Row],[обучающая выборка]]=Таблица23[[#This Row],[МахаланобисКлассификацияВКЛ]],1,0)</f>
        <v>0</v>
      </c>
      <c r="AZ82" t="s">
        <v>187</v>
      </c>
      <c r="BA82">
        <v>9.9999999999999995E-7</v>
      </c>
      <c r="BB82">
        <v>0</v>
      </c>
      <c r="BC82">
        <v>0</v>
      </c>
      <c r="BD82">
        <v>0.99999899999999997</v>
      </c>
      <c r="BE82">
        <v>0</v>
      </c>
      <c r="BF82">
        <f>MAX(Таблица23[[#This Row],[АприорВКл1]:[АприорВКл5]])</f>
        <v>0.99999899999999997</v>
      </c>
      <c r="BG8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82">
        <f>IF(Таблица23[[#This Row],[АприорВклКлассификация]]=Таблица23[[#This Row],[обучающая выборка]],1,0)</f>
        <v>0</v>
      </c>
      <c r="BI82" s="21" t="s">
        <v>190</v>
      </c>
      <c r="BJ82" s="21">
        <f>IF(VALUE(RIGHT(Таблица23[[#This Row],[Фунция ДА ИСК]]))=Таблица23[[#This Row],[обучающая выборка]],1,0)</f>
        <v>0</v>
      </c>
      <c r="BK82" s="21">
        <f>IF(Таблица23[[#This Row],[обучающая выборка]]=Таблица23[[#This Row],[Result backward]],1,0)</f>
        <v>0</v>
      </c>
      <c r="BL82" s="21">
        <v>4</v>
      </c>
      <c r="BM82" t="s">
        <v>187</v>
      </c>
      <c r="BN82">
        <v>40.314</v>
      </c>
      <c r="BO82">
        <v>1384.501</v>
      </c>
      <c r="BP82">
        <v>85.926000000000002</v>
      </c>
      <c r="BQ82">
        <v>11.109</v>
      </c>
      <c r="BR82">
        <v>83.882000000000005</v>
      </c>
      <c r="BS82">
        <f>MIN(Таблица23[[#This Row],[Махал1ИСК]:[Махал5ИСК]])</f>
        <v>11.109</v>
      </c>
      <c r="BT8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82">
        <f>IF(Таблица23[[#This Row],[МАХАЛ ИСК Классификация]]=Таблица23[[#This Row],[обучающая выборка]],1,0)</f>
        <v>0</v>
      </c>
      <c r="BV82" t="s">
        <v>187</v>
      </c>
      <c r="BW82">
        <v>9.9999999999999995E-7</v>
      </c>
      <c r="BX82">
        <v>0</v>
      </c>
      <c r="BY82">
        <v>0</v>
      </c>
      <c r="BZ82">
        <v>0.99999899999999997</v>
      </c>
      <c r="CA82">
        <v>0</v>
      </c>
      <c r="CB82">
        <f>MAX(Таблица23[[#This Row],[АприорИСК1]]:Таблица23[[#This Row],[АприорИСК5]])</f>
        <v>0.99999899999999997</v>
      </c>
      <c r="CC8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82">
        <f>IF(Таблица23[[#This Row],[АприорИСК классификация]]=Таблица23[[#This Row],[обучающая выборка]],1,0)</f>
        <v>0</v>
      </c>
      <c r="CE82" s="35">
        <v>2.3595296237008792</v>
      </c>
      <c r="CF82" s="35">
        <v>1.8882008388226073</v>
      </c>
      <c r="CG82" s="35">
        <v>-0.58074947900181217</v>
      </c>
      <c r="CH82" s="35">
        <v>2</v>
      </c>
      <c r="CI82" s="35">
        <v>4</v>
      </c>
      <c r="CJ82" s="36">
        <v>5</v>
      </c>
      <c r="CK82" s="35">
        <v>1</v>
      </c>
      <c r="CL82" s="36">
        <v>2.3595296237255892</v>
      </c>
      <c r="CM82" s="36">
        <v>1.888200838515697</v>
      </c>
      <c r="CN82" s="36">
        <v>0.58074947870799043</v>
      </c>
    </row>
    <row r="83" spans="1:92" x14ac:dyDescent="0.25">
      <c r="A83" s="3" t="s">
        <v>96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SUMXMY2(Таблица23[[#This Row],[X1]:[X9]],Таблица23[[#Totals],[X1]:[X9]])</f>
        <v>4.9595133997503522</v>
      </c>
      <c r="P83" s="20"/>
      <c r="Q83" s="20" t="s">
        <v>186</v>
      </c>
      <c r="R83" s="20">
        <f>IF(VALUE(RIGHT(Таблица23[[#This Row],[функция]],1))=Таблица23[[#This Row],[обучающая выборка]],1,0)</f>
        <v>0</v>
      </c>
      <c r="S83" s="20">
        <f>IF(Таблица23[[#This Row],[обучающая выборка]]=Таблица23[[#This Row],[Result Lda]],1,0)</f>
        <v>0</v>
      </c>
      <c r="T83" s="20">
        <v>1</v>
      </c>
      <c r="U83" s="20" t="s">
        <v>187</v>
      </c>
      <c r="V83" s="20">
        <v>15.291</v>
      </c>
      <c r="W83" s="20">
        <v>2186.1149999999998</v>
      </c>
      <c r="X83" s="20">
        <v>29.158000000000001</v>
      </c>
      <c r="Y83" s="20">
        <v>42.606000000000002</v>
      </c>
      <c r="Z83" s="20">
        <v>42.728999999999999</v>
      </c>
      <c r="AA83" s="20">
        <f>MIN(Таблица23[[#This Row],[Махал1]:[Махал5]])</f>
        <v>15.291</v>
      </c>
      <c r="AB8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83" s="20">
        <f>IF(Таблица23[[#This Row],[Махаланобис классификация]]=Таблица23[[#This Row],[обучающая выборка]],1,0)</f>
        <v>0</v>
      </c>
      <c r="AD83" s="21" t="s">
        <v>187</v>
      </c>
      <c r="AE83" s="22">
        <v>0.99946750261361506</v>
      </c>
      <c r="AF83" s="22">
        <v>0</v>
      </c>
      <c r="AG83" s="22">
        <v>5.3136468979637366E-4</v>
      </c>
      <c r="AH83" s="22">
        <v>5.3221522704545055E-7</v>
      </c>
      <c r="AI83" s="22">
        <v>6.0048136145863208E-7</v>
      </c>
      <c r="AJ83">
        <f>MAX(Таблица23[[#This Row],[априор1]:[априор5]])</f>
        <v>0.99946750261361506</v>
      </c>
      <c r="AK8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83">
        <f>IF(Таблица23[[#This Row],[обучающая выборка]]=Таблица23[[#This Row],[Априор Классификация]],1,0)</f>
        <v>0</v>
      </c>
      <c r="AM83" t="s">
        <v>186</v>
      </c>
      <c r="AN83">
        <f>IF(VALUE(RIGHT(Таблица23[[#This Row],[фнкция ДА ВКЛ]],1))=Таблица23[[#This Row],[обучающая выборка]],1,0)</f>
        <v>0</v>
      </c>
      <c r="AO83">
        <f>IF(Таблица23[[#This Row],[обучающая выборка]]=Таблица23[[#This Row],[Result forward]],1,0)</f>
        <v>0</v>
      </c>
      <c r="AP83">
        <v>5</v>
      </c>
      <c r="AQ83" t="s">
        <v>187</v>
      </c>
      <c r="AR83">
        <v>11.574</v>
      </c>
      <c r="AS83">
        <v>1478.702</v>
      </c>
      <c r="AT83">
        <v>15.048</v>
      </c>
      <c r="AU83">
        <v>31.881</v>
      </c>
      <c r="AV83">
        <v>20.065000000000001</v>
      </c>
      <c r="AW83">
        <f>MIN(Таблица23[[#This Row],[Махал1ВКЛ]:[Махал5ВКл]])</f>
        <v>11.574</v>
      </c>
      <c r="AX8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83">
        <f>IF(Таблица23[[#This Row],[обучающая выборка]]=Таблица23[[#This Row],[МахаланобисКлассификацияВКЛ]],1,0)</f>
        <v>0</v>
      </c>
      <c r="AZ83" t="s">
        <v>187</v>
      </c>
      <c r="BA83">
        <v>0.90593299999999999</v>
      </c>
      <c r="BB83">
        <v>0</v>
      </c>
      <c r="BC83">
        <v>8.6973999999999996E-2</v>
      </c>
      <c r="BD83">
        <v>1.5999999999999999E-5</v>
      </c>
      <c r="BE83">
        <v>7.077E-3</v>
      </c>
      <c r="BF83">
        <f>MAX(Таблица23[[#This Row],[АприорВКл1]:[АприорВКл5]])</f>
        <v>0.90593299999999999</v>
      </c>
      <c r="BG8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83">
        <f>IF(Таблица23[[#This Row],[АприорВклКлассификация]]=Таблица23[[#This Row],[обучающая выборка]],1,0)</f>
        <v>0</v>
      </c>
      <c r="BI83" s="21" t="s">
        <v>186</v>
      </c>
      <c r="BJ83" s="21">
        <f>IF(VALUE(RIGHT(Таблица23[[#This Row],[Фунция ДА ИСК]]))=Таблица23[[#This Row],[обучающая выборка]],1,0)</f>
        <v>0</v>
      </c>
      <c r="BK83" s="21">
        <f>IF(Таблица23[[#This Row],[обучающая выборка]]=Таблица23[[#This Row],[Result backward]],1,0)</f>
        <v>0</v>
      </c>
      <c r="BL83" s="21">
        <v>5</v>
      </c>
      <c r="BM83" t="s">
        <v>187</v>
      </c>
      <c r="BN83">
        <v>11.574</v>
      </c>
      <c r="BO83">
        <v>1478.702</v>
      </c>
      <c r="BP83">
        <v>15.048</v>
      </c>
      <c r="BQ83">
        <v>31.881</v>
      </c>
      <c r="BR83">
        <v>20.065000000000001</v>
      </c>
      <c r="BS83">
        <f>MIN(Таблица23[[#This Row],[Махал1ИСК]:[Махал5ИСК]])</f>
        <v>11.574</v>
      </c>
      <c r="BT8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83">
        <f>IF(Таблица23[[#This Row],[МАХАЛ ИСК Классификация]]=Таблица23[[#This Row],[обучающая выборка]],1,0)</f>
        <v>0</v>
      </c>
      <c r="BV83" t="s">
        <v>187</v>
      </c>
      <c r="BW83">
        <v>0.90593299999999999</v>
      </c>
      <c r="BX83">
        <v>0</v>
      </c>
      <c r="BY83">
        <v>8.6973999999999996E-2</v>
      </c>
      <c r="BZ83">
        <v>1.5999999999999999E-5</v>
      </c>
      <c r="CA83">
        <v>7.077E-3</v>
      </c>
      <c r="CB83">
        <f>MAX(Таблица23[[#This Row],[АприорИСК1]]:Таблица23[[#This Row],[АприорИСК5]])</f>
        <v>0.90593299999999999</v>
      </c>
      <c r="CC8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83">
        <f>IF(Таблица23[[#This Row],[АприорИСК классификация]]=Таблица23[[#This Row],[обучающая выборка]],1,0)</f>
        <v>0</v>
      </c>
      <c r="CE83" s="35">
        <v>1.9663679537426107E-2</v>
      </c>
      <c r="CF83" s="35">
        <v>-0.71448847453377895</v>
      </c>
      <c r="CG83" s="35">
        <v>0.23258707597407979</v>
      </c>
      <c r="CH83" s="35">
        <v>2</v>
      </c>
      <c r="CI83" s="35">
        <v>2</v>
      </c>
      <c r="CJ83" s="36">
        <v>1</v>
      </c>
      <c r="CK83" s="35">
        <v>3</v>
      </c>
      <c r="CL83" s="36">
        <v>1.9663679379860091E-2</v>
      </c>
      <c r="CM83" s="36">
        <v>-0.71448847465354492</v>
      </c>
      <c r="CN83" s="36">
        <v>-0.23258707607166709</v>
      </c>
    </row>
    <row r="84" spans="1:92" x14ac:dyDescent="0.25">
      <c r="A84" s="3" t="s">
        <v>97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SUMXMY2(Таблица23[[#This Row],[X1]:[X9]],Таблица23[[#Totals],[X1]:[X9]])</f>
        <v>59.563694763421765</v>
      </c>
      <c r="P84" s="20">
        <v>2</v>
      </c>
      <c r="Q84" s="20" t="s">
        <v>191</v>
      </c>
      <c r="R84" s="20">
        <f>IF(VALUE(RIGHT(Таблица23[[#This Row],[функция]],1))=Таблица23[[#This Row],[обучающая выборка]],1,0)</f>
        <v>1</v>
      </c>
      <c r="S84" s="20">
        <f>IF(Таблица23[[#This Row],[обучающая выборка]]=Таблица23[[#This Row],[Result Lda]],1,0)</f>
        <v>1</v>
      </c>
      <c r="T84" s="20">
        <v>2</v>
      </c>
      <c r="U84" s="20" t="s">
        <v>191</v>
      </c>
      <c r="V84" s="20">
        <v>2020.9559999999999</v>
      </c>
      <c r="W84" s="20">
        <v>9</v>
      </c>
      <c r="X84" s="20">
        <v>1837.818</v>
      </c>
      <c r="Y84" s="20">
        <v>1926.6690000000001</v>
      </c>
      <c r="Z84" s="20">
        <v>1886.0809999999999</v>
      </c>
      <c r="AA84" s="20">
        <f>MIN(Таблица23[[#This Row],[Махал1]:[Махал5]])</f>
        <v>9</v>
      </c>
      <c r="AB8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2</v>
      </c>
      <c r="AC84" s="20">
        <f>IF(Таблица23[[#This Row],[Махаланобис классификация]]=Таблица23[[#This Row],[обучающая выборка]],1,0)</f>
        <v>1</v>
      </c>
      <c r="AD84" s="21" t="s">
        <v>191</v>
      </c>
      <c r="AE84" s="22">
        <v>0</v>
      </c>
      <c r="AF84" s="22">
        <v>1</v>
      </c>
      <c r="AG84" s="22">
        <v>0</v>
      </c>
      <c r="AH84" s="22">
        <v>0</v>
      </c>
      <c r="AI84" s="22">
        <v>0</v>
      </c>
      <c r="AJ84">
        <f>MAX(Таблица23[[#This Row],[априор1]:[априор5]])</f>
        <v>1</v>
      </c>
      <c r="AK8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2</v>
      </c>
      <c r="AL84">
        <f>IF(Таблица23[[#This Row],[обучающая выборка]]=Таблица23[[#This Row],[Априор Классификация]],1,0)</f>
        <v>1</v>
      </c>
      <c r="AM84" t="s">
        <v>191</v>
      </c>
      <c r="AN84">
        <f>IF(VALUE(RIGHT(Таблица23[[#This Row],[фнкция ДА ВКЛ]],1))=Таблица23[[#This Row],[обучающая выборка]],1,0)</f>
        <v>1</v>
      </c>
      <c r="AO84">
        <f>IF(Таблица23[[#This Row],[обучающая выборка]]=Таблица23[[#This Row],[Result forward]],1,0)</f>
        <v>1</v>
      </c>
      <c r="AP84">
        <v>2</v>
      </c>
      <c r="AQ84" t="s">
        <v>191</v>
      </c>
      <c r="AR84">
        <v>1383.777</v>
      </c>
      <c r="AS84">
        <v>7.9649999999999999</v>
      </c>
      <c r="AT84">
        <v>1290.8309999999999</v>
      </c>
      <c r="AU84">
        <v>1389.913</v>
      </c>
      <c r="AV84">
        <v>1303.922</v>
      </c>
      <c r="AW84">
        <f>MIN(Таблица23[[#This Row],[Махал1ВКЛ]:[Махал5ВКл]])</f>
        <v>7.9649999999999999</v>
      </c>
      <c r="AX8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2</v>
      </c>
      <c r="AY84">
        <f>IF(Таблица23[[#This Row],[обучающая выборка]]=Таблица23[[#This Row],[МахаланобисКлассификацияВКЛ]],1,0)</f>
        <v>1</v>
      </c>
      <c r="AZ84" t="s">
        <v>191</v>
      </c>
      <c r="BA84">
        <v>0</v>
      </c>
      <c r="BB84">
        <v>1</v>
      </c>
      <c r="BC84">
        <v>0</v>
      </c>
      <c r="BD84">
        <v>0</v>
      </c>
      <c r="BE84">
        <v>0</v>
      </c>
      <c r="BF84">
        <f>MAX(Таблица23[[#This Row],[АприорВКл1]:[АприорВКл5]])</f>
        <v>1</v>
      </c>
      <c r="BG8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2</v>
      </c>
      <c r="BH84">
        <f>IF(Таблица23[[#This Row],[АприорВклКлассификация]]=Таблица23[[#This Row],[обучающая выборка]],1,0)</f>
        <v>1</v>
      </c>
      <c r="BI84" s="21" t="s">
        <v>191</v>
      </c>
      <c r="BJ84" s="21">
        <f>IF(VALUE(RIGHT(Таблица23[[#This Row],[Фунция ДА ИСК]]))=Таблица23[[#This Row],[обучающая выборка]],1,0)</f>
        <v>1</v>
      </c>
      <c r="BK84" s="21">
        <f>IF(Таблица23[[#This Row],[обучающая выборка]]=Таблица23[[#This Row],[Result backward]],1,0)</f>
        <v>1</v>
      </c>
      <c r="BL84" s="21">
        <v>2</v>
      </c>
      <c r="BM84" t="s">
        <v>191</v>
      </c>
      <c r="BN84">
        <v>1383.777</v>
      </c>
      <c r="BO84">
        <v>7.9649999999999999</v>
      </c>
      <c r="BP84">
        <v>1290.8309999999999</v>
      </c>
      <c r="BQ84">
        <v>1389.913</v>
      </c>
      <c r="BR84">
        <v>1303.922</v>
      </c>
      <c r="BS84">
        <f>MIN(Таблица23[[#This Row],[Махал1ИСК]:[Махал5ИСК]])</f>
        <v>7.9649999999999999</v>
      </c>
      <c r="BT8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2</v>
      </c>
      <c r="BU84">
        <f>IF(Таблица23[[#This Row],[МАХАЛ ИСК Классификация]]=Таблица23[[#This Row],[обучающая выборка]],1,0)</f>
        <v>1</v>
      </c>
      <c r="BV84" t="s">
        <v>191</v>
      </c>
      <c r="BW84">
        <v>0</v>
      </c>
      <c r="BX84">
        <v>1</v>
      </c>
      <c r="BY84">
        <v>0</v>
      </c>
      <c r="BZ84">
        <v>0</v>
      </c>
      <c r="CA84">
        <v>0</v>
      </c>
      <c r="CB84">
        <f>MAX(Таблица23[[#This Row],[АприорИСК1]]:Таблица23[[#This Row],[АприорИСК5]])</f>
        <v>1</v>
      </c>
      <c r="CC8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2</v>
      </c>
      <c r="CD84">
        <f>IF(Таблица23[[#This Row],[АприорИСК классификация]]=Таблица23[[#This Row],[обучающая выборка]],1,0)</f>
        <v>1</v>
      </c>
      <c r="CE84" s="35">
        <v>-3.2953468409404016</v>
      </c>
      <c r="CF84" s="35">
        <v>3.4077314522301014</v>
      </c>
      <c r="CG84" s="35">
        <v>-0.88526217596749546</v>
      </c>
      <c r="CH84" s="35">
        <v>3</v>
      </c>
      <c r="CI84" s="35">
        <v>1</v>
      </c>
      <c r="CJ84" s="36">
        <v>2</v>
      </c>
      <c r="CK84" s="35">
        <v>4</v>
      </c>
      <c r="CL84" s="36">
        <v>-3.2953468411790179</v>
      </c>
      <c r="CM84" s="36">
        <v>3.4077314515059491</v>
      </c>
      <c r="CN84" s="36">
        <v>0.88526217585575562</v>
      </c>
    </row>
    <row r="85" spans="1:92" x14ac:dyDescent="0.25">
      <c r="A85" s="3" t="s">
        <v>98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SUMXMY2(Таблица23[[#This Row],[X1]:[X9]],Таблица23[[#Totals],[X1]:[X9]])</f>
        <v>35.014671615955351</v>
      </c>
      <c r="P85" s="20"/>
      <c r="Q85" s="20" t="s">
        <v>191</v>
      </c>
      <c r="R85" s="20">
        <f>IF(VALUE(RIGHT(Таблица23[[#This Row],[функция]],1))=Таблица23[[#This Row],[обучающая выборка]],1,0)</f>
        <v>0</v>
      </c>
      <c r="S85" s="20">
        <f>IF(Таблица23[[#This Row],[обучающая выборка]]=Таблица23[[#This Row],[Result Lda]],1,0)</f>
        <v>0</v>
      </c>
      <c r="T85" s="20">
        <v>2</v>
      </c>
      <c r="U85" s="20" t="s">
        <v>187</v>
      </c>
      <c r="V85" s="20">
        <v>1384.9690000000001</v>
      </c>
      <c r="W85" s="20">
        <v>199.33</v>
      </c>
      <c r="X85" s="20">
        <v>1230.645</v>
      </c>
      <c r="Y85" s="20">
        <v>1263.019</v>
      </c>
      <c r="Z85" s="20">
        <v>1269.316</v>
      </c>
      <c r="AA85" s="20">
        <f>MIN(Таблица23[[#This Row],[Махал1]:[Махал5]])</f>
        <v>199.33</v>
      </c>
      <c r="AB8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2</v>
      </c>
      <c r="AC85" s="20">
        <f>IF(Таблица23[[#This Row],[Махаланобис классификация]]=Таблица23[[#This Row],[обучающая выборка]],1,0)</f>
        <v>0</v>
      </c>
      <c r="AD85" s="21" t="s">
        <v>187</v>
      </c>
      <c r="AE85" s="22">
        <v>0</v>
      </c>
      <c r="AF85" s="22">
        <v>1</v>
      </c>
      <c r="AG85" s="22">
        <v>0</v>
      </c>
      <c r="AH85" s="22">
        <v>0</v>
      </c>
      <c r="AI85" s="22">
        <v>0</v>
      </c>
      <c r="AJ85">
        <f>MAX(Таблица23[[#This Row],[априор1]:[априор5]])</f>
        <v>1</v>
      </c>
      <c r="AK8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2</v>
      </c>
      <c r="AL85">
        <f>IF(Таблица23[[#This Row],[обучающая выборка]]=Таблица23[[#This Row],[Априор Классификация]],1,0)</f>
        <v>0</v>
      </c>
      <c r="AM85" t="s">
        <v>191</v>
      </c>
      <c r="AN85">
        <f>IF(VALUE(RIGHT(Таблица23[[#This Row],[фнкция ДА ВКЛ]],1))=Таблица23[[#This Row],[обучающая выборка]],1,0)</f>
        <v>0</v>
      </c>
      <c r="AO85">
        <f>IF(Таблица23[[#This Row],[обучающая выборка]]=Таблица23[[#This Row],[Result forward]],1,0)</f>
        <v>0</v>
      </c>
      <c r="AP85">
        <v>2</v>
      </c>
      <c r="AQ85" t="s">
        <v>187</v>
      </c>
      <c r="AR85">
        <v>656.62300000000005</v>
      </c>
      <c r="AS85">
        <v>170.09700000000001</v>
      </c>
      <c r="AT85">
        <v>613.43600000000004</v>
      </c>
      <c r="AU85">
        <v>644.94299999999998</v>
      </c>
      <c r="AV85">
        <v>605.36500000000001</v>
      </c>
      <c r="AW85">
        <f>MIN(Таблица23[[#This Row],[Махал1ВКЛ]:[Махал5ВКл]])</f>
        <v>170.09700000000001</v>
      </c>
      <c r="AX8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2</v>
      </c>
      <c r="AY85">
        <f>IF(Таблица23[[#This Row],[обучающая выборка]]=Таблица23[[#This Row],[МахаланобисКлассификацияВКЛ]],1,0)</f>
        <v>0</v>
      </c>
      <c r="AZ85" t="s">
        <v>187</v>
      </c>
      <c r="BA85">
        <v>0</v>
      </c>
      <c r="BB85">
        <v>1</v>
      </c>
      <c r="BC85">
        <v>0</v>
      </c>
      <c r="BD85">
        <v>0</v>
      </c>
      <c r="BE85">
        <v>0</v>
      </c>
      <c r="BF85">
        <f>MAX(Таблица23[[#This Row],[АприорВКл1]:[АприорВКл5]])</f>
        <v>1</v>
      </c>
      <c r="BG8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2</v>
      </c>
      <c r="BH85">
        <f>IF(Таблица23[[#This Row],[АприорВклКлассификация]]=Таблица23[[#This Row],[обучающая выборка]],1,0)</f>
        <v>0</v>
      </c>
      <c r="BI85" s="21" t="s">
        <v>191</v>
      </c>
      <c r="BJ85" s="21">
        <f>IF(VALUE(RIGHT(Таблица23[[#This Row],[Фунция ДА ИСК]]))=Таблица23[[#This Row],[обучающая выборка]],1,0)</f>
        <v>0</v>
      </c>
      <c r="BK85" s="21">
        <f>IF(Таблица23[[#This Row],[обучающая выборка]]=Таблица23[[#This Row],[Result backward]],1,0)</f>
        <v>0</v>
      </c>
      <c r="BL85" s="21">
        <v>2</v>
      </c>
      <c r="BM85" t="s">
        <v>187</v>
      </c>
      <c r="BN85">
        <v>656.62300000000005</v>
      </c>
      <c r="BO85">
        <v>170.09700000000001</v>
      </c>
      <c r="BP85">
        <v>613.43600000000004</v>
      </c>
      <c r="BQ85">
        <v>644.94299999999998</v>
      </c>
      <c r="BR85">
        <v>605.36500000000001</v>
      </c>
      <c r="BS85">
        <f>MIN(Таблица23[[#This Row],[Махал1ИСК]:[Махал5ИСК]])</f>
        <v>170.09700000000001</v>
      </c>
      <c r="BT8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2</v>
      </c>
      <c r="BU85">
        <f>IF(Таблица23[[#This Row],[МАХАЛ ИСК Классификация]]=Таблица23[[#This Row],[обучающая выборка]],1,0)</f>
        <v>0</v>
      </c>
      <c r="BV85" t="s">
        <v>187</v>
      </c>
      <c r="BW85">
        <v>0</v>
      </c>
      <c r="BX85">
        <v>1</v>
      </c>
      <c r="BY85">
        <v>0</v>
      </c>
      <c r="BZ85">
        <v>0</v>
      </c>
      <c r="CA85">
        <v>0</v>
      </c>
      <c r="CB85">
        <f>MAX(Таблица23[[#This Row],[АприорИСК1]]:Таблица23[[#This Row],[АприорИСК5]])</f>
        <v>1</v>
      </c>
      <c r="CC8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2</v>
      </c>
      <c r="CD85">
        <f>IF(Таблица23[[#This Row],[АприорИСК классификация]]=Таблица23[[#This Row],[обучающая выборка]],1,0)</f>
        <v>0</v>
      </c>
      <c r="CE85" s="35">
        <v>-1.6420537453849324</v>
      </c>
      <c r="CF85" s="35">
        <v>3.3899464444781287</v>
      </c>
      <c r="CG85" s="35">
        <v>1.465939525981915</v>
      </c>
      <c r="CH85" s="35">
        <v>5</v>
      </c>
      <c r="CI85" s="35">
        <v>1</v>
      </c>
      <c r="CJ85" s="36">
        <v>2</v>
      </c>
      <c r="CK85" s="35">
        <v>4</v>
      </c>
      <c r="CL85" s="36">
        <v>-1.6420537453626121</v>
      </c>
      <c r="CM85" s="36">
        <v>3.3899464440500169</v>
      </c>
      <c r="CN85" s="36">
        <v>-1.4659395255715171</v>
      </c>
    </row>
    <row r="86" spans="1:92" x14ac:dyDescent="0.25">
      <c r="A86" s="3" t="s">
        <v>99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SUMXMY2(Таблица23[[#This Row],[X1]:[X9]],Таблица23[[#Totals],[X1]:[X9]])</f>
        <v>2.611112720783995</v>
      </c>
      <c r="P86" s="20"/>
      <c r="Q86" s="20" t="s">
        <v>189</v>
      </c>
      <c r="R86" s="20">
        <f>IF(VALUE(RIGHT(Таблица23[[#This Row],[функция]],1))=Таблица23[[#This Row],[обучающая выборка]],1,0)</f>
        <v>0</v>
      </c>
      <c r="S86" s="20">
        <f>IF(Таблица23[[#This Row],[обучающая выборка]]=Таблица23[[#This Row],[Result Lda]],1,0)</f>
        <v>0</v>
      </c>
      <c r="T86" s="20">
        <v>5</v>
      </c>
      <c r="U86" s="20" t="s">
        <v>187</v>
      </c>
      <c r="V86" s="20">
        <v>40.156999999999996</v>
      </c>
      <c r="W86" s="20">
        <v>1900.575</v>
      </c>
      <c r="X86" s="20">
        <v>42.735999999999997</v>
      </c>
      <c r="Y86" s="20">
        <v>59.959000000000003</v>
      </c>
      <c r="Z86" s="20">
        <v>22.923999999999999</v>
      </c>
      <c r="AA86" s="20">
        <f>MIN(Таблица23[[#This Row],[Махал1]:[Махал5]])</f>
        <v>22.923999999999999</v>
      </c>
      <c r="AB8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86" s="20">
        <f>IF(Таблица23[[#This Row],[Махаланобис классификация]]=Таблица23[[#This Row],[обучающая выборка]],1,0)</f>
        <v>0</v>
      </c>
      <c r="AD86" s="21" t="s">
        <v>187</v>
      </c>
      <c r="AE86" s="22">
        <v>3.3191067249884327E-4</v>
      </c>
      <c r="AF86" s="22">
        <v>0</v>
      </c>
      <c r="AG86" s="22">
        <v>4.9866383677686851E-5</v>
      </c>
      <c r="AH86" s="22">
        <v>7.5613691015950681E-9</v>
      </c>
      <c r="AI86" s="22">
        <v>0.99961821538245443</v>
      </c>
      <c r="AJ86">
        <f>MAX(Таблица23[[#This Row],[априор1]:[априор5]])</f>
        <v>0.99961821538245443</v>
      </c>
      <c r="AK8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86">
        <f>IF(Таблица23[[#This Row],[обучающая выборка]]=Таблица23[[#This Row],[Априор Классификация]],1,0)</f>
        <v>0</v>
      </c>
      <c r="AM86" t="s">
        <v>189</v>
      </c>
      <c r="AN86">
        <f>IF(VALUE(RIGHT(Таблица23[[#This Row],[фнкция ДА ВКЛ]],1))=Таблица23[[#This Row],[обучающая выборка]],1,0)</f>
        <v>0</v>
      </c>
      <c r="AO86">
        <f>IF(Таблица23[[#This Row],[обучающая выборка]]=Таблица23[[#This Row],[Result forward]],1,0)</f>
        <v>0</v>
      </c>
      <c r="AP86">
        <v>5</v>
      </c>
      <c r="AQ86" t="s">
        <v>187</v>
      </c>
      <c r="AR86">
        <v>8.0459999999999994</v>
      </c>
      <c r="AS86">
        <v>1382.415</v>
      </c>
      <c r="AT86">
        <v>25.004999999999999</v>
      </c>
      <c r="AU86">
        <v>33.18</v>
      </c>
      <c r="AV86">
        <v>2.8540000000000001</v>
      </c>
      <c r="AW86">
        <f>MIN(Таблица23[[#This Row],[Махал1ВКЛ]:[Махал5ВКл]])</f>
        <v>2.8540000000000001</v>
      </c>
      <c r="AX8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86">
        <f>IF(Таблица23[[#This Row],[обучающая выборка]]=Таблица23[[#This Row],[МахаланобисКлассификацияВКЛ]],1,0)</f>
        <v>0</v>
      </c>
      <c r="AZ86" t="s">
        <v>187</v>
      </c>
      <c r="BA86">
        <v>0.120243</v>
      </c>
      <c r="BB86">
        <v>0</v>
      </c>
      <c r="BC86">
        <v>1.4E-5</v>
      </c>
      <c r="BD86">
        <v>0</v>
      </c>
      <c r="BE86">
        <v>0.87974300000000005</v>
      </c>
      <c r="BF86">
        <f>MAX(Таблица23[[#This Row],[АприорВКл1]:[АприорВКл5]])</f>
        <v>0.87974300000000005</v>
      </c>
      <c r="BG8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86">
        <f>IF(Таблица23[[#This Row],[АприорВклКлассификация]]=Таблица23[[#This Row],[обучающая выборка]],1,0)</f>
        <v>0</v>
      </c>
      <c r="BI86" s="21" t="s">
        <v>189</v>
      </c>
      <c r="BJ86" s="21">
        <f>IF(VALUE(RIGHT(Таблица23[[#This Row],[Фунция ДА ИСК]]))=Таблица23[[#This Row],[обучающая выборка]],1,0)</f>
        <v>0</v>
      </c>
      <c r="BK86" s="21">
        <f>IF(Таблица23[[#This Row],[обучающая выборка]]=Таблица23[[#This Row],[Result backward]],1,0)</f>
        <v>0</v>
      </c>
      <c r="BL86" s="21">
        <v>5</v>
      </c>
      <c r="BM86" t="s">
        <v>187</v>
      </c>
      <c r="BN86">
        <v>8.0459999999999994</v>
      </c>
      <c r="BO86">
        <v>1382.415</v>
      </c>
      <c r="BP86">
        <v>25.004999999999999</v>
      </c>
      <c r="BQ86">
        <v>33.18</v>
      </c>
      <c r="BR86">
        <v>2.8540000000000001</v>
      </c>
      <c r="BS86">
        <f>MIN(Таблица23[[#This Row],[Махал1ИСК]:[Махал5ИСК]])</f>
        <v>2.8540000000000001</v>
      </c>
      <c r="BT8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86">
        <f>IF(Таблица23[[#This Row],[МАХАЛ ИСК Классификация]]=Таблица23[[#This Row],[обучающая выборка]],1,0)</f>
        <v>0</v>
      </c>
      <c r="BV86" t="s">
        <v>187</v>
      </c>
      <c r="BW86">
        <v>0.120243</v>
      </c>
      <c r="BX86">
        <v>0</v>
      </c>
      <c r="BY86">
        <v>1.4E-5</v>
      </c>
      <c r="BZ86">
        <v>0</v>
      </c>
      <c r="CA86">
        <v>0.87974300000000005</v>
      </c>
      <c r="CB86">
        <f>MAX(Таблица23[[#This Row],[АприорИСК1]]:Таблица23[[#This Row],[АприорИСК5]])</f>
        <v>0.87974300000000005</v>
      </c>
      <c r="CC8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86">
        <f>IF(Таблица23[[#This Row],[АприорИСК классификация]]=Таблица23[[#This Row],[обучающая выборка]],1,0)</f>
        <v>0</v>
      </c>
      <c r="CE86" s="35">
        <v>-8.7931524454885251E-2</v>
      </c>
      <c r="CF86" s="35">
        <v>-0.28954161211744478</v>
      </c>
      <c r="CG86" s="35">
        <v>0.57814847090590737</v>
      </c>
      <c r="CH86" s="35">
        <v>4</v>
      </c>
      <c r="CI86" s="35">
        <v>2</v>
      </c>
      <c r="CJ86" s="36">
        <v>1</v>
      </c>
      <c r="CK86" s="35">
        <v>5</v>
      </c>
      <c r="CL86" s="36">
        <v>-8.7931524542688808E-2</v>
      </c>
      <c r="CM86" s="36">
        <v>-0.28954161212102958</v>
      </c>
      <c r="CN86" s="36">
        <v>-0.57814847061734098</v>
      </c>
    </row>
    <row r="87" spans="1:92" x14ac:dyDescent="0.25">
      <c r="A87" s="23"/>
      <c r="B87" s="5">
        <f>SUBTOTAL(103,Таблица23[Cluster Membership-Ward])</f>
        <v>85</v>
      </c>
      <c r="C87" s="5">
        <f>SUBTOTAL(103,Таблица23[Cluster Membership-Complete])</f>
        <v>85</v>
      </c>
      <c r="D87" s="5">
        <f>SUBTOTAL(103,Таблица23[Cluster Membership-Single])</f>
        <v>85</v>
      </c>
      <c r="E87" s="5">
        <f>SUBTOTAL(103,Таблица23[CLUSTER K-means])</f>
        <v>85</v>
      </c>
      <c r="F87" s="5">
        <f>SUBTOTAL(101,Таблица23[X1])</f>
        <v>1.0094124294593933E-10</v>
      </c>
      <c r="G87" s="5">
        <f>SUBTOTAL(101,Таблица23[X2])</f>
        <v>2.4247058478679529E-10</v>
      </c>
      <c r="H87" s="5">
        <f>SUBTOTAL(101,Таблица23[X3])</f>
        <v>4.5882309716288918E-11</v>
      </c>
      <c r="I87" s="5">
        <f>SUBTOTAL(101,Таблица23[X4])</f>
        <v>-4.705855313268196E-12</v>
      </c>
      <c r="J87" s="5">
        <f>SUBTOTAL(101,Таблица23[X5])</f>
        <v>-9.6447066672980368E-11</v>
      </c>
      <c r="K87" s="5">
        <f>SUBTOTAL(101,Таблица23[X6])</f>
        <v>-1.4117680227468888E-11</v>
      </c>
      <c r="L87" s="5">
        <f>SUBTOTAL(101,Таблица23[X7])</f>
        <v>3.1058820874651407E-11</v>
      </c>
      <c r="M87" s="5">
        <f>SUBTOTAL(101,Таблица23[X8])</f>
        <v>4.2470602525020409E-11</v>
      </c>
      <c r="N87" s="5">
        <f>SUBTOTAL(101,Таблица23[X9])</f>
        <v>-1.4117669125238643E-11</v>
      </c>
      <c r="O87" s="5">
        <f>SUBTOTAL(109,Таблица23[Расстояние])</f>
        <v>755.99999992232358</v>
      </c>
      <c r="P87" s="24">
        <f>SUBTOTAL(103,Таблица23[обучающая выборка])</f>
        <v>30</v>
      </c>
      <c r="Q87" s="25">
        <f>Таблица23[[#Totals],[Точность функции]]/Таблица23[[#Totals],[обучающая выборка]]</f>
        <v>1</v>
      </c>
      <c r="R87" s="26">
        <f>SUBTOTAL(109,Таблица23[Точность функции])</f>
        <v>30</v>
      </c>
      <c r="S87" s="27">
        <f>SUBTOTAL(109,Таблица23[[точность ]])</f>
        <v>30</v>
      </c>
      <c r="T87" s="25">
        <f>Таблица23[[#Totals],[точность ]]/Таблица23[[#Totals],[обучающая выборка]]</f>
        <v>1</v>
      </c>
      <c r="U87" s="5"/>
      <c r="V87" s="5"/>
      <c r="W87" s="5"/>
      <c r="X87" s="5"/>
      <c r="Y87" s="5"/>
      <c r="Z87" s="5"/>
      <c r="AA87" s="5"/>
      <c r="AB87" s="25">
        <f>Таблица23[[#Totals],[Точность Махал]]/Таблица23[[#Totals],[обучающая выборка]]</f>
        <v>1</v>
      </c>
      <c r="AC87" s="5">
        <f>SUBTOTAL(109,Таблица23[Точность Махал])</f>
        <v>30</v>
      </c>
      <c r="AD87" s="5"/>
      <c r="AE87" s="5"/>
      <c r="AF87" s="5"/>
      <c r="AG87" s="5"/>
      <c r="AH87" s="5"/>
      <c r="AI87" s="5"/>
      <c r="AK87" s="25">
        <f>Таблица23[[#Totals],[Точность Априор]]/Таблица23[[#Totals],[обучающая выборка]]</f>
        <v>1</v>
      </c>
      <c r="AL87">
        <f>SUBTOTAL(109,Таблица23[Точность Априор])</f>
        <v>30</v>
      </c>
      <c r="AM87" s="28">
        <f>Таблица23[[#Totals],[точность ДА ВКЛ]]/Таблица23[[#Totals],[обучающая выборка]]</f>
        <v>0.9</v>
      </c>
      <c r="AN87" s="29">
        <f>SUBTOTAL(109,Таблица23[точность ДА ВКЛ])</f>
        <v>27</v>
      </c>
      <c r="AO87" s="29">
        <f>SUBTOTAL(109,Таблица23[точность])</f>
        <v>28</v>
      </c>
      <c r="AP87" s="28">
        <f>Таблица23[[#Totals],[точность]]/30</f>
        <v>0.93333333333333335</v>
      </c>
      <c r="AX87" s="28">
        <f>Таблица23[[#Totals],[Махал точность ВКЛ]]/Таблица23[[#Totals],[обучающая выборка]]</f>
        <v>0.93333333333333335</v>
      </c>
      <c r="AY87">
        <f>SUBTOTAL(109,Таблица23[Махал точность ВКЛ])</f>
        <v>28</v>
      </c>
      <c r="BG87" s="28">
        <f>Таблица23[[#Totals],[Точность априор вкл]]/Таблица23[[#Totals],[обучающая выборка]]</f>
        <v>0.9</v>
      </c>
      <c r="BH87">
        <f>SUBTOTAL(109,Таблица23[Точность априор вкл])</f>
        <v>27</v>
      </c>
      <c r="BI87" s="28">
        <f>Таблица23[[#Totals],[точность ДА ИСК]]/Таблица23[[#Totals],[обучающая выборка]]</f>
        <v>0.9</v>
      </c>
      <c r="BJ87" s="29">
        <f>SUBTOTAL(109,Таблица23[точность ДА ИСК])</f>
        <v>27</v>
      </c>
      <c r="BK87" s="29">
        <f>SUBTOTAL(109,Таблица23[точность2])</f>
        <v>28</v>
      </c>
      <c r="BL87" s="28">
        <f>Таблица23[[#Totals],[точность2]]/30</f>
        <v>0.93333333333333335</v>
      </c>
      <c r="BT87" s="28">
        <f>Таблица23[[#Totals],[МАХАЛ ИСК точность]]/Таблица23[[#Totals],[обучающая выборка]]</f>
        <v>0.93333333333333335</v>
      </c>
      <c r="BU87">
        <f>SUBTOTAL(109,Таблица23[МАХАЛ ИСК точность])</f>
        <v>28</v>
      </c>
      <c r="CC87" s="28">
        <f>Таблица23[[#Totals],[АприорИскТочность]]/Таблица23[[#Totals],[обучающая выборка]]</f>
        <v>0.9</v>
      </c>
      <c r="CD87">
        <f>SUBTOTAL(109,Таблица23[АприорИскТочность])</f>
        <v>27</v>
      </c>
      <c r="CH87">
        <f>SUBTOTAL(103,[1]!Таблица2[Ward  МГК])</f>
        <v>12</v>
      </c>
    </row>
    <row r="91" spans="1:92" x14ac:dyDescent="0.25">
      <c r="AI9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sqref="A1:XFD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3" ht="15.75" x14ac:dyDescent="0.25">
      <c r="A1" s="6" t="s">
        <v>100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6" t="s">
        <v>12</v>
      </c>
      <c r="J1" s="6" t="s">
        <v>13</v>
      </c>
    </row>
    <row r="2" spans="1:13" ht="15.75" x14ac:dyDescent="0.25">
      <c r="A2" s="7" t="s">
        <v>15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8">
        <v>26010</v>
      </c>
      <c r="J2" s="9">
        <v>243</v>
      </c>
    </row>
    <row r="3" spans="1:13" ht="15.75" x14ac:dyDescent="0.25">
      <c r="A3" s="7" t="s">
        <v>16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8">
        <v>39626</v>
      </c>
      <c r="J3" s="9">
        <v>194</v>
      </c>
    </row>
    <row r="4" spans="1:13" ht="15.75" x14ac:dyDescent="0.25">
      <c r="A4" s="7" t="s">
        <v>101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8">
        <v>37810</v>
      </c>
      <c r="J4" s="9">
        <v>180</v>
      </c>
    </row>
    <row r="5" spans="1:13" ht="15.75" x14ac:dyDescent="0.25">
      <c r="A5" s="7" t="s">
        <v>18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8">
        <v>26833</v>
      </c>
      <c r="J5" s="9">
        <v>294</v>
      </c>
    </row>
    <row r="6" spans="1:13" ht="15.75" x14ac:dyDescent="0.25">
      <c r="A6" s="7" t="s">
        <v>19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8">
        <v>35612</v>
      </c>
      <c r="J6" s="9">
        <v>311</v>
      </c>
    </row>
    <row r="7" spans="1:13" ht="15.75" x14ac:dyDescent="0.25">
      <c r="A7" s="7" t="s">
        <v>20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8">
        <v>31608</v>
      </c>
      <c r="J7" s="9">
        <v>195</v>
      </c>
    </row>
    <row r="8" spans="1:13" ht="15.75" x14ac:dyDescent="0.25">
      <c r="A8" s="7" t="s">
        <v>21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8">
        <v>28489</v>
      </c>
      <c r="J8" s="9">
        <v>182</v>
      </c>
    </row>
    <row r="9" spans="1:13" ht="15.75" x14ac:dyDescent="0.25">
      <c r="A9" s="7" t="s">
        <v>22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8">
        <v>27677</v>
      </c>
      <c r="J9" s="9">
        <v>233</v>
      </c>
    </row>
    <row r="10" spans="1:13" ht="15.75" x14ac:dyDescent="0.25">
      <c r="A10" s="7" t="s">
        <v>23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8">
        <v>31851</v>
      </c>
      <c r="J10" s="9">
        <v>164</v>
      </c>
    </row>
    <row r="11" spans="1:13" ht="15.75" x14ac:dyDescent="0.25">
      <c r="A11" s="7" t="s">
        <v>24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8">
        <v>35100</v>
      </c>
      <c r="J11" s="9">
        <v>380</v>
      </c>
    </row>
    <row r="12" spans="1:13" ht="15.75" x14ac:dyDescent="0.25">
      <c r="A12" s="7" t="s">
        <v>25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8">
        <v>88831</v>
      </c>
      <c r="J12" s="9">
        <v>622</v>
      </c>
      <c r="M12" t="s">
        <v>192</v>
      </c>
    </row>
    <row r="13" spans="1:13" ht="15.75" x14ac:dyDescent="0.25">
      <c r="A13" s="7" t="s">
        <v>26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8">
        <v>30297</v>
      </c>
      <c r="J13" s="9">
        <v>132</v>
      </c>
      <c r="M13" t="s">
        <v>193</v>
      </c>
    </row>
    <row r="14" spans="1:13" ht="15.75" x14ac:dyDescent="0.25">
      <c r="A14" s="7" t="s">
        <v>27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8">
        <v>29827</v>
      </c>
      <c r="J14" s="9">
        <v>192</v>
      </c>
      <c r="M14" t="s">
        <v>194</v>
      </c>
    </row>
    <row r="15" spans="1:13" ht="15.75" x14ac:dyDescent="0.25">
      <c r="A15" s="7" t="s">
        <v>28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8">
        <v>28680</v>
      </c>
      <c r="J15" s="9">
        <v>252</v>
      </c>
      <c r="M15" t="s">
        <v>195</v>
      </c>
    </row>
    <row r="16" spans="1:13" ht="15.75" x14ac:dyDescent="0.25">
      <c r="A16" s="7" t="s">
        <v>29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8">
        <v>30346</v>
      </c>
      <c r="J16" s="9">
        <v>273</v>
      </c>
      <c r="M16" t="s">
        <v>196</v>
      </c>
    </row>
    <row r="17" spans="1:13" ht="15.75" x14ac:dyDescent="0.25">
      <c r="A17" s="7" t="s">
        <v>30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8">
        <v>25929</v>
      </c>
      <c r="J17" s="9">
        <v>175</v>
      </c>
      <c r="M17" t="s">
        <v>197</v>
      </c>
    </row>
    <row r="18" spans="1:13" ht="15.75" x14ac:dyDescent="0.25">
      <c r="A18" s="7" t="s">
        <v>31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8">
        <v>32010</v>
      </c>
      <c r="J18" s="9">
        <v>206</v>
      </c>
      <c r="M18" t="s">
        <v>198</v>
      </c>
    </row>
    <row r="19" spans="1:13" ht="15.75" x14ac:dyDescent="0.25">
      <c r="A19" s="7" t="s">
        <v>32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8">
        <v>35028</v>
      </c>
      <c r="J19" s="9">
        <v>182</v>
      </c>
      <c r="M19" t="s">
        <v>199</v>
      </c>
    </row>
    <row r="20" spans="1:13" ht="15.75" x14ac:dyDescent="0.25">
      <c r="A20" s="7" t="s">
        <v>33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8">
        <v>60794</v>
      </c>
      <c r="J20" s="9">
        <v>144</v>
      </c>
      <c r="M20" t="s">
        <v>200</v>
      </c>
    </row>
    <row r="21" spans="1:13" ht="15.75" x14ac:dyDescent="0.25">
      <c r="A21" s="7" t="s">
        <v>34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8">
        <v>20473</v>
      </c>
      <c r="J21" s="9">
        <v>225</v>
      </c>
    </row>
    <row r="22" spans="1:13" ht="15.75" x14ac:dyDescent="0.25">
      <c r="A22" s="7" t="s">
        <v>35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8">
        <v>28048</v>
      </c>
      <c r="J22" s="9">
        <v>173</v>
      </c>
    </row>
    <row r="23" spans="1:13" ht="15.75" x14ac:dyDescent="0.25">
      <c r="A23" s="7" t="s">
        <v>36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8">
        <v>26649</v>
      </c>
      <c r="J23" s="9">
        <v>222</v>
      </c>
    </row>
    <row r="24" spans="1:13" ht="15.75" x14ac:dyDescent="0.25">
      <c r="A24" s="7" t="s">
        <v>37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8">
        <v>28560</v>
      </c>
      <c r="J24" s="9">
        <v>171</v>
      </c>
    </row>
    <row r="25" spans="1:13" ht="15.75" x14ac:dyDescent="0.25">
      <c r="A25" s="7" t="s">
        <v>38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8">
        <v>43217</v>
      </c>
      <c r="J25" s="9">
        <v>173</v>
      </c>
    </row>
    <row r="26" spans="1:13" ht="15.75" x14ac:dyDescent="0.25">
      <c r="A26" s="7" t="s">
        <v>39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8">
        <v>36090</v>
      </c>
      <c r="J26" s="9">
        <v>230</v>
      </c>
    </row>
    <row r="27" spans="1:13" ht="15.75" x14ac:dyDescent="0.25">
      <c r="A27" s="7" t="s">
        <v>40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8">
        <v>23747</v>
      </c>
      <c r="J27" s="9">
        <v>185</v>
      </c>
    </row>
    <row r="28" spans="1:13" ht="15.75" x14ac:dyDescent="0.25">
      <c r="A28" s="7" t="s">
        <v>41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8">
        <v>32715</v>
      </c>
      <c r="J28" s="9">
        <v>346</v>
      </c>
    </row>
    <row r="29" spans="1:13" ht="15.75" x14ac:dyDescent="0.25">
      <c r="A29" s="7" t="s">
        <v>42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8">
        <v>36847</v>
      </c>
      <c r="J29" s="9">
        <v>32</v>
      </c>
    </row>
    <row r="30" spans="1:13" ht="15.75" x14ac:dyDescent="0.25">
      <c r="A30" s="7" t="s">
        <v>43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8">
        <v>35124</v>
      </c>
      <c r="J30" s="9">
        <v>162</v>
      </c>
    </row>
    <row r="31" spans="1:13" ht="15.75" x14ac:dyDescent="0.25">
      <c r="A31" s="7" t="s">
        <v>44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8">
        <v>80979</v>
      </c>
      <c r="J31" s="9">
        <v>186</v>
      </c>
    </row>
    <row r="32" spans="1:13" ht="15.75" x14ac:dyDescent="0.25">
      <c r="A32" s="7" t="s">
        <v>45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8">
        <v>53793</v>
      </c>
      <c r="J32" s="9">
        <v>86</v>
      </c>
    </row>
    <row r="33" spans="1:10" ht="15.75" x14ac:dyDescent="0.25">
      <c r="A33" s="7" t="s">
        <v>46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8">
        <v>51183</v>
      </c>
      <c r="J33" s="9">
        <v>104</v>
      </c>
    </row>
    <row r="34" spans="1:10" ht="15.75" x14ac:dyDescent="0.25">
      <c r="A34" s="7" t="s">
        <v>47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8">
        <v>86431</v>
      </c>
      <c r="J34" s="9">
        <v>0</v>
      </c>
    </row>
    <row r="35" spans="1:10" ht="15.75" x14ac:dyDescent="0.25">
      <c r="A35" s="7" t="s">
        <v>48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8">
        <v>37524</v>
      </c>
      <c r="J35" s="9">
        <v>279</v>
      </c>
    </row>
    <row r="36" spans="1:10" ht="15.75" x14ac:dyDescent="0.25">
      <c r="A36" s="7" t="s">
        <v>49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8">
        <v>29229</v>
      </c>
      <c r="J36" s="9">
        <v>154</v>
      </c>
    </row>
    <row r="37" spans="1:10" ht="15.75" x14ac:dyDescent="0.25">
      <c r="A37" s="7" t="s">
        <v>50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8">
        <v>35261</v>
      </c>
      <c r="J37" s="9">
        <v>352</v>
      </c>
    </row>
    <row r="38" spans="1:10" ht="15.75" x14ac:dyDescent="0.25">
      <c r="A38" s="7" t="s">
        <v>51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8">
        <v>29972</v>
      </c>
      <c r="J38" s="9">
        <v>396</v>
      </c>
    </row>
    <row r="39" spans="1:10" ht="15.75" x14ac:dyDescent="0.25">
      <c r="A39" s="7" t="s">
        <v>52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8">
        <v>26518</v>
      </c>
      <c r="J39" s="9">
        <v>223</v>
      </c>
    </row>
    <row r="40" spans="1:10" ht="15.75" x14ac:dyDescent="0.25">
      <c r="A40" s="7" t="s">
        <v>53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8">
        <v>29846</v>
      </c>
      <c r="J40" s="9">
        <v>367</v>
      </c>
    </row>
    <row r="41" spans="1:10" ht="15.75" x14ac:dyDescent="0.25">
      <c r="A41" s="7" t="s">
        <v>54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8">
        <v>26415</v>
      </c>
      <c r="J41" s="9">
        <v>244</v>
      </c>
    </row>
    <row r="42" spans="1:10" ht="15.75" x14ac:dyDescent="0.25">
      <c r="A42" s="7" t="s">
        <v>55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8">
        <v>32747</v>
      </c>
      <c r="J42" s="9">
        <v>214</v>
      </c>
    </row>
    <row r="43" spans="1:10" ht="15.75" x14ac:dyDescent="0.25">
      <c r="A43" s="7" t="s">
        <v>56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8">
        <v>40843</v>
      </c>
      <c r="J43" s="9">
        <v>235</v>
      </c>
    </row>
    <row r="44" spans="1:10" ht="15.75" x14ac:dyDescent="0.25">
      <c r="A44" s="7" t="s">
        <v>57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8">
        <v>29332</v>
      </c>
      <c r="J44" s="9">
        <v>187</v>
      </c>
    </row>
    <row r="45" spans="1:10" ht="15.75" x14ac:dyDescent="0.25">
      <c r="A45" s="7" t="s">
        <v>58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8">
        <v>34901</v>
      </c>
      <c r="J45" s="9">
        <v>285</v>
      </c>
    </row>
    <row r="46" spans="1:10" ht="15.75" x14ac:dyDescent="0.25">
      <c r="A46" s="7" t="s">
        <v>59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8">
        <v>23798</v>
      </c>
      <c r="J46" s="9">
        <v>124</v>
      </c>
    </row>
    <row r="47" spans="1:10" ht="15.75" x14ac:dyDescent="0.25">
      <c r="A47" s="7" t="s">
        <v>60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8">
        <v>32621</v>
      </c>
      <c r="J47" s="9">
        <v>243</v>
      </c>
    </row>
    <row r="48" spans="1:10" ht="15.75" x14ac:dyDescent="0.25">
      <c r="A48" s="7" t="s">
        <v>61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8">
        <v>28314</v>
      </c>
      <c r="J48" s="9">
        <v>203</v>
      </c>
    </row>
    <row r="49" spans="1:10" ht="15.75" x14ac:dyDescent="0.25">
      <c r="A49" s="7" t="s">
        <v>62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8">
        <v>30260</v>
      </c>
      <c r="J49" s="10">
        <v>166</v>
      </c>
    </row>
    <row r="50" spans="1:10" ht="15.75" x14ac:dyDescent="0.25">
      <c r="A50" s="7" t="s">
        <v>63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8">
        <v>18139</v>
      </c>
      <c r="J50" s="9">
        <v>148</v>
      </c>
    </row>
    <row r="51" spans="1:10" ht="15.75" x14ac:dyDescent="0.25">
      <c r="A51" s="7" t="s">
        <v>64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8">
        <v>21319</v>
      </c>
      <c r="J51" s="9">
        <v>333</v>
      </c>
    </row>
    <row r="52" spans="1:10" ht="15.75" x14ac:dyDescent="0.25">
      <c r="A52" s="7" t="s">
        <v>65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8">
        <v>35173</v>
      </c>
      <c r="J52" s="9">
        <v>204</v>
      </c>
    </row>
    <row r="53" spans="1:10" ht="15.75" x14ac:dyDescent="0.25">
      <c r="A53" s="7" t="s">
        <v>66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8">
        <v>38880</v>
      </c>
      <c r="J53" s="9">
        <v>179</v>
      </c>
    </row>
    <row r="54" spans="1:10" ht="15.75" x14ac:dyDescent="0.25">
      <c r="A54" s="7" t="s">
        <v>67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8">
        <v>26357</v>
      </c>
      <c r="J54" s="9">
        <v>174</v>
      </c>
    </row>
    <row r="55" spans="1:10" ht="15.75" x14ac:dyDescent="0.25">
      <c r="A55" s="7" t="s">
        <v>68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8">
        <v>23185</v>
      </c>
      <c r="J55" s="9">
        <v>255</v>
      </c>
    </row>
    <row r="56" spans="1:10" ht="15.75" x14ac:dyDescent="0.25">
      <c r="A56" s="7" t="s">
        <v>69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8">
        <v>22906</v>
      </c>
      <c r="J56" s="9">
        <v>322</v>
      </c>
    </row>
    <row r="57" spans="1:10" ht="15.75" x14ac:dyDescent="0.25">
      <c r="A57" s="7" t="s">
        <v>70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8">
        <v>50369</v>
      </c>
      <c r="J57" s="9">
        <v>226</v>
      </c>
    </row>
    <row r="58" spans="1:10" ht="15.75" x14ac:dyDescent="0.25">
      <c r="A58" s="7" t="s">
        <v>71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8">
        <v>25885</v>
      </c>
      <c r="J58" s="9">
        <v>294</v>
      </c>
    </row>
    <row r="59" spans="1:10" ht="15.75" x14ac:dyDescent="0.25">
      <c r="A59" s="7" t="s">
        <v>72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8">
        <v>39679</v>
      </c>
      <c r="J59" s="9">
        <v>360</v>
      </c>
    </row>
    <row r="60" spans="1:10" ht="15.75" x14ac:dyDescent="0.25">
      <c r="A60" s="7" t="s">
        <v>73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8">
        <v>20652</v>
      </c>
      <c r="J60" s="9">
        <v>178</v>
      </c>
    </row>
    <row r="61" spans="1:10" ht="15.75" x14ac:dyDescent="0.25">
      <c r="A61" s="7" t="s">
        <v>74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8">
        <v>26068</v>
      </c>
      <c r="J61" s="9">
        <v>143</v>
      </c>
    </row>
    <row r="62" spans="1:10" ht="15.75" x14ac:dyDescent="0.25">
      <c r="A62" s="7" t="s">
        <v>75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8">
        <v>35041</v>
      </c>
      <c r="J62" s="9">
        <v>313</v>
      </c>
    </row>
    <row r="63" spans="1:10" ht="15.75" x14ac:dyDescent="0.25">
      <c r="A63" s="7" t="s">
        <v>76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8">
        <v>30495</v>
      </c>
      <c r="J63" s="9">
        <v>261</v>
      </c>
    </row>
    <row r="64" spans="1:10" ht="15.75" x14ac:dyDescent="0.25">
      <c r="A64" s="7" t="s">
        <v>77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8">
        <v>32663</v>
      </c>
      <c r="J64" s="9">
        <v>318</v>
      </c>
    </row>
    <row r="65" spans="1:10" ht="15.75" x14ac:dyDescent="0.25">
      <c r="A65" s="7" t="s">
        <v>78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8">
        <v>57745</v>
      </c>
      <c r="J65" s="9">
        <v>577</v>
      </c>
    </row>
    <row r="66" spans="1:10" ht="15.75" x14ac:dyDescent="0.25">
      <c r="A66" s="7" t="s">
        <v>79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8">
        <v>26228</v>
      </c>
      <c r="J66" s="9">
        <v>287</v>
      </c>
    </row>
    <row r="67" spans="1:10" ht="15.75" x14ac:dyDescent="0.25">
      <c r="A67" s="7" t="s">
        <v>80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8">
        <v>63854</v>
      </c>
      <c r="J67" s="9">
        <v>104</v>
      </c>
    </row>
    <row r="68" spans="1:10" ht="15.75" x14ac:dyDescent="0.25">
      <c r="A68" s="7" t="s">
        <v>81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8">
        <v>40275</v>
      </c>
      <c r="J68" s="9">
        <v>282</v>
      </c>
    </row>
    <row r="69" spans="1:10" ht="15.75" x14ac:dyDescent="0.25">
      <c r="A69" s="7" t="s">
        <v>82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8">
        <v>33013</v>
      </c>
      <c r="J69" s="9">
        <v>253</v>
      </c>
    </row>
    <row r="70" spans="1:10" ht="15.75" x14ac:dyDescent="0.25">
      <c r="A70" s="7" t="s">
        <v>83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8">
        <v>30731</v>
      </c>
      <c r="J70" s="9">
        <v>256</v>
      </c>
    </row>
    <row r="71" spans="1:10" ht="15.75" x14ac:dyDescent="0.25">
      <c r="A71" s="7" t="s">
        <v>84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8">
        <v>26190</v>
      </c>
      <c r="J71" s="9">
        <v>224</v>
      </c>
    </row>
    <row r="72" spans="1:10" ht="15.75" x14ac:dyDescent="0.25">
      <c r="A72" s="7" t="s">
        <v>85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8">
        <v>30241</v>
      </c>
      <c r="J72" s="9">
        <v>301</v>
      </c>
    </row>
    <row r="73" spans="1:10" ht="15.75" x14ac:dyDescent="0.25">
      <c r="A73" s="7" t="s">
        <v>86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8">
        <v>30528</v>
      </c>
      <c r="J73" s="9">
        <v>183</v>
      </c>
    </row>
    <row r="74" spans="1:10" ht="15.75" x14ac:dyDescent="0.25">
      <c r="A74" s="7" t="s">
        <v>87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8">
        <v>30976</v>
      </c>
      <c r="J74" s="9">
        <v>587</v>
      </c>
    </row>
    <row r="75" spans="1:10" ht="15.75" x14ac:dyDescent="0.25">
      <c r="A75" s="7" t="s">
        <v>88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8">
        <v>32131</v>
      </c>
      <c r="J75" s="9">
        <v>223</v>
      </c>
    </row>
    <row r="76" spans="1:10" ht="15.75" x14ac:dyDescent="0.25">
      <c r="A76" s="7" t="s">
        <v>89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8">
        <v>33983</v>
      </c>
      <c r="J76" s="9">
        <v>292</v>
      </c>
    </row>
    <row r="77" spans="1:10" ht="15.75" x14ac:dyDescent="0.25">
      <c r="A77" s="7" t="s">
        <v>90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8">
        <v>27650</v>
      </c>
      <c r="J77" s="9">
        <v>283</v>
      </c>
    </row>
    <row r="78" spans="1:10" ht="15.75" x14ac:dyDescent="0.25">
      <c r="A78" s="7" t="s">
        <v>91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8">
        <v>26849</v>
      </c>
      <c r="J78" s="9">
        <v>295</v>
      </c>
    </row>
    <row r="79" spans="1:10" ht="15.75" x14ac:dyDescent="0.25">
      <c r="A79" s="7" t="s">
        <v>92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8">
        <v>44108</v>
      </c>
      <c r="J79" s="9">
        <v>300</v>
      </c>
    </row>
    <row r="80" spans="1:10" ht="15.75" x14ac:dyDescent="0.25">
      <c r="A80" s="7" t="s">
        <v>93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8">
        <v>57012</v>
      </c>
      <c r="J80" s="9">
        <v>114</v>
      </c>
    </row>
    <row r="81" spans="1:10" ht="15.75" x14ac:dyDescent="0.25">
      <c r="A81" s="7" t="s">
        <v>94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8">
        <v>29498</v>
      </c>
      <c r="J81" s="9">
        <v>239</v>
      </c>
    </row>
    <row r="82" spans="1:10" ht="15.75" x14ac:dyDescent="0.25">
      <c r="A82" s="7" t="s">
        <v>95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8">
        <v>26397</v>
      </c>
      <c r="J82" s="9">
        <v>231</v>
      </c>
    </row>
    <row r="83" spans="1:10" ht="15.75" x14ac:dyDescent="0.25">
      <c r="A83" s="7" t="s">
        <v>96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8">
        <v>23619</v>
      </c>
      <c r="J83" s="9">
        <v>299</v>
      </c>
    </row>
    <row r="84" spans="1:10" ht="15.75" x14ac:dyDescent="0.25">
      <c r="A84" s="7" t="s">
        <v>97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8">
        <v>99905</v>
      </c>
      <c r="J84" s="9">
        <v>20</v>
      </c>
    </row>
    <row r="85" spans="1:10" ht="15.75" x14ac:dyDescent="0.25">
      <c r="A85" s="7" t="s">
        <v>98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8">
        <v>96814</v>
      </c>
      <c r="J85" s="9">
        <v>3</v>
      </c>
    </row>
    <row r="86" spans="1:10" ht="15.75" x14ac:dyDescent="0.25">
      <c r="A86" s="7" t="s">
        <v>99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8">
        <v>33124</v>
      </c>
      <c r="J86" s="9">
        <v>261</v>
      </c>
    </row>
    <row r="88" spans="1:10" x14ac:dyDescent="0.25">
      <c r="J8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L9" sqref="L9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6.5703125" bestFit="1" customWidth="1"/>
    <col min="7" max="7" width="18.140625" bestFit="1" customWidth="1"/>
    <col min="8" max="8" width="12.7109375" customWidth="1"/>
    <col min="9" max="9" width="20.28515625" bestFit="1" customWidth="1"/>
    <col min="10" max="10" width="28.140625" bestFit="1" customWidth="1"/>
    <col min="11" max="11" width="17.42578125" bestFit="1" customWidth="1"/>
    <col min="12" max="12" width="12" bestFit="1" customWidth="1"/>
    <col min="13" max="13" width="12.85546875" bestFit="1" customWidth="1"/>
    <col min="14" max="14" width="16.5703125" bestFit="1" customWidth="1"/>
    <col min="15" max="15" width="19.85546875" bestFit="1" customWidth="1"/>
  </cols>
  <sheetData>
    <row r="1" spans="1:15" x14ac:dyDescent="0.25">
      <c r="A1" s="12" t="s">
        <v>102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201</v>
      </c>
      <c r="G1" s="12" t="s">
        <v>202</v>
      </c>
      <c r="H1" s="12" t="s">
        <v>203</v>
      </c>
      <c r="I1" s="12" t="s">
        <v>204</v>
      </c>
      <c r="J1" s="18" t="s">
        <v>205</v>
      </c>
      <c r="K1" s="18" t="s">
        <v>206</v>
      </c>
      <c r="L1" s="12" t="s">
        <v>207</v>
      </c>
      <c r="M1" s="12" t="s">
        <v>208</v>
      </c>
      <c r="N1" s="18" t="s">
        <v>209</v>
      </c>
      <c r="O1" s="18" t="s">
        <v>210</v>
      </c>
    </row>
    <row r="2" spans="1:15" x14ac:dyDescent="0.25">
      <c r="A2" s="12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128.74541411419597</v>
      </c>
      <c r="I2">
        <v>121.12381767221248</v>
      </c>
      <c r="J2">
        <v>99.105946681699109</v>
      </c>
      <c r="K2">
        <v>125.11361727574497</v>
      </c>
      <c r="L2">
        <v>71.490017747335386</v>
      </c>
      <c r="M2">
        <v>43.036449393995454</v>
      </c>
      <c r="N2">
        <v>134.96863208369169</v>
      </c>
      <c r="O2">
        <v>121.03926172778148</v>
      </c>
    </row>
    <row r="3" spans="1:15" x14ac:dyDescent="0.25">
      <c r="A3" s="12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  <c r="K3">
        <v>19.207099864865551</v>
      </c>
      <c r="L3">
        <v>190.01196991057896</v>
      </c>
      <c r="M3">
        <v>117.84290053437412</v>
      </c>
      <c r="N3">
        <v>72.815538386633705</v>
      </c>
      <c r="O3">
        <v>32.98032262645291</v>
      </c>
    </row>
    <row r="4" spans="1:15" x14ac:dyDescent="0.25">
      <c r="A4" s="12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61.656524376023476</v>
      </c>
      <c r="I4">
        <v>103.44492821402197</v>
      </c>
      <c r="J4">
        <v>99.687120775941423</v>
      </c>
      <c r="K4">
        <v>81.40247336138296</v>
      </c>
      <c r="L4">
        <v>61.311639642054274</v>
      </c>
      <c r="M4">
        <v>83.112072724474842</v>
      </c>
      <c r="N4">
        <v>124.91318265040553</v>
      </c>
      <c r="O4">
        <v>80.511832010783422</v>
      </c>
    </row>
    <row r="5" spans="1:15" x14ac:dyDescent="0.25">
      <c r="A5" s="12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94.447403496011532</v>
      </c>
      <c r="I5">
        <v>68.949242449989754</v>
      </c>
      <c r="J5">
        <v>101.77094712964958</v>
      </c>
      <c r="K5">
        <v>128.34887749465173</v>
      </c>
      <c r="L5">
        <v>104.255577415872</v>
      </c>
      <c r="M5">
        <v>108.90247341667458</v>
      </c>
      <c r="N5">
        <v>43.036449393995454</v>
      </c>
      <c r="O5">
        <v>96.425323155046769</v>
      </c>
    </row>
    <row r="6" spans="1:15" x14ac:dyDescent="0.25">
      <c r="A6" s="12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131.36834536913099</v>
      </c>
      <c r="G6">
        <v>105.91446299575053</v>
      </c>
      <c r="H6">
        <v>131.36834536913122</v>
      </c>
      <c r="I6">
        <v>101.78890614518635</v>
      </c>
      <c r="J6">
        <v>100.83182617712534</v>
      </c>
      <c r="K6">
        <v>73.577248371827764</v>
      </c>
      <c r="L6">
        <v>266.22652749139331</v>
      </c>
      <c r="M6">
        <v>64.824598663450189</v>
      </c>
      <c r="N6">
        <v>53.42985610761373</v>
      </c>
      <c r="O6">
        <v>73.14360054312823</v>
      </c>
    </row>
    <row r="7" spans="1:15" x14ac:dyDescent="0.25">
      <c r="A7" s="12">
        <v>6</v>
      </c>
      <c r="C7">
        <v>3.4848494462998918</v>
      </c>
      <c r="D7">
        <v>96.163392548052414</v>
      </c>
    </row>
    <row r="8" spans="1:15" x14ac:dyDescent="0.25">
      <c r="A8" s="12">
        <v>7</v>
      </c>
      <c r="C8">
        <v>491.9392198303994</v>
      </c>
      <c r="D8">
        <v>90.405260257787234</v>
      </c>
    </row>
    <row r="9" spans="1:15" x14ac:dyDescent="0.25">
      <c r="A9" s="13" t="s">
        <v>107</v>
      </c>
      <c r="B9" s="30">
        <f>SUM(B2:B8)</f>
        <v>401.80820390856729</v>
      </c>
      <c r="C9" s="13">
        <f>SUM(C2:C8)</f>
        <v>495.4240692766993</v>
      </c>
      <c r="D9" s="13">
        <f>SUM(D2:D8)</f>
        <v>350.34648106025975</v>
      </c>
      <c r="E9" s="13">
        <f>SUM(E2:E8)</f>
        <v>409.31585121753204</v>
      </c>
      <c r="F9" s="13">
        <f t="shared" ref="F9:K9" si="0">SUM(F2:F8)</f>
        <v>432.46317637593336</v>
      </c>
      <c r="G9" s="13">
        <f t="shared" si="0"/>
        <v>419.72552492758308</v>
      </c>
      <c r="H9" s="13">
        <f t="shared" si="0"/>
        <v>435.4247872202277</v>
      </c>
      <c r="I9" s="13">
        <f t="shared" si="0"/>
        <v>414.51399434627609</v>
      </c>
      <c r="J9" s="13">
        <f t="shared" si="0"/>
        <v>420.60294062928097</v>
      </c>
      <c r="K9" s="13">
        <f t="shared" si="0"/>
        <v>427.64931636847297</v>
      </c>
      <c r="L9" s="13">
        <f t="shared" ref="L9" si="1">SUM(L2:L8)</f>
        <v>693.29573220723387</v>
      </c>
      <c r="M9" s="13">
        <f>SUM(M2:M8)</f>
        <v>417.71849473296913</v>
      </c>
      <c r="N9" s="13">
        <f>SUM(N2:N8)</f>
        <v>429.16365862234005</v>
      </c>
      <c r="O9" s="13">
        <f>SUM(O2:O8)</f>
        <v>404.10034006319279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XFD1048576"/>
    </sheetView>
  </sheetViews>
  <sheetFormatPr defaultRowHeight="15" x14ac:dyDescent="0.25"/>
  <sheetData>
    <row r="1" spans="1:12" x14ac:dyDescent="0.25">
      <c r="A1" s="31" t="s">
        <v>211</v>
      </c>
      <c r="B1" s="31" t="s">
        <v>212</v>
      </c>
      <c r="C1" s="31" t="s">
        <v>213</v>
      </c>
      <c r="D1" s="31" t="s">
        <v>214</v>
      </c>
      <c r="E1" s="31" t="s">
        <v>215</v>
      </c>
      <c r="F1" s="31" t="s">
        <v>216</v>
      </c>
      <c r="H1" s="32" t="s">
        <v>217</v>
      </c>
      <c r="I1" s="32" t="s">
        <v>218</v>
      </c>
      <c r="J1" s="32" t="s">
        <v>219</v>
      </c>
      <c r="K1" s="32" t="s">
        <v>220</v>
      </c>
      <c r="L1" s="32" t="s">
        <v>221</v>
      </c>
    </row>
    <row r="2" spans="1:12" x14ac:dyDescent="0.25">
      <c r="A2" s="33">
        <v>3.042303</v>
      </c>
      <c r="B2" s="33">
        <f>-(85-1/6*(2*9+5))*LN(PRODUCT(A2:A10))</f>
        <v>290.24191362589852</v>
      </c>
      <c r="C2" s="33">
        <f>CHIINV(1-E2/2,F2*(F2-1)/2)</f>
        <v>21.335881560799049</v>
      </c>
      <c r="D2" s="33">
        <f>CHIINV(E2/2,F2*(F2-1)/2)</f>
        <v>54.437293631813226</v>
      </c>
      <c r="E2" s="33">
        <v>0.05</v>
      </c>
      <c r="F2" s="33">
        <v>9</v>
      </c>
      <c r="H2">
        <f>PRODUCT(B15:B23)/(PRODUCT(B15:B17)*((9-SUM(B15:B17))/(6))^(6))</f>
        <v>0.31698279645679772</v>
      </c>
      <c r="I2">
        <f>-(85-(1/6)*(2*9+5)-(2/3)*3)*LN(H2)</f>
        <v>90.955198967366385</v>
      </c>
      <c r="J2">
        <f>1/2*((9-3)^2-9-3-1)</f>
        <v>11.5</v>
      </c>
      <c r="K2">
        <f>_xlfn.CHISQ.INV(E2/2,J2)</f>
        <v>3.8157482522360988</v>
      </c>
      <c r="L2">
        <f>_xlfn.CHISQ.INV(1-E2/2,J2)</f>
        <v>21.920049261021205</v>
      </c>
    </row>
    <row r="3" spans="1:12" x14ac:dyDescent="0.25">
      <c r="A3" s="33">
        <v>1.863591</v>
      </c>
      <c r="B3" s="33"/>
      <c r="C3" s="33"/>
      <c r="D3" s="33"/>
      <c r="E3" s="33"/>
      <c r="F3" s="33"/>
    </row>
    <row r="4" spans="1:12" x14ac:dyDescent="0.25">
      <c r="A4" s="33">
        <v>1.1753849999999999</v>
      </c>
      <c r="B4" s="33"/>
      <c r="C4" s="33"/>
      <c r="D4" s="33"/>
      <c r="E4" s="33"/>
      <c r="F4" s="33"/>
    </row>
    <row r="5" spans="1:12" x14ac:dyDescent="0.25">
      <c r="A5" s="33">
        <v>0.84197</v>
      </c>
      <c r="B5" s="33"/>
      <c r="C5" s="33"/>
      <c r="D5" s="33"/>
      <c r="E5" s="33"/>
      <c r="F5" s="33"/>
    </row>
    <row r="6" spans="1:12" x14ac:dyDescent="0.25">
      <c r="A6" s="33">
        <v>0.75864699999999996</v>
      </c>
      <c r="B6" s="33"/>
      <c r="C6" s="33"/>
      <c r="D6" s="33"/>
      <c r="E6" s="33"/>
      <c r="F6" s="33"/>
    </row>
    <row r="7" spans="1:12" x14ac:dyDescent="0.25">
      <c r="A7" s="33">
        <v>0.53807099999999997</v>
      </c>
      <c r="B7" s="33"/>
      <c r="C7" s="33"/>
      <c r="D7" s="33"/>
      <c r="E7" s="33"/>
      <c r="F7" s="33"/>
    </row>
    <row r="8" spans="1:12" x14ac:dyDescent="0.25">
      <c r="A8" s="33">
        <v>0.41399000000000002</v>
      </c>
      <c r="B8" s="33"/>
      <c r="C8" s="33"/>
      <c r="D8" s="33"/>
      <c r="E8" s="33"/>
      <c r="F8" s="33"/>
    </row>
    <row r="9" spans="1:12" x14ac:dyDescent="0.25">
      <c r="A9" s="33">
        <v>0.246087</v>
      </c>
      <c r="B9" s="33"/>
      <c r="C9" s="33"/>
      <c r="D9" s="33"/>
      <c r="E9" s="33"/>
      <c r="F9" s="33"/>
    </row>
    <row r="10" spans="1:12" x14ac:dyDescent="0.25">
      <c r="A10" s="33">
        <v>0.119958</v>
      </c>
      <c r="B10" s="33"/>
      <c r="C10" s="33"/>
      <c r="D10" s="33"/>
      <c r="E10" s="33"/>
      <c r="F10" s="33"/>
    </row>
    <row r="11" spans="1:12" x14ac:dyDescent="0.25">
      <c r="A11" s="34"/>
      <c r="B11" s="34"/>
      <c r="C11" s="34"/>
      <c r="D11" s="34"/>
    </row>
    <row r="12" spans="1:12" x14ac:dyDescent="0.25">
      <c r="A12" s="31" t="s">
        <v>222</v>
      </c>
      <c r="B12" s="33">
        <f>NORMSINV((1+0.95)/2)</f>
        <v>1.9599639845400536</v>
      </c>
      <c r="C12" s="34"/>
      <c r="D12" s="34"/>
    </row>
    <row r="13" spans="1:12" x14ac:dyDescent="0.25">
      <c r="A13" s="34"/>
      <c r="B13" s="34"/>
      <c r="C13" s="34"/>
      <c r="D13" s="34"/>
    </row>
    <row r="14" spans="1:12" x14ac:dyDescent="0.25">
      <c r="A14" s="31" t="s">
        <v>223</v>
      </c>
      <c r="B14" s="31" t="s">
        <v>211</v>
      </c>
      <c r="C14" s="31" t="s">
        <v>224</v>
      </c>
      <c r="D14" s="34"/>
    </row>
    <row r="15" spans="1:12" x14ac:dyDescent="0.25">
      <c r="A15" s="33">
        <f>B15/(1+$B$12*SQRT(2/84))</f>
        <v>2.3358685808330386</v>
      </c>
      <c r="B15" s="33">
        <v>3.042303</v>
      </c>
      <c r="C15" s="33">
        <f>B15/(1-$B$12*SQRT(2/84))</f>
        <v>4.3612808410791288</v>
      </c>
      <c r="D15" s="34"/>
    </row>
    <row r="16" spans="1:12" x14ac:dyDescent="0.25">
      <c r="A16" s="33">
        <f t="shared" ref="A16:A23" si="0">B16/(1+$B$12*SQRT(2/84))</f>
        <v>1.430858025786131</v>
      </c>
      <c r="B16" s="33">
        <v>1.863591</v>
      </c>
      <c r="C16" s="33">
        <f t="shared" ref="C16:C23" si="1">B16/(1-$B$12*SQRT(2/84))</f>
        <v>2.6715431447516882</v>
      </c>
      <c r="D16" s="34"/>
    </row>
    <row r="17" spans="1:4" x14ac:dyDescent="0.25">
      <c r="A17" s="33">
        <f t="shared" si="0"/>
        <v>0.90245609720085118</v>
      </c>
      <c r="B17" s="33">
        <v>1.1753849999999999</v>
      </c>
      <c r="C17" s="33">
        <f t="shared" si="1"/>
        <v>1.6849682892834119</v>
      </c>
      <c r="D17" s="34"/>
    </row>
    <row r="18" spans="1:4" x14ac:dyDescent="0.25">
      <c r="A18" s="33">
        <f t="shared" si="0"/>
        <v>0.64646133833612029</v>
      </c>
      <c r="B18" s="33">
        <v>0.84197</v>
      </c>
      <c r="C18" s="33">
        <f t="shared" si="1"/>
        <v>1.2070025995975397</v>
      </c>
      <c r="D18" s="34"/>
    </row>
    <row r="19" spans="1:4" x14ac:dyDescent="0.25">
      <c r="A19" s="33">
        <f t="shared" si="0"/>
        <v>0.58248625835205836</v>
      </c>
      <c r="B19" s="33">
        <v>0.75864699999999996</v>
      </c>
      <c r="C19" s="33">
        <f t="shared" si="1"/>
        <v>1.0875552587109691</v>
      </c>
      <c r="D19" s="34"/>
    </row>
    <row r="20" spans="1:4" x14ac:dyDescent="0.25">
      <c r="A20" s="33">
        <f t="shared" si="0"/>
        <v>0.41312885112278885</v>
      </c>
      <c r="B20" s="33">
        <v>0.53807099999999997</v>
      </c>
      <c r="C20" s="33">
        <f t="shared" si="1"/>
        <v>0.77134944922983928</v>
      </c>
      <c r="D20" s="34"/>
    </row>
    <row r="21" spans="1:4" x14ac:dyDescent="0.25">
      <c r="A21" s="33">
        <f t="shared" si="0"/>
        <v>0.31785993498315906</v>
      </c>
      <c r="B21" s="33">
        <v>0.41399000000000002</v>
      </c>
      <c r="C21" s="33">
        <f t="shared" si="1"/>
        <v>0.59347364657575152</v>
      </c>
      <c r="D21" s="34"/>
    </row>
    <row r="22" spans="1:4" x14ac:dyDescent="0.25">
      <c r="A22" s="33">
        <f t="shared" si="0"/>
        <v>0.18894465523370291</v>
      </c>
      <c r="B22" s="33">
        <v>0.246087</v>
      </c>
      <c r="C22" s="33">
        <f t="shared" si="1"/>
        <v>0.35277699766875281</v>
      </c>
      <c r="D22" s="34"/>
    </row>
    <row r="23" spans="1:4" x14ac:dyDescent="0.25">
      <c r="A23" s="33">
        <f t="shared" si="0"/>
        <v>9.2103292545012663E-2</v>
      </c>
      <c r="B23" s="33">
        <v>0.119958</v>
      </c>
      <c r="C23" s="33">
        <f t="shared" si="1"/>
        <v>0.1719652931132008</v>
      </c>
      <c r="D2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26"/>
  <sheetViews>
    <sheetView tabSelected="1" topLeftCell="A40" zoomScale="145" zoomScaleNormal="145" workbookViewId="0">
      <selection activeCell="H59" sqref="H59"/>
    </sheetView>
  </sheetViews>
  <sheetFormatPr defaultRowHeight="15" x14ac:dyDescent="0.25"/>
  <cols>
    <col min="1" max="1" width="20" customWidth="1"/>
    <col min="2" max="2" width="20.85546875" customWidth="1"/>
    <col min="3" max="6" width="12.7109375" customWidth="1"/>
    <col min="7" max="7" width="13.2851562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5" t="s">
        <v>108</v>
      </c>
    </row>
    <row r="4" spans="1:6" x14ac:dyDescent="0.25">
      <c r="A4" s="15" t="s">
        <v>109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14" t="s">
        <v>110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14" t="s">
        <v>111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14" t="s">
        <v>112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14" t="s">
        <v>113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14" t="s">
        <v>114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14" t="s">
        <v>115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14" t="s">
        <v>116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14" t="s">
        <v>117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14" t="s">
        <v>118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  <row r="41" spans="1:37" x14ac:dyDescent="0.25">
      <c r="A41" s="41" t="s">
        <v>0</v>
      </c>
      <c r="B41" t="s">
        <v>235</v>
      </c>
      <c r="C41" t="s">
        <v>236</v>
      </c>
      <c r="D41" t="s">
        <v>225</v>
      </c>
      <c r="E41" t="s">
        <v>226</v>
      </c>
      <c r="F41" t="s">
        <v>237</v>
      </c>
      <c r="G41" t="s">
        <v>238</v>
      </c>
      <c r="K41" s="41" t="s">
        <v>0</v>
      </c>
      <c r="L41" t="s">
        <v>235</v>
      </c>
      <c r="M41" t="s">
        <v>236</v>
      </c>
      <c r="N41" t="s">
        <v>225</v>
      </c>
      <c r="O41" t="s">
        <v>226</v>
      </c>
      <c r="P41" t="s">
        <v>237</v>
      </c>
      <c r="Q41" t="s">
        <v>238</v>
      </c>
      <c r="U41" s="41" t="s">
        <v>0</v>
      </c>
      <c r="V41" t="s">
        <v>235</v>
      </c>
      <c r="W41" t="s">
        <v>236</v>
      </c>
      <c r="X41" t="s">
        <v>225</v>
      </c>
      <c r="Y41" t="s">
        <v>226</v>
      </c>
      <c r="Z41" t="s">
        <v>237</v>
      </c>
      <c r="AA41" t="s">
        <v>238</v>
      </c>
      <c r="AE41" s="41" t="s">
        <v>0</v>
      </c>
      <c r="AF41" t="s">
        <v>235</v>
      </c>
      <c r="AG41" t="s">
        <v>236</v>
      </c>
      <c r="AH41" t="s">
        <v>225</v>
      </c>
      <c r="AI41" t="s">
        <v>226</v>
      </c>
      <c r="AJ41" t="s">
        <v>237</v>
      </c>
      <c r="AK41" t="s">
        <v>238</v>
      </c>
    </row>
    <row r="42" spans="1:37" x14ac:dyDescent="0.25">
      <c r="A42" s="42" t="s">
        <v>30</v>
      </c>
      <c r="B42" s="38">
        <v>1</v>
      </c>
      <c r="C42" s="38">
        <v>4</v>
      </c>
      <c r="D42" s="39">
        <v>1.6450980753046356</v>
      </c>
      <c r="E42" s="39">
        <v>0.74974708373087584</v>
      </c>
      <c r="F42" s="38">
        <v>4</v>
      </c>
      <c r="G42" s="40">
        <v>4</v>
      </c>
      <c r="K42" s="42" t="s">
        <v>18</v>
      </c>
      <c r="L42" s="38">
        <v>2</v>
      </c>
      <c r="M42" s="38">
        <v>1</v>
      </c>
      <c r="N42" s="39">
        <v>0.74429734346756371</v>
      </c>
      <c r="O42" s="39">
        <v>-0.13192086711486234</v>
      </c>
      <c r="P42" s="38">
        <v>4</v>
      </c>
      <c r="Q42" s="40">
        <v>2</v>
      </c>
      <c r="U42" s="42" t="s">
        <v>24</v>
      </c>
      <c r="V42" s="38">
        <v>4</v>
      </c>
      <c r="W42" s="38">
        <v>1</v>
      </c>
      <c r="X42" s="39">
        <v>0.54605165183376347</v>
      </c>
      <c r="Y42" s="39">
        <v>-0.53505443349905213</v>
      </c>
      <c r="Z42" s="38">
        <v>1</v>
      </c>
      <c r="AA42" s="40">
        <v>2</v>
      </c>
      <c r="AE42" s="42" t="s">
        <v>33</v>
      </c>
      <c r="AF42" s="38">
        <v>3</v>
      </c>
      <c r="AG42" s="38">
        <v>5</v>
      </c>
      <c r="AH42" s="39">
        <v>-1.6668915434485045</v>
      </c>
      <c r="AI42" s="39">
        <v>0.72172255100594862</v>
      </c>
      <c r="AJ42" s="38">
        <v>2</v>
      </c>
      <c r="AK42" s="40">
        <v>1</v>
      </c>
    </row>
    <row r="43" spans="1:37" x14ac:dyDescent="0.25">
      <c r="A43" s="42" t="s">
        <v>62</v>
      </c>
      <c r="B43" s="38">
        <v>1</v>
      </c>
      <c r="C43" s="38">
        <v>4</v>
      </c>
      <c r="D43" s="39">
        <v>2.0167870980768274</v>
      </c>
      <c r="E43" s="39">
        <v>1.5270940393233268</v>
      </c>
      <c r="F43" s="38">
        <v>5</v>
      </c>
      <c r="G43" s="40">
        <v>4</v>
      </c>
      <c r="K43" s="42" t="s">
        <v>20</v>
      </c>
      <c r="L43" s="38">
        <v>2</v>
      </c>
      <c r="M43" s="38">
        <v>1</v>
      </c>
      <c r="N43" s="39">
        <v>0.17584662136898591</v>
      </c>
      <c r="O43" s="39">
        <v>0.25370415592097911</v>
      </c>
      <c r="P43" s="38">
        <v>2</v>
      </c>
      <c r="Q43" s="40">
        <v>5</v>
      </c>
      <c r="U43" s="42" t="s">
        <v>36</v>
      </c>
      <c r="V43" s="38">
        <v>2</v>
      </c>
      <c r="W43" s="38">
        <v>5</v>
      </c>
      <c r="X43" s="39">
        <v>-0.29303341577799391</v>
      </c>
      <c r="Y43" s="39">
        <v>-0.77836499856168717</v>
      </c>
      <c r="Z43" s="38">
        <v>1</v>
      </c>
      <c r="AA43" s="40">
        <v>3</v>
      </c>
      <c r="AE43" s="42" t="s">
        <v>44</v>
      </c>
      <c r="AF43" s="38">
        <v>3</v>
      </c>
      <c r="AG43" s="38">
        <v>5</v>
      </c>
      <c r="AH43" s="39">
        <v>-2.1427236047222697</v>
      </c>
      <c r="AI43" s="39">
        <v>0.86357728933905908</v>
      </c>
      <c r="AJ43" s="38">
        <v>3</v>
      </c>
      <c r="AK43" s="40">
        <v>1</v>
      </c>
    </row>
    <row r="44" spans="1:37" x14ac:dyDescent="0.25">
      <c r="A44" s="42" t="s">
        <v>63</v>
      </c>
      <c r="B44" s="38">
        <v>1</v>
      </c>
      <c r="C44" s="38">
        <v>4</v>
      </c>
      <c r="D44" s="39">
        <v>2.4004749266290126</v>
      </c>
      <c r="E44" s="39">
        <v>1.5243648928990807</v>
      </c>
      <c r="F44" s="38">
        <v>1</v>
      </c>
      <c r="G44" s="40">
        <v>5</v>
      </c>
      <c r="K44" s="42" t="s">
        <v>22</v>
      </c>
      <c r="L44" s="38">
        <v>2</v>
      </c>
      <c r="M44" s="38">
        <v>1</v>
      </c>
      <c r="N44" s="39">
        <v>0.66407784375104573</v>
      </c>
      <c r="O44" s="39">
        <v>-8.7311588568459289E-2</v>
      </c>
      <c r="P44" s="38">
        <v>4</v>
      </c>
      <c r="Q44" s="40">
        <v>2</v>
      </c>
      <c r="U44" s="42" t="s">
        <v>52</v>
      </c>
      <c r="V44" s="38">
        <v>2</v>
      </c>
      <c r="W44" s="38">
        <v>1</v>
      </c>
      <c r="X44" s="39">
        <v>0.206866456251321</v>
      </c>
      <c r="Y44" s="39">
        <v>-0.21524912720861458</v>
      </c>
      <c r="Z44" s="38">
        <v>1</v>
      </c>
      <c r="AA44" s="40">
        <v>3</v>
      </c>
      <c r="AE44" s="42" t="s">
        <v>47</v>
      </c>
      <c r="AF44" s="38">
        <v>3</v>
      </c>
      <c r="AG44" s="38">
        <v>2</v>
      </c>
      <c r="AH44" s="39">
        <v>-3.1229598174967892</v>
      </c>
      <c r="AI44" s="39">
        <v>2.8273862582707006</v>
      </c>
      <c r="AJ44" s="38">
        <v>5</v>
      </c>
      <c r="AK44" s="40">
        <v>1</v>
      </c>
    </row>
    <row r="45" spans="1:37" x14ac:dyDescent="0.25">
      <c r="A45" s="42" t="s">
        <v>95</v>
      </c>
      <c r="B45" s="38">
        <v>1</v>
      </c>
      <c r="C45" s="38">
        <v>4</v>
      </c>
      <c r="D45" s="39">
        <v>2.3595296237008792</v>
      </c>
      <c r="E45" s="39">
        <v>1.8882008388226073</v>
      </c>
      <c r="F45" s="38">
        <v>2</v>
      </c>
      <c r="G45" s="40">
        <v>4</v>
      </c>
      <c r="K45" s="42" t="s">
        <v>24</v>
      </c>
      <c r="L45" s="38">
        <v>4</v>
      </c>
      <c r="M45" s="38">
        <v>1</v>
      </c>
      <c r="N45" s="39">
        <v>0.54605165183376347</v>
      </c>
      <c r="O45" s="39">
        <v>-0.53505443349905213</v>
      </c>
      <c r="P45" s="38">
        <v>1</v>
      </c>
      <c r="Q45" s="40">
        <v>2</v>
      </c>
      <c r="U45" s="42" t="s">
        <v>53</v>
      </c>
      <c r="V45" s="38">
        <v>2</v>
      </c>
      <c r="W45" s="38">
        <v>1</v>
      </c>
      <c r="X45" s="39">
        <v>0.59442235562891499</v>
      </c>
      <c r="Y45" s="39">
        <v>-0.24340238664447181</v>
      </c>
      <c r="Z45" s="38">
        <v>1</v>
      </c>
      <c r="AA45" s="40">
        <v>2</v>
      </c>
      <c r="AE45" s="42" t="s">
        <v>97</v>
      </c>
      <c r="AF45" s="38">
        <v>3</v>
      </c>
      <c r="AG45" s="38">
        <v>2</v>
      </c>
      <c r="AH45" s="39">
        <v>-3.2953468409404016</v>
      </c>
      <c r="AI45" s="39">
        <v>3.4077314522301014</v>
      </c>
      <c r="AJ45" s="38">
        <v>3</v>
      </c>
      <c r="AK45" s="40">
        <v>1</v>
      </c>
    </row>
    <row r="46" spans="1:37" x14ac:dyDescent="0.25">
      <c r="A46" s="42" t="s">
        <v>17</v>
      </c>
      <c r="B46" s="38">
        <v>2</v>
      </c>
      <c r="C46" s="38">
        <v>5</v>
      </c>
      <c r="D46" s="39">
        <v>-0.8552454272290092</v>
      </c>
      <c r="E46" s="39">
        <v>0.16475424583626697</v>
      </c>
      <c r="F46" s="38">
        <v>5</v>
      </c>
      <c r="G46" s="40">
        <v>3</v>
      </c>
      <c r="K46" s="42" t="s">
        <v>28</v>
      </c>
      <c r="L46" s="38">
        <v>2</v>
      </c>
      <c r="M46" s="38">
        <v>1</v>
      </c>
      <c r="N46" s="39">
        <v>-7.1279485554173808E-3</v>
      </c>
      <c r="O46" s="39">
        <v>-0.46889219388340092</v>
      </c>
      <c r="P46" s="38">
        <v>2</v>
      </c>
      <c r="Q46" s="40">
        <v>2</v>
      </c>
      <c r="U46" s="42" t="s">
        <v>61</v>
      </c>
      <c r="V46" s="38">
        <v>2</v>
      </c>
      <c r="W46" s="38">
        <v>3</v>
      </c>
      <c r="X46" s="39">
        <v>-0.38057949214267195</v>
      </c>
      <c r="Y46" s="39">
        <v>-0.28465892672474047</v>
      </c>
      <c r="Z46" s="38">
        <v>1</v>
      </c>
      <c r="AA46" s="40">
        <v>2</v>
      </c>
      <c r="AE46" s="42" t="s">
        <v>98</v>
      </c>
      <c r="AF46" s="38">
        <v>3</v>
      </c>
      <c r="AG46" s="38">
        <v>2</v>
      </c>
      <c r="AH46" s="39">
        <v>-1.6420537453849324</v>
      </c>
      <c r="AI46" s="39">
        <v>3.3899464444781287</v>
      </c>
      <c r="AJ46" s="38">
        <v>5</v>
      </c>
      <c r="AK46" s="40">
        <v>1</v>
      </c>
    </row>
    <row r="47" spans="1:37" x14ac:dyDescent="0.25">
      <c r="A47" s="42" t="s">
        <v>18</v>
      </c>
      <c r="B47" s="38">
        <v>2</v>
      </c>
      <c r="C47" s="38">
        <v>1</v>
      </c>
      <c r="D47" s="39">
        <v>0.74429734346756371</v>
      </c>
      <c r="E47" s="39">
        <v>-0.13192086711486234</v>
      </c>
      <c r="F47" s="38">
        <v>4</v>
      </c>
      <c r="G47" s="40">
        <v>2</v>
      </c>
      <c r="K47" s="42" t="s">
        <v>29</v>
      </c>
      <c r="L47" s="38">
        <v>2</v>
      </c>
      <c r="M47" s="38">
        <v>1</v>
      </c>
      <c r="N47" s="39">
        <v>-7.5027488478993765E-2</v>
      </c>
      <c r="O47" s="39">
        <v>-0.64135416676672852</v>
      </c>
      <c r="P47" s="38">
        <v>2</v>
      </c>
      <c r="Q47" s="40">
        <v>3</v>
      </c>
      <c r="U47" s="42" t="s">
        <v>63</v>
      </c>
      <c r="V47" s="38">
        <v>1</v>
      </c>
      <c r="W47" s="38">
        <v>4</v>
      </c>
      <c r="X47" s="39">
        <v>2.4004749266290126</v>
      </c>
      <c r="Y47" s="39">
        <v>1.5243648928990807</v>
      </c>
      <c r="Z47" s="38">
        <v>1</v>
      </c>
      <c r="AA47" s="40">
        <v>5</v>
      </c>
      <c r="AE47" s="42" t="s">
        <v>18</v>
      </c>
      <c r="AF47" s="38">
        <v>2</v>
      </c>
      <c r="AG47" s="38">
        <v>1</v>
      </c>
      <c r="AH47" s="39">
        <v>0.74429734346756371</v>
      </c>
      <c r="AI47" s="39">
        <v>-0.13192086711486234</v>
      </c>
      <c r="AJ47" s="38">
        <v>4</v>
      </c>
      <c r="AK47" s="40">
        <v>2</v>
      </c>
    </row>
    <row r="48" spans="1:37" x14ac:dyDescent="0.25">
      <c r="A48" s="42" t="s">
        <v>20</v>
      </c>
      <c r="B48" s="38">
        <v>2</v>
      </c>
      <c r="C48" s="38">
        <v>1</v>
      </c>
      <c r="D48" s="39">
        <v>0.17584662136898591</v>
      </c>
      <c r="E48" s="39">
        <v>0.25370415592097911</v>
      </c>
      <c r="F48" s="38">
        <v>2</v>
      </c>
      <c r="G48" s="40">
        <v>5</v>
      </c>
      <c r="K48" s="42" t="s">
        <v>31</v>
      </c>
      <c r="L48" s="38">
        <v>2</v>
      </c>
      <c r="M48" s="38">
        <v>1</v>
      </c>
      <c r="N48" s="39">
        <v>0.63199967232943455</v>
      </c>
      <c r="O48" s="39">
        <v>0.43621763977433048</v>
      </c>
      <c r="P48" s="38">
        <v>5</v>
      </c>
      <c r="Q48" s="40">
        <v>5</v>
      </c>
      <c r="U48" s="42" t="s">
        <v>64</v>
      </c>
      <c r="V48" s="38">
        <v>4</v>
      </c>
      <c r="W48" s="38">
        <v>3</v>
      </c>
      <c r="X48" s="39">
        <v>0.54948196782528946</v>
      </c>
      <c r="Y48" s="39">
        <v>-1.1501117532461529</v>
      </c>
      <c r="Z48" s="38">
        <v>1</v>
      </c>
      <c r="AA48" s="40">
        <v>2</v>
      </c>
      <c r="AE48" s="42" t="s">
        <v>19</v>
      </c>
      <c r="AF48" s="38">
        <v>4</v>
      </c>
      <c r="AG48" s="38">
        <v>3</v>
      </c>
      <c r="AH48" s="39">
        <v>0.55135941082757312</v>
      </c>
      <c r="AI48" s="39">
        <v>6.5124851736002243E-2</v>
      </c>
      <c r="AJ48" s="38">
        <v>4</v>
      </c>
      <c r="AK48" s="40">
        <v>2</v>
      </c>
    </row>
    <row r="49" spans="1:37" x14ac:dyDescent="0.25">
      <c r="A49" s="42" t="s">
        <v>21</v>
      </c>
      <c r="B49" s="38">
        <v>2</v>
      </c>
      <c r="C49" s="38">
        <v>5</v>
      </c>
      <c r="D49" s="39">
        <v>-0.3613091895056123</v>
      </c>
      <c r="E49" s="39">
        <v>-1.0502625970543691</v>
      </c>
      <c r="F49" s="38">
        <v>2</v>
      </c>
      <c r="G49" s="40">
        <v>3</v>
      </c>
      <c r="K49" s="42" t="s">
        <v>32</v>
      </c>
      <c r="L49" s="38">
        <v>2</v>
      </c>
      <c r="M49" s="38">
        <v>1</v>
      </c>
      <c r="N49" s="39">
        <v>0.25584108327333882</v>
      </c>
      <c r="O49" s="39">
        <v>0.23673242345873224</v>
      </c>
      <c r="P49" s="38">
        <v>2</v>
      </c>
      <c r="Q49" s="40">
        <v>5</v>
      </c>
      <c r="U49" s="42" t="s">
        <v>68</v>
      </c>
      <c r="V49" s="38">
        <v>2</v>
      </c>
      <c r="W49" s="38">
        <v>1</v>
      </c>
      <c r="X49" s="39">
        <v>0.16014978428007182</v>
      </c>
      <c r="Y49" s="39">
        <v>-0.58830442637864933</v>
      </c>
      <c r="Z49" s="38">
        <v>1</v>
      </c>
      <c r="AA49" s="40">
        <v>2</v>
      </c>
      <c r="AE49" s="42" t="s">
        <v>22</v>
      </c>
      <c r="AF49" s="38">
        <v>2</v>
      </c>
      <c r="AG49" s="38">
        <v>1</v>
      </c>
      <c r="AH49" s="39">
        <v>0.66407784375104573</v>
      </c>
      <c r="AI49" s="39">
        <v>-8.7311588568459289E-2</v>
      </c>
      <c r="AJ49" s="38">
        <v>4</v>
      </c>
      <c r="AK49" s="40">
        <v>2</v>
      </c>
    </row>
    <row r="50" spans="1:37" x14ac:dyDescent="0.25">
      <c r="A50" s="42" t="s">
        <v>22</v>
      </c>
      <c r="B50" s="38">
        <v>2</v>
      </c>
      <c r="C50" s="38">
        <v>1</v>
      </c>
      <c r="D50" s="39">
        <v>0.66407784375104573</v>
      </c>
      <c r="E50" s="39">
        <v>-8.7311588568459289E-2</v>
      </c>
      <c r="F50" s="38">
        <v>4</v>
      </c>
      <c r="G50" s="40">
        <v>2</v>
      </c>
      <c r="K50" s="42" t="s">
        <v>38</v>
      </c>
      <c r="L50" s="38">
        <v>2</v>
      </c>
      <c r="M50" s="38">
        <v>1</v>
      </c>
      <c r="N50" s="39">
        <v>0.55598953438220522</v>
      </c>
      <c r="O50" s="39">
        <v>0.36992685755264626</v>
      </c>
      <c r="P50" s="38">
        <v>5</v>
      </c>
      <c r="Q50" s="40">
        <v>4</v>
      </c>
      <c r="U50" s="42" t="s">
        <v>72</v>
      </c>
      <c r="V50" s="38">
        <v>2</v>
      </c>
      <c r="W50" s="38">
        <v>1</v>
      </c>
      <c r="X50" s="39">
        <v>0.484467756484109</v>
      </c>
      <c r="Y50" s="39">
        <v>0.42536730318197968</v>
      </c>
      <c r="Z50" s="38">
        <v>1</v>
      </c>
      <c r="AA50" s="40">
        <v>4</v>
      </c>
      <c r="AE50" s="42" t="s">
        <v>24</v>
      </c>
      <c r="AF50" s="38">
        <v>4</v>
      </c>
      <c r="AG50" s="38">
        <v>1</v>
      </c>
      <c r="AH50" s="39">
        <v>0.54605165183376347</v>
      </c>
      <c r="AI50" s="39">
        <v>-0.53505443349905213</v>
      </c>
      <c r="AJ50" s="38">
        <v>1</v>
      </c>
      <c r="AK50" s="40">
        <v>2</v>
      </c>
    </row>
    <row r="51" spans="1:37" x14ac:dyDescent="0.25">
      <c r="A51" s="42" t="s">
        <v>23</v>
      </c>
      <c r="B51" s="38">
        <v>2</v>
      </c>
      <c r="C51" s="38">
        <v>5</v>
      </c>
      <c r="D51" s="39">
        <v>-0.47236462061264362</v>
      </c>
      <c r="E51" s="39">
        <v>-0.34052876250758157</v>
      </c>
      <c r="F51" s="38">
        <v>2</v>
      </c>
      <c r="G51" s="40">
        <v>3</v>
      </c>
      <c r="K51" s="42" t="s">
        <v>39</v>
      </c>
      <c r="L51" s="38">
        <v>2</v>
      </c>
      <c r="M51" s="38">
        <v>1</v>
      </c>
      <c r="N51" s="39">
        <v>0.1537397590988735</v>
      </c>
      <c r="O51" s="39">
        <v>-0.12248831943674655</v>
      </c>
      <c r="P51" s="38">
        <v>2</v>
      </c>
      <c r="Q51" s="40">
        <v>3</v>
      </c>
      <c r="U51" s="42" t="s">
        <v>76</v>
      </c>
      <c r="V51" s="38">
        <v>2</v>
      </c>
      <c r="W51" s="38">
        <v>1</v>
      </c>
      <c r="X51" s="39">
        <v>0.27493403227950697</v>
      </c>
      <c r="Y51" s="39">
        <v>-0.68834654154526809</v>
      </c>
      <c r="Z51" s="38">
        <v>1</v>
      </c>
      <c r="AA51" s="40">
        <v>2</v>
      </c>
      <c r="AE51" s="42" t="s">
        <v>28</v>
      </c>
      <c r="AF51" s="38">
        <v>2</v>
      </c>
      <c r="AG51" s="38">
        <v>1</v>
      </c>
      <c r="AH51" s="39">
        <v>-7.1279485554173808E-3</v>
      </c>
      <c r="AI51" s="39">
        <v>-0.46889219388340092</v>
      </c>
      <c r="AJ51" s="38">
        <v>2</v>
      </c>
      <c r="AK51" s="40">
        <v>2</v>
      </c>
    </row>
    <row r="52" spans="1:37" x14ac:dyDescent="0.25">
      <c r="A52" s="42" t="s">
        <v>28</v>
      </c>
      <c r="B52" s="38">
        <v>2</v>
      </c>
      <c r="C52" s="38">
        <v>1</v>
      </c>
      <c r="D52" s="39">
        <v>-7.1279485554173808E-3</v>
      </c>
      <c r="E52" s="39">
        <v>-0.46889219388340092</v>
      </c>
      <c r="F52" s="38">
        <v>2</v>
      </c>
      <c r="G52" s="40">
        <v>2</v>
      </c>
      <c r="K52" s="42" t="s">
        <v>41</v>
      </c>
      <c r="L52" s="38">
        <v>4</v>
      </c>
      <c r="M52" s="38">
        <v>1</v>
      </c>
      <c r="N52" s="39">
        <v>0.37178713265683538</v>
      </c>
      <c r="O52" s="39">
        <v>-0.47906210129195392</v>
      </c>
      <c r="P52" s="38">
        <v>4</v>
      </c>
      <c r="Q52" s="40">
        <v>2</v>
      </c>
      <c r="U52" s="42" t="s">
        <v>88</v>
      </c>
      <c r="V52" s="38">
        <v>2</v>
      </c>
      <c r="W52" s="38">
        <v>1</v>
      </c>
      <c r="X52" s="39">
        <v>0.27283018865904274</v>
      </c>
      <c r="Y52" s="39">
        <v>-0.30328306413293937</v>
      </c>
      <c r="Z52" s="38">
        <v>1</v>
      </c>
      <c r="AA52" s="40">
        <v>2</v>
      </c>
      <c r="AE52" s="42" t="s">
        <v>37</v>
      </c>
      <c r="AF52" s="38">
        <v>2</v>
      </c>
      <c r="AG52" s="38">
        <v>5</v>
      </c>
      <c r="AH52" s="39">
        <v>-0.33345235351372465</v>
      </c>
      <c r="AI52" s="39">
        <v>-0.68823478132908256</v>
      </c>
      <c r="AJ52" s="38">
        <v>5</v>
      </c>
      <c r="AK52" s="40">
        <v>2</v>
      </c>
    </row>
    <row r="53" spans="1:37" x14ac:dyDescent="0.25">
      <c r="A53" s="42" t="s">
        <v>29</v>
      </c>
      <c r="B53" s="38">
        <v>2</v>
      </c>
      <c r="C53" s="38">
        <v>1</v>
      </c>
      <c r="D53" s="39">
        <v>-7.5027488478993765E-2</v>
      </c>
      <c r="E53" s="39">
        <v>-0.64135416676672852</v>
      </c>
      <c r="F53" s="38">
        <v>2</v>
      </c>
      <c r="G53" s="40">
        <v>3</v>
      </c>
      <c r="K53" s="42" t="s">
        <v>48</v>
      </c>
      <c r="L53" s="38">
        <v>2</v>
      </c>
      <c r="M53" s="38">
        <v>1</v>
      </c>
      <c r="N53" s="39">
        <v>3.3527132941790314E-2</v>
      </c>
      <c r="O53" s="39">
        <v>-0.69636259218025331</v>
      </c>
      <c r="P53" s="38">
        <v>3</v>
      </c>
      <c r="Q53" s="40">
        <v>2</v>
      </c>
      <c r="U53" s="42" t="s">
        <v>91</v>
      </c>
      <c r="V53" s="38">
        <v>2</v>
      </c>
      <c r="W53" s="38">
        <v>1</v>
      </c>
      <c r="X53" s="39">
        <v>0.5561516086677204</v>
      </c>
      <c r="Y53" s="39">
        <v>-0.1737745171200526</v>
      </c>
      <c r="Z53" s="38">
        <v>1</v>
      </c>
      <c r="AA53" s="40">
        <v>2</v>
      </c>
      <c r="AE53" s="42" t="s">
        <v>40</v>
      </c>
      <c r="AF53" s="38">
        <v>5</v>
      </c>
      <c r="AG53" s="38">
        <v>3</v>
      </c>
      <c r="AH53" s="39">
        <v>-0.48486101111376884</v>
      </c>
      <c r="AI53" s="39">
        <v>-1.1674328689694182</v>
      </c>
      <c r="AJ53" s="38">
        <v>5</v>
      </c>
      <c r="AK53" s="40">
        <v>2</v>
      </c>
    </row>
    <row r="54" spans="1:37" x14ac:dyDescent="0.25">
      <c r="A54" s="42" t="s">
        <v>31</v>
      </c>
      <c r="B54" s="38">
        <v>2</v>
      </c>
      <c r="C54" s="38">
        <v>1</v>
      </c>
      <c r="D54" s="39">
        <v>0.63199967232943455</v>
      </c>
      <c r="E54" s="39">
        <v>0.43621763977433048</v>
      </c>
      <c r="F54" s="38">
        <v>5</v>
      </c>
      <c r="G54" s="40">
        <v>5</v>
      </c>
      <c r="K54" s="42" t="s">
        <v>50</v>
      </c>
      <c r="L54" s="38">
        <v>2</v>
      </c>
      <c r="M54" s="38">
        <v>1</v>
      </c>
      <c r="N54" s="39">
        <v>0.76201921528072347</v>
      </c>
      <c r="O54" s="39">
        <v>0.24508869614022036</v>
      </c>
      <c r="P54" s="38">
        <v>5</v>
      </c>
      <c r="Q54" s="40">
        <v>4</v>
      </c>
      <c r="U54" s="42" t="s">
        <v>15</v>
      </c>
      <c r="V54" s="38">
        <v>5</v>
      </c>
      <c r="W54" s="38">
        <v>3</v>
      </c>
      <c r="X54" s="39">
        <v>4.1589599079267046E-3</v>
      </c>
      <c r="Y54" s="39">
        <v>-1.0974827049021127</v>
      </c>
      <c r="Z54" s="38">
        <v>2</v>
      </c>
      <c r="AA54" s="40">
        <v>3</v>
      </c>
      <c r="AE54" s="42" t="s">
        <v>41</v>
      </c>
      <c r="AF54" s="38">
        <v>4</v>
      </c>
      <c r="AG54" s="38">
        <v>1</v>
      </c>
      <c r="AH54" s="39">
        <v>0.37178713265683538</v>
      </c>
      <c r="AI54" s="39">
        <v>-0.47906210129195392</v>
      </c>
      <c r="AJ54" s="38">
        <v>4</v>
      </c>
      <c r="AK54" s="40">
        <v>2</v>
      </c>
    </row>
    <row r="55" spans="1:37" x14ac:dyDescent="0.25">
      <c r="A55" s="42" t="s">
        <v>32</v>
      </c>
      <c r="B55" s="38">
        <v>2</v>
      </c>
      <c r="C55" s="38">
        <v>1</v>
      </c>
      <c r="D55" s="39">
        <v>0.25584108327333882</v>
      </c>
      <c r="E55" s="39">
        <v>0.23673242345873224</v>
      </c>
      <c r="F55" s="38">
        <v>2</v>
      </c>
      <c r="G55" s="40">
        <v>5</v>
      </c>
      <c r="K55" s="42" t="s">
        <v>51</v>
      </c>
      <c r="L55" s="38">
        <v>4</v>
      </c>
      <c r="M55" s="38">
        <v>1</v>
      </c>
      <c r="N55" s="39">
        <v>0.53342286344219358</v>
      </c>
      <c r="O55" s="39">
        <v>-0.59167600626156946</v>
      </c>
      <c r="P55" s="38">
        <v>5</v>
      </c>
      <c r="Q55" s="40">
        <v>2</v>
      </c>
      <c r="U55" s="42" t="s">
        <v>20</v>
      </c>
      <c r="V55" s="38">
        <v>2</v>
      </c>
      <c r="W55" s="38">
        <v>1</v>
      </c>
      <c r="X55" s="39">
        <v>0.17584662136898591</v>
      </c>
      <c r="Y55" s="39">
        <v>0.25370415592097911</v>
      </c>
      <c r="Z55" s="38">
        <v>2</v>
      </c>
      <c r="AA55" s="40">
        <v>5</v>
      </c>
      <c r="AE55" s="42" t="s">
        <v>42</v>
      </c>
      <c r="AF55" s="38">
        <v>2</v>
      </c>
      <c r="AG55" s="38">
        <v>5</v>
      </c>
      <c r="AH55" s="39">
        <v>-0.27647820223799713</v>
      </c>
      <c r="AI55" s="39">
        <v>0.26612729570288401</v>
      </c>
      <c r="AJ55" s="38">
        <v>2</v>
      </c>
      <c r="AK55" s="40">
        <v>2</v>
      </c>
    </row>
    <row r="56" spans="1:37" x14ac:dyDescent="0.25">
      <c r="A56" s="42" t="s">
        <v>36</v>
      </c>
      <c r="B56" s="38">
        <v>2</v>
      </c>
      <c r="C56" s="38">
        <v>5</v>
      </c>
      <c r="D56" s="39">
        <v>-0.29303341577799391</v>
      </c>
      <c r="E56" s="39">
        <v>-0.77836499856168717</v>
      </c>
      <c r="F56" s="38">
        <v>1</v>
      </c>
      <c r="G56" s="40">
        <v>3</v>
      </c>
      <c r="K56" s="42" t="s">
        <v>52</v>
      </c>
      <c r="L56" s="38">
        <v>2</v>
      </c>
      <c r="M56" s="38">
        <v>1</v>
      </c>
      <c r="N56" s="39">
        <v>0.206866456251321</v>
      </c>
      <c r="O56" s="39">
        <v>-0.21524912720861458</v>
      </c>
      <c r="P56" s="38">
        <v>1</v>
      </c>
      <c r="Q56" s="40">
        <v>3</v>
      </c>
      <c r="U56" s="42" t="s">
        <v>21</v>
      </c>
      <c r="V56" s="38">
        <v>2</v>
      </c>
      <c r="W56" s="38">
        <v>5</v>
      </c>
      <c r="X56" s="39">
        <v>-0.3613091895056123</v>
      </c>
      <c r="Y56" s="39">
        <v>-1.0502625970543691</v>
      </c>
      <c r="Z56" s="38">
        <v>2</v>
      </c>
      <c r="AA56" s="40">
        <v>3</v>
      </c>
      <c r="AE56" s="42" t="s">
        <v>43</v>
      </c>
      <c r="AF56" s="38">
        <v>5</v>
      </c>
      <c r="AG56" s="38">
        <v>3</v>
      </c>
      <c r="AH56" s="39">
        <v>-4.8631875031598937E-3</v>
      </c>
      <c r="AI56" s="39">
        <v>-0.38739049285596661</v>
      </c>
      <c r="AJ56" s="38">
        <v>5</v>
      </c>
      <c r="AK56" s="40">
        <v>2</v>
      </c>
    </row>
    <row r="57" spans="1:37" x14ac:dyDescent="0.25">
      <c r="A57" s="42" t="s">
        <v>37</v>
      </c>
      <c r="B57" s="38">
        <v>2</v>
      </c>
      <c r="C57" s="38">
        <v>5</v>
      </c>
      <c r="D57" s="39">
        <v>-0.33345235351372465</v>
      </c>
      <c r="E57" s="39">
        <v>-0.68823478132908256</v>
      </c>
      <c r="F57" s="38">
        <v>5</v>
      </c>
      <c r="G57" s="40">
        <v>2</v>
      </c>
      <c r="K57" s="42" t="s">
        <v>53</v>
      </c>
      <c r="L57" s="38">
        <v>2</v>
      </c>
      <c r="M57" s="38">
        <v>1</v>
      </c>
      <c r="N57" s="39">
        <v>0.59442235562891499</v>
      </c>
      <c r="O57" s="39">
        <v>-0.24340238664447181</v>
      </c>
      <c r="P57" s="38">
        <v>1</v>
      </c>
      <c r="Q57" s="40">
        <v>2</v>
      </c>
      <c r="U57" s="42" t="s">
        <v>23</v>
      </c>
      <c r="V57" s="38">
        <v>2</v>
      </c>
      <c r="W57" s="38">
        <v>5</v>
      </c>
      <c r="X57" s="39">
        <v>-0.47236462061264362</v>
      </c>
      <c r="Y57" s="39">
        <v>-0.34052876250758157</v>
      </c>
      <c r="Z57" s="38">
        <v>2</v>
      </c>
      <c r="AA57" s="40">
        <v>3</v>
      </c>
      <c r="AE57" s="42" t="s">
        <v>48</v>
      </c>
      <c r="AF57" s="38">
        <v>2</v>
      </c>
      <c r="AG57" s="38">
        <v>1</v>
      </c>
      <c r="AH57" s="39">
        <v>3.3527132941790314E-2</v>
      </c>
      <c r="AI57" s="39">
        <v>-0.69636259218025331</v>
      </c>
      <c r="AJ57" s="38">
        <v>3</v>
      </c>
      <c r="AK57" s="40">
        <v>2</v>
      </c>
    </row>
    <row r="58" spans="1:37" x14ac:dyDescent="0.25">
      <c r="A58" s="42" t="s">
        <v>38</v>
      </c>
      <c r="B58" s="38">
        <v>2</v>
      </c>
      <c r="C58" s="38">
        <v>1</v>
      </c>
      <c r="D58" s="39">
        <v>0.55598953438220522</v>
      </c>
      <c r="E58" s="39">
        <v>0.36992685755264626</v>
      </c>
      <c r="F58" s="38">
        <v>5</v>
      </c>
      <c r="G58" s="40">
        <v>4</v>
      </c>
      <c r="K58" s="42" t="s">
        <v>55</v>
      </c>
      <c r="L58" s="38">
        <v>2</v>
      </c>
      <c r="M58" s="38">
        <v>1</v>
      </c>
      <c r="N58" s="39">
        <v>-0.1002677098943157</v>
      </c>
      <c r="O58" s="39">
        <v>-5.2115210079899006E-3</v>
      </c>
      <c r="P58" s="38">
        <v>2</v>
      </c>
      <c r="Q58" s="40">
        <v>5</v>
      </c>
      <c r="U58" s="42" t="s">
        <v>26</v>
      </c>
      <c r="V58" s="38">
        <v>5</v>
      </c>
      <c r="W58" s="38">
        <v>5</v>
      </c>
      <c r="X58" s="39">
        <v>-1.0919942651125929</v>
      </c>
      <c r="Y58" s="39">
        <v>-0.93960786836193566</v>
      </c>
      <c r="Z58" s="38">
        <v>2</v>
      </c>
      <c r="AA58" s="40">
        <v>3</v>
      </c>
      <c r="AE58" s="42" t="s">
        <v>49</v>
      </c>
      <c r="AF58" s="38">
        <v>5</v>
      </c>
      <c r="AG58" s="38">
        <v>3</v>
      </c>
      <c r="AH58" s="39">
        <v>-0.73128874346715089</v>
      </c>
      <c r="AI58" s="39">
        <v>-1.0421240955729403</v>
      </c>
      <c r="AJ58" s="38">
        <v>5</v>
      </c>
      <c r="AK58" s="40">
        <v>2</v>
      </c>
    </row>
    <row r="59" spans="1:37" x14ac:dyDescent="0.25">
      <c r="A59" s="42" t="s">
        <v>39</v>
      </c>
      <c r="B59" s="38">
        <v>2</v>
      </c>
      <c r="C59" s="38">
        <v>1</v>
      </c>
      <c r="D59" s="39">
        <v>0.1537397590988735</v>
      </c>
      <c r="E59" s="39">
        <v>-0.12248831943674655</v>
      </c>
      <c r="F59" s="38">
        <v>2</v>
      </c>
      <c r="G59" s="40">
        <v>3</v>
      </c>
      <c r="K59" s="42" t="s">
        <v>67</v>
      </c>
      <c r="L59" s="38">
        <v>2</v>
      </c>
      <c r="M59" s="38">
        <v>1</v>
      </c>
      <c r="N59" s="39">
        <v>0.68963765539347199</v>
      </c>
      <c r="O59" s="39">
        <v>-2.7830462251566837E-2</v>
      </c>
      <c r="P59" s="38">
        <v>2</v>
      </c>
      <c r="Q59" s="40">
        <v>5</v>
      </c>
      <c r="U59" s="42" t="s">
        <v>28</v>
      </c>
      <c r="V59" s="38">
        <v>2</v>
      </c>
      <c r="W59" s="38">
        <v>1</v>
      </c>
      <c r="X59" s="39">
        <v>-7.1279485554173808E-3</v>
      </c>
      <c r="Y59" s="39">
        <v>-0.46889219388340092</v>
      </c>
      <c r="Z59" s="38">
        <v>2</v>
      </c>
      <c r="AA59" s="40">
        <v>2</v>
      </c>
      <c r="AE59" s="42" t="s">
        <v>51</v>
      </c>
      <c r="AF59" s="38">
        <v>4</v>
      </c>
      <c r="AG59" s="38">
        <v>1</v>
      </c>
      <c r="AH59" s="39">
        <v>0.53342286344219358</v>
      </c>
      <c r="AI59" s="39">
        <v>-0.59167600626156946</v>
      </c>
      <c r="AJ59" s="38">
        <v>5</v>
      </c>
      <c r="AK59" s="40">
        <v>2</v>
      </c>
    </row>
    <row r="60" spans="1:37" x14ac:dyDescent="0.25">
      <c r="A60" s="42" t="s">
        <v>42</v>
      </c>
      <c r="B60" s="38">
        <v>2</v>
      </c>
      <c r="C60" s="38">
        <v>5</v>
      </c>
      <c r="D60" s="39">
        <v>-0.27647820223799713</v>
      </c>
      <c r="E60" s="39">
        <v>0.26612729570288401</v>
      </c>
      <c r="F60" s="38">
        <v>2</v>
      </c>
      <c r="G60" s="40">
        <v>2</v>
      </c>
      <c r="K60" s="42" t="s">
        <v>68</v>
      </c>
      <c r="L60" s="38">
        <v>2</v>
      </c>
      <c r="M60" s="38">
        <v>1</v>
      </c>
      <c r="N60" s="39">
        <v>0.16014978428007182</v>
      </c>
      <c r="O60" s="39">
        <v>-0.58830442637864933</v>
      </c>
      <c r="P60" s="38">
        <v>1</v>
      </c>
      <c r="Q60" s="40">
        <v>2</v>
      </c>
      <c r="U60" s="42" t="s">
        <v>29</v>
      </c>
      <c r="V60" s="38">
        <v>2</v>
      </c>
      <c r="W60" s="38">
        <v>1</v>
      </c>
      <c r="X60" s="39">
        <v>-7.5027488478993765E-2</v>
      </c>
      <c r="Y60" s="39">
        <v>-0.64135416676672852</v>
      </c>
      <c r="Z60" s="38">
        <v>2</v>
      </c>
      <c r="AA60" s="40">
        <v>3</v>
      </c>
      <c r="AE60" s="42" t="s">
        <v>53</v>
      </c>
      <c r="AF60" s="38">
        <v>2</v>
      </c>
      <c r="AG60" s="38">
        <v>1</v>
      </c>
      <c r="AH60" s="39">
        <v>0.59442235562891499</v>
      </c>
      <c r="AI60" s="39">
        <v>-0.24340238664447181</v>
      </c>
      <c r="AJ60" s="38">
        <v>1</v>
      </c>
      <c r="AK60" s="40">
        <v>2</v>
      </c>
    </row>
    <row r="61" spans="1:37" x14ac:dyDescent="0.25">
      <c r="A61" s="42" t="s">
        <v>45</v>
      </c>
      <c r="B61" s="38">
        <v>2</v>
      </c>
      <c r="C61" s="38">
        <v>4</v>
      </c>
      <c r="D61" s="39">
        <v>0.29554382105285781</v>
      </c>
      <c r="E61" s="39">
        <v>1.8633358881888236</v>
      </c>
      <c r="F61" s="38">
        <v>2</v>
      </c>
      <c r="G61" s="40">
        <v>5</v>
      </c>
      <c r="K61" s="42" t="s">
        <v>69</v>
      </c>
      <c r="L61" s="38">
        <v>2</v>
      </c>
      <c r="M61" s="38">
        <v>1</v>
      </c>
      <c r="N61" s="39">
        <v>0.48310197852840953</v>
      </c>
      <c r="O61" s="39">
        <v>-0.42087823173699468</v>
      </c>
      <c r="P61" s="38">
        <v>4</v>
      </c>
      <c r="Q61" s="40">
        <v>2</v>
      </c>
      <c r="U61" s="42" t="s">
        <v>32</v>
      </c>
      <c r="V61" s="38">
        <v>2</v>
      </c>
      <c r="W61" s="38">
        <v>1</v>
      </c>
      <c r="X61" s="39">
        <v>0.25584108327333882</v>
      </c>
      <c r="Y61" s="39">
        <v>0.23673242345873224</v>
      </c>
      <c r="Z61" s="38">
        <v>2</v>
      </c>
      <c r="AA61" s="40">
        <v>5</v>
      </c>
      <c r="AE61" s="42" t="s">
        <v>54</v>
      </c>
      <c r="AF61" s="38">
        <v>5</v>
      </c>
      <c r="AG61" s="38">
        <v>3</v>
      </c>
      <c r="AH61" s="39">
        <v>-0.36131840818651001</v>
      </c>
      <c r="AI61" s="39">
        <v>-1.3962398275767169</v>
      </c>
      <c r="AJ61" s="38">
        <v>2</v>
      </c>
      <c r="AK61" s="40">
        <v>2</v>
      </c>
    </row>
    <row r="62" spans="1:37" x14ac:dyDescent="0.25">
      <c r="A62" s="42" t="s">
        <v>46</v>
      </c>
      <c r="B62" s="38">
        <v>2</v>
      </c>
      <c r="C62" s="38">
        <v>5</v>
      </c>
      <c r="D62" s="39">
        <v>-0.73566704029120611</v>
      </c>
      <c r="E62" s="39">
        <v>0.58751580709718065</v>
      </c>
      <c r="F62" s="38">
        <v>4</v>
      </c>
      <c r="G62" s="40">
        <v>5</v>
      </c>
      <c r="K62" s="42" t="s">
        <v>70</v>
      </c>
      <c r="L62" s="38">
        <v>2</v>
      </c>
      <c r="M62" s="38">
        <v>1</v>
      </c>
      <c r="N62" s="39">
        <v>-0.17354851181825315</v>
      </c>
      <c r="O62" s="39">
        <v>0.66264664325513678</v>
      </c>
      <c r="P62" s="38">
        <v>2</v>
      </c>
      <c r="Q62" s="40">
        <v>5</v>
      </c>
      <c r="U62" s="42" t="s">
        <v>33</v>
      </c>
      <c r="V62" s="38">
        <v>3</v>
      </c>
      <c r="W62" s="38">
        <v>5</v>
      </c>
      <c r="X62" s="39">
        <v>-1.6668915434485045</v>
      </c>
      <c r="Y62" s="39">
        <v>0.72172255100594862</v>
      </c>
      <c r="Z62" s="38">
        <v>2</v>
      </c>
      <c r="AA62" s="40">
        <v>1</v>
      </c>
      <c r="AE62" s="42" t="s">
        <v>56</v>
      </c>
      <c r="AF62" s="38">
        <v>2</v>
      </c>
      <c r="AG62" s="38">
        <v>5</v>
      </c>
      <c r="AH62" s="39">
        <v>-0.33163290315696464</v>
      </c>
      <c r="AI62" s="39">
        <v>-0.44097093121710818</v>
      </c>
      <c r="AJ62" s="38">
        <v>2</v>
      </c>
      <c r="AK62" s="40">
        <v>2</v>
      </c>
    </row>
    <row r="63" spans="1:37" x14ac:dyDescent="0.25">
      <c r="A63" s="42" t="s">
        <v>48</v>
      </c>
      <c r="B63" s="38">
        <v>2</v>
      </c>
      <c r="C63" s="38">
        <v>1</v>
      </c>
      <c r="D63" s="39">
        <v>3.3527132941790314E-2</v>
      </c>
      <c r="E63" s="39">
        <v>-0.69636259218025331</v>
      </c>
      <c r="F63" s="38">
        <v>3</v>
      </c>
      <c r="G63" s="40">
        <v>2</v>
      </c>
      <c r="K63" s="42" t="s">
        <v>72</v>
      </c>
      <c r="L63" s="38">
        <v>2</v>
      </c>
      <c r="M63" s="38">
        <v>1</v>
      </c>
      <c r="N63" s="39">
        <v>0.484467756484109</v>
      </c>
      <c r="O63" s="39">
        <v>0.42536730318197968</v>
      </c>
      <c r="P63" s="38">
        <v>1</v>
      </c>
      <c r="Q63" s="40">
        <v>4</v>
      </c>
      <c r="U63" s="42" t="s">
        <v>39</v>
      </c>
      <c r="V63" s="38">
        <v>2</v>
      </c>
      <c r="W63" s="38">
        <v>1</v>
      </c>
      <c r="X63" s="39">
        <v>0.1537397590988735</v>
      </c>
      <c r="Y63" s="39">
        <v>-0.12248831943674655</v>
      </c>
      <c r="Z63" s="38">
        <v>2</v>
      </c>
      <c r="AA63" s="40">
        <v>3</v>
      </c>
      <c r="AE63" s="42" t="s">
        <v>60</v>
      </c>
      <c r="AF63" s="38">
        <v>5</v>
      </c>
      <c r="AG63" s="38">
        <v>3</v>
      </c>
      <c r="AH63" s="39">
        <v>-0.24873459298707262</v>
      </c>
      <c r="AI63" s="39">
        <v>-0.5613889182372408</v>
      </c>
      <c r="AJ63" s="38">
        <v>2</v>
      </c>
      <c r="AK63" s="40">
        <v>2</v>
      </c>
    </row>
    <row r="64" spans="1:37" x14ac:dyDescent="0.25">
      <c r="A64" s="42" t="s">
        <v>50</v>
      </c>
      <c r="B64" s="38">
        <v>2</v>
      </c>
      <c r="C64" s="38">
        <v>1</v>
      </c>
      <c r="D64" s="39">
        <v>0.76201921528072347</v>
      </c>
      <c r="E64" s="39">
        <v>0.24508869614022036</v>
      </c>
      <c r="F64" s="38">
        <v>5</v>
      </c>
      <c r="G64" s="40">
        <v>4</v>
      </c>
      <c r="K64" s="42" t="s">
        <v>76</v>
      </c>
      <c r="L64" s="38">
        <v>2</v>
      </c>
      <c r="M64" s="38">
        <v>1</v>
      </c>
      <c r="N64" s="39">
        <v>0.27493403227950697</v>
      </c>
      <c r="O64" s="39">
        <v>-0.68834654154526809</v>
      </c>
      <c r="P64" s="38">
        <v>1</v>
      </c>
      <c r="Q64" s="40">
        <v>2</v>
      </c>
      <c r="U64" s="42" t="s">
        <v>42</v>
      </c>
      <c r="V64" s="38">
        <v>2</v>
      </c>
      <c r="W64" s="38">
        <v>5</v>
      </c>
      <c r="X64" s="39">
        <v>-0.27647820223799713</v>
      </c>
      <c r="Y64" s="39">
        <v>0.26612729570288401</v>
      </c>
      <c r="Z64" s="38">
        <v>2</v>
      </c>
      <c r="AA64" s="40">
        <v>2</v>
      </c>
      <c r="AE64" s="42" t="s">
        <v>61</v>
      </c>
      <c r="AF64" s="38">
        <v>2</v>
      </c>
      <c r="AG64" s="38">
        <v>3</v>
      </c>
      <c r="AH64" s="39">
        <v>-0.38057949214267195</v>
      </c>
      <c r="AI64" s="39">
        <v>-0.28465892672474047</v>
      </c>
      <c r="AJ64" s="38">
        <v>1</v>
      </c>
      <c r="AK64" s="40">
        <v>2</v>
      </c>
    </row>
    <row r="65" spans="1:37" x14ac:dyDescent="0.25">
      <c r="A65" s="42" t="s">
        <v>52</v>
      </c>
      <c r="B65" s="38">
        <v>2</v>
      </c>
      <c r="C65" s="38">
        <v>1</v>
      </c>
      <c r="D65" s="39">
        <v>0.206866456251321</v>
      </c>
      <c r="E65" s="39">
        <v>-0.21524912720861458</v>
      </c>
      <c r="F65" s="38">
        <v>1</v>
      </c>
      <c r="G65" s="40">
        <v>3</v>
      </c>
      <c r="K65" s="42" t="s">
        <v>77</v>
      </c>
      <c r="L65" s="38">
        <v>2</v>
      </c>
      <c r="M65" s="38">
        <v>1</v>
      </c>
      <c r="N65" s="39">
        <v>0.64086387046044768</v>
      </c>
      <c r="O65" s="39">
        <v>4.7587805671222727E-2</v>
      </c>
      <c r="P65" s="38">
        <v>4</v>
      </c>
      <c r="Q65" s="40">
        <v>2</v>
      </c>
      <c r="U65" s="42" t="s">
        <v>45</v>
      </c>
      <c r="V65" s="38">
        <v>2</v>
      </c>
      <c r="W65" s="38">
        <v>4</v>
      </c>
      <c r="X65" s="39">
        <v>0.29554382105285781</v>
      </c>
      <c r="Y65" s="39">
        <v>1.8633358881888236</v>
      </c>
      <c r="Z65" s="38">
        <v>2</v>
      </c>
      <c r="AA65" s="40">
        <v>5</v>
      </c>
      <c r="AE65" s="42" t="s">
        <v>64</v>
      </c>
      <c r="AF65" s="38">
        <v>4</v>
      </c>
      <c r="AG65" s="38">
        <v>3</v>
      </c>
      <c r="AH65" s="39">
        <v>0.54948196782528946</v>
      </c>
      <c r="AI65" s="39">
        <v>-1.1501117532461529</v>
      </c>
      <c r="AJ65" s="38">
        <v>1</v>
      </c>
      <c r="AK65" s="40">
        <v>2</v>
      </c>
    </row>
    <row r="66" spans="1:37" x14ac:dyDescent="0.25">
      <c r="A66" s="42" t="s">
        <v>53</v>
      </c>
      <c r="B66" s="38">
        <v>2</v>
      </c>
      <c r="C66" s="38">
        <v>1</v>
      </c>
      <c r="D66" s="39">
        <v>0.59442235562891499</v>
      </c>
      <c r="E66" s="39">
        <v>-0.24340238664447181</v>
      </c>
      <c r="F66" s="38">
        <v>1</v>
      </c>
      <c r="G66" s="40">
        <v>2</v>
      </c>
      <c r="K66" s="42" t="s">
        <v>79</v>
      </c>
      <c r="L66" s="38">
        <v>2</v>
      </c>
      <c r="M66" s="38">
        <v>1</v>
      </c>
      <c r="N66" s="39">
        <v>0.7443143823808136</v>
      </c>
      <c r="O66" s="39">
        <v>-0.46856068063637746</v>
      </c>
      <c r="P66" s="38">
        <v>5</v>
      </c>
      <c r="Q66" s="40">
        <v>2</v>
      </c>
      <c r="U66" s="42" t="s">
        <v>54</v>
      </c>
      <c r="V66" s="38">
        <v>5</v>
      </c>
      <c r="W66" s="38">
        <v>3</v>
      </c>
      <c r="X66" s="39">
        <v>-0.36131840818651001</v>
      </c>
      <c r="Y66" s="39">
        <v>-1.3962398275767169</v>
      </c>
      <c r="Z66" s="38">
        <v>2</v>
      </c>
      <c r="AA66" s="40">
        <v>2</v>
      </c>
      <c r="AE66" s="42" t="s">
        <v>68</v>
      </c>
      <c r="AF66" s="38">
        <v>2</v>
      </c>
      <c r="AG66" s="38">
        <v>1</v>
      </c>
      <c r="AH66" s="39">
        <v>0.16014978428007182</v>
      </c>
      <c r="AI66" s="39">
        <v>-0.58830442637864933</v>
      </c>
      <c r="AJ66" s="38">
        <v>1</v>
      </c>
      <c r="AK66" s="40">
        <v>2</v>
      </c>
    </row>
    <row r="67" spans="1:37" x14ac:dyDescent="0.25">
      <c r="A67" s="42" t="s">
        <v>55</v>
      </c>
      <c r="B67" s="38">
        <v>2</v>
      </c>
      <c r="C67" s="38">
        <v>1</v>
      </c>
      <c r="D67" s="39">
        <v>-0.1002677098943157</v>
      </c>
      <c r="E67" s="39">
        <v>-5.2115210079899006E-3</v>
      </c>
      <c r="F67" s="38">
        <v>2</v>
      </c>
      <c r="G67" s="40">
        <v>5</v>
      </c>
      <c r="K67" s="42" t="s">
        <v>81</v>
      </c>
      <c r="L67" s="38">
        <v>2</v>
      </c>
      <c r="M67" s="38">
        <v>1</v>
      </c>
      <c r="N67" s="39">
        <v>0.16961161285855619</v>
      </c>
      <c r="O67" s="39">
        <v>0.4541286851891112</v>
      </c>
      <c r="P67" s="38">
        <v>5</v>
      </c>
      <c r="Q67" s="40">
        <v>2</v>
      </c>
      <c r="U67" s="42" t="s">
        <v>55</v>
      </c>
      <c r="V67" s="38">
        <v>2</v>
      </c>
      <c r="W67" s="38">
        <v>1</v>
      </c>
      <c r="X67" s="39">
        <v>-0.1002677098943157</v>
      </c>
      <c r="Y67" s="39">
        <v>-5.2115210079899006E-3</v>
      </c>
      <c r="Z67" s="38">
        <v>2</v>
      </c>
      <c r="AA67" s="40">
        <v>5</v>
      </c>
      <c r="AE67" s="42" t="s">
        <v>69</v>
      </c>
      <c r="AF67" s="38">
        <v>2</v>
      </c>
      <c r="AG67" s="38">
        <v>1</v>
      </c>
      <c r="AH67" s="39">
        <v>0.48310197852840953</v>
      </c>
      <c r="AI67" s="39">
        <v>-0.42087823173699468</v>
      </c>
      <c r="AJ67" s="38">
        <v>4</v>
      </c>
      <c r="AK67" s="40">
        <v>2</v>
      </c>
    </row>
    <row r="68" spans="1:37" x14ac:dyDescent="0.25">
      <c r="A68" s="42" t="s">
        <v>56</v>
      </c>
      <c r="B68" s="38">
        <v>2</v>
      </c>
      <c r="C68" s="38">
        <v>5</v>
      </c>
      <c r="D68" s="39">
        <v>-0.33163290315696464</v>
      </c>
      <c r="E68" s="39">
        <v>-0.44097093121710818</v>
      </c>
      <c r="F68" s="38">
        <v>2</v>
      </c>
      <c r="G68" s="40">
        <v>2</v>
      </c>
      <c r="K68" s="42" t="s">
        <v>87</v>
      </c>
      <c r="L68" s="38">
        <v>4</v>
      </c>
      <c r="M68" s="38">
        <v>1</v>
      </c>
      <c r="N68" s="39">
        <v>0.80174717802825035</v>
      </c>
      <c r="O68" s="39">
        <v>0.78746018549289243</v>
      </c>
      <c r="P68" s="38">
        <v>2</v>
      </c>
      <c r="Q68" s="40">
        <v>4</v>
      </c>
      <c r="U68" s="42" t="s">
        <v>56</v>
      </c>
      <c r="V68" s="38">
        <v>2</v>
      </c>
      <c r="W68" s="38">
        <v>5</v>
      </c>
      <c r="X68" s="39">
        <v>-0.33163290315696464</v>
      </c>
      <c r="Y68" s="39">
        <v>-0.44097093121710818</v>
      </c>
      <c r="Z68" s="38">
        <v>2</v>
      </c>
      <c r="AA68" s="40">
        <v>2</v>
      </c>
      <c r="AE68" s="42" t="s">
        <v>76</v>
      </c>
      <c r="AF68" s="38">
        <v>2</v>
      </c>
      <c r="AG68" s="38">
        <v>1</v>
      </c>
      <c r="AH68" s="39">
        <v>0.27493403227950697</v>
      </c>
      <c r="AI68" s="39">
        <v>-0.68834654154526809</v>
      </c>
      <c r="AJ68" s="38">
        <v>1</v>
      </c>
      <c r="AK68" s="40">
        <v>2</v>
      </c>
    </row>
    <row r="69" spans="1:37" x14ac:dyDescent="0.25">
      <c r="A69" s="42" t="s">
        <v>57</v>
      </c>
      <c r="B69" s="38">
        <v>2</v>
      </c>
      <c r="C69" s="38">
        <v>5</v>
      </c>
      <c r="D69" s="39">
        <v>-0.39346997962482949</v>
      </c>
      <c r="E69" s="39">
        <v>-0.70552634103337264</v>
      </c>
      <c r="F69" s="38">
        <v>2</v>
      </c>
      <c r="G69" s="40">
        <v>3</v>
      </c>
      <c r="K69" s="42" t="s">
        <v>88</v>
      </c>
      <c r="L69" s="38">
        <v>2</v>
      </c>
      <c r="M69" s="38">
        <v>1</v>
      </c>
      <c r="N69" s="39">
        <v>0.27283018865904274</v>
      </c>
      <c r="O69" s="39">
        <v>-0.30328306413293937</v>
      </c>
      <c r="P69" s="38">
        <v>1</v>
      </c>
      <c r="Q69" s="40">
        <v>2</v>
      </c>
      <c r="U69" s="42" t="s">
        <v>57</v>
      </c>
      <c r="V69" s="38">
        <v>2</v>
      </c>
      <c r="W69" s="38">
        <v>5</v>
      </c>
      <c r="X69" s="39">
        <v>-0.39346997962482949</v>
      </c>
      <c r="Y69" s="39">
        <v>-0.70552634103337264</v>
      </c>
      <c r="Z69" s="38">
        <v>2</v>
      </c>
      <c r="AA69" s="40">
        <v>3</v>
      </c>
      <c r="AE69" s="42" t="s">
        <v>77</v>
      </c>
      <c r="AF69" s="38">
        <v>2</v>
      </c>
      <c r="AG69" s="38">
        <v>1</v>
      </c>
      <c r="AH69" s="39">
        <v>0.64086387046044768</v>
      </c>
      <c r="AI69" s="39">
        <v>4.7587805671222727E-2</v>
      </c>
      <c r="AJ69" s="38">
        <v>4</v>
      </c>
      <c r="AK69" s="40">
        <v>2</v>
      </c>
    </row>
    <row r="70" spans="1:37" x14ac:dyDescent="0.25">
      <c r="A70" s="42" t="s">
        <v>61</v>
      </c>
      <c r="B70" s="38">
        <v>2</v>
      </c>
      <c r="C70" s="38">
        <v>3</v>
      </c>
      <c r="D70" s="39">
        <v>-0.38057949214267195</v>
      </c>
      <c r="E70" s="39">
        <v>-0.28465892672474047</v>
      </c>
      <c r="F70" s="38">
        <v>1</v>
      </c>
      <c r="G70" s="40">
        <v>2</v>
      </c>
      <c r="K70" s="42" t="s">
        <v>90</v>
      </c>
      <c r="L70" s="38">
        <v>2</v>
      </c>
      <c r="M70" s="38">
        <v>1</v>
      </c>
      <c r="N70" s="39">
        <v>-0.1260130225702788</v>
      </c>
      <c r="O70" s="39">
        <v>-0.2872649798888956</v>
      </c>
      <c r="P70" s="38">
        <v>5</v>
      </c>
      <c r="Q70" s="40">
        <v>3</v>
      </c>
      <c r="U70" s="42" t="s">
        <v>60</v>
      </c>
      <c r="V70" s="38">
        <v>5</v>
      </c>
      <c r="W70" s="38">
        <v>3</v>
      </c>
      <c r="X70" s="39">
        <v>-0.24873459298707262</v>
      </c>
      <c r="Y70" s="39">
        <v>-0.5613889182372408</v>
      </c>
      <c r="Z70" s="38">
        <v>2</v>
      </c>
      <c r="AA70" s="40">
        <v>2</v>
      </c>
      <c r="AE70" s="42" t="s">
        <v>79</v>
      </c>
      <c r="AF70" s="38">
        <v>2</v>
      </c>
      <c r="AG70" s="38">
        <v>1</v>
      </c>
      <c r="AH70" s="39">
        <v>0.7443143823808136</v>
      </c>
      <c r="AI70" s="39">
        <v>-0.46856068063637746</v>
      </c>
      <c r="AJ70" s="38">
        <v>5</v>
      </c>
      <c r="AK70" s="40">
        <v>2</v>
      </c>
    </row>
    <row r="71" spans="1:37" x14ac:dyDescent="0.25">
      <c r="A71" s="42" t="s">
        <v>67</v>
      </c>
      <c r="B71" s="38">
        <v>2</v>
      </c>
      <c r="C71" s="38">
        <v>1</v>
      </c>
      <c r="D71" s="39">
        <v>0.68963765539347199</v>
      </c>
      <c r="E71" s="39">
        <v>-2.7830462251566837E-2</v>
      </c>
      <c r="F71" s="38">
        <v>2</v>
      </c>
      <c r="G71" s="40">
        <v>5</v>
      </c>
      <c r="K71" s="42" t="s">
        <v>91</v>
      </c>
      <c r="L71" s="38">
        <v>2</v>
      </c>
      <c r="M71" s="38">
        <v>1</v>
      </c>
      <c r="N71" s="39">
        <v>0.5561516086677204</v>
      </c>
      <c r="O71" s="39">
        <v>-0.1737745171200526</v>
      </c>
      <c r="P71" s="38">
        <v>1</v>
      </c>
      <c r="Q71" s="40">
        <v>2</v>
      </c>
      <c r="U71" s="42" t="s">
        <v>67</v>
      </c>
      <c r="V71" s="38">
        <v>2</v>
      </c>
      <c r="W71" s="38">
        <v>1</v>
      </c>
      <c r="X71" s="39">
        <v>0.68963765539347199</v>
      </c>
      <c r="Y71" s="39">
        <v>-2.7830462251566837E-2</v>
      </c>
      <c r="Z71" s="38">
        <v>2</v>
      </c>
      <c r="AA71" s="40">
        <v>5</v>
      </c>
      <c r="AE71" s="42" t="s">
        <v>81</v>
      </c>
      <c r="AF71" s="38">
        <v>2</v>
      </c>
      <c r="AG71" s="38">
        <v>1</v>
      </c>
      <c r="AH71" s="39">
        <v>0.16961161285855619</v>
      </c>
      <c r="AI71" s="39">
        <v>0.4541286851891112</v>
      </c>
      <c r="AJ71" s="38">
        <v>5</v>
      </c>
      <c r="AK71" s="40">
        <v>2</v>
      </c>
    </row>
    <row r="72" spans="1:37" x14ac:dyDescent="0.25">
      <c r="A72" s="42" t="s">
        <v>68</v>
      </c>
      <c r="B72" s="38">
        <v>2</v>
      </c>
      <c r="C72" s="38">
        <v>1</v>
      </c>
      <c r="D72" s="39">
        <v>0.16014978428007182</v>
      </c>
      <c r="E72" s="39">
        <v>-0.58830442637864933</v>
      </c>
      <c r="F72" s="38">
        <v>1</v>
      </c>
      <c r="G72" s="40">
        <v>2</v>
      </c>
      <c r="K72" s="42" t="s">
        <v>94</v>
      </c>
      <c r="L72" s="38">
        <v>2</v>
      </c>
      <c r="M72" s="38">
        <v>1</v>
      </c>
      <c r="N72" s="39">
        <v>0.10518680463092887</v>
      </c>
      <c r="O72" s="39">
        <v>-0.42508506465536783</v>
      </c>
      <c r="P72" s="38">
        <v>3</v>
      </c>
      <c r="Q72" s="40">
        <v>2</v>
      </c>
      <c r="U72" s="42" t="s">
        <v>70</v>
      </c>
      <c r="V72" s="38">
        <v>2</v>
      </c>
      <c r="W72" s="38">
        <v>1</v>
      </c>
      <c r="X72" s="39">
        <v>-0.17354851181825315</v>
      </c>
      <c r="Y72" s="39">
        <v>0.66264664325513678</v>
      </c>
      <c r="Z72" s="38">
        <v>2</v>
      </c>
      <c r="AA72" s="40">
        <v>5</v>
      </c>
      <c r="AE72" s="42" t="s">
        <v>83</v>
      </c>
      <c r="AF72" s="38">
        <v>5</v>
      </c>
      <c r="AG72" s="38">
        <v>3</v>
      </c>
      <c r="AH72" s="39">
        <v>-0.33647682232699305</v>
      </c>
      <c r="AI72" s="39">
        <v>-0.75536894841946534</v>
      </c>
      <c r="AJ72" s="38">
        <v>5</v>
      </c>
      <c r="AK72" s="40">
        <v>2</v>
      </c>
    </row>
    <row r="73" spans="1:37" x14ac:dyDescent="0.25">
      <c r="A73" s="42" t="s">
        <v>69</v>
      </c>
      <c r="B73" s="38">
        <v>2</v>
      </c>
      <c r="C73" s="38">
        <v>1</v>
      </c>
      <c r="D73" s="39">
        <v>0.48310197852840953</v>
      </c>
      <c r="E73" s="39">
        <v>-0.42087823173699468</v>
      </c>
      <c r="F73" s="38">
        <v>4</v>
      </c>
      <c r="G73" s="40">
        <v>2</v>
      </c>
      <c r="K73" s="42" t="s">
        <v>99</v>
      </c>
      <c r="L73" s="38">
        <v>2</v>
      </c>
      <c r="M73" s="38">
        <v>1</v>
      </c>
      <c r="N73" s="39">
        <v>-8.7931524454885251E-2</v>
      </c>
      <c r="O73" s="39">
        <v>-0.28954161211744478</v>
      </c>
      <c r="P73" s="38">
        <v>4</v>
      </c>
      <c r="Q73" s="40">
        <v>2</v>
      </c>
      <c r="U73" s="42" t="s">
        <v>71</v>
      </c>
      <c r="V73" s="38">
        <v>4</v>
      </c>
      <c r="W73" s="38">
        <v>4</v>
      </c>
      <c r="X73" s="39">
        <v>1.3483812731330076</v>
      </c>
      <c r="Y73" s="39">
        <v>-0.2701249686981429</v>
      </c>
      <c r="Z73" s="38">
        <v>2</v>
      </c>
      <c r="AA73" s="40">
        <v>4</v>
      </c>
      <c r="AE73" s="42" t="s">
        <v>85</v>
      </c>
      <c r="AF73" s="38">
        <v>5</v>
      </c>
      <c r="AG73" s="38">
        <v>3</v>
      </c>
      <c r="AH73" s="39">
        <v>3.5346049848015801E-2</v>
      </c>
      <c r="AI73" s="39">
        <v>-1.0143922311683753</v>
      </c>
      <c r="AJ73" s="38">
        <v>5</v>
      </c>
      <c r="AK73" s="40">
        <v>2</v>
      </c>
    </row>
    <row r="74" spans="1:37" x14ac:dyDescent="0.25">
      <c r="A74" s="42" t="s">
        <v>70</v>
      </c>
      <c r="B74" s="38">
        <v>2</v>
      </c>
      <c r="C74" s="38">
        <v>1</v>
      </c>
      <c r="D74" s="39">
        <v>-0.17354851181825315</v>
      </c>
      <c r="E74" s="39">
        <v>0.66264664325513678</v>
      </c>
      <c r="F74" s="38">
        <v>2</v>
      </c>
      <c r="G74" s="40">
        <v>5</v>
      </c>
      <c r="K74" s="42" t="s">
        <v>47</v>
      </c>
      <c r="L74" s="38">
        <v>3</v>
      </c>
      <c r="M74" s="38">
        <v>2</v>
      </c>
      <c r="N74" s="39">
        <v>-3.1229598174967892</v>
      </c>
      <c r="O74" s="39">
        <v>2.8273862582707006</v>
      </c>
      <c r="P74" s="38">
        <v>5</v>
      </c>
      <c r="Q74" s="40">
        <v>1</v>
      </c>
      <c r="U74" s="42" t="s">
        <v>73</v>
      </c>
      <c r="V74" s="38">
        <v>5</v>
      </c>
      <c r="W74" s="38">
        <v>3</v>
      </c>
      <c r="X74" s="39">
        <v>-1.0004446836060266</v>
      </c>
      <c r="Y74" s="39">
        <v>-0.95097027796243738</v>
      </c>
      <c r="Z74" s="38">
        <v>2</v>
      </c>
      <c r="AA74" s="40">
        <v>3</v>
      </c>
      <c r="AE74" s="42" t="s">
        <v>86</v>
      </c>
      <c r="AF74" s="38">
        <v>5</v>
      </c>
      <c r="AG74" s="38">
        <v>3</v>
      </c>
      <c r="AH74" s="39">
        <v>-0.62846576532602727</v>
      </c>
      <c r="AI74" s="39">
        <v>-0.98018553615211512</v>
      </c>
      <c r="AJ74" s="38">
        <v>2</v>
      </c>
      <c r="AK74" s="40">
        <v>2</v>
      </c>
    </row>
    <row r="75" spans="1:37" x14ac:dyDescent="0.25">
      <c r="A75" s="42" t="s">
        <v>72</v>
      </c>
      <c r="B75" s="38">
        <v>2</v>
      </c>
      <c r="C75" s="38">
        <v>1</v>
      </c>
      <c r="D75" s="39">
        <v>0.484467756484109</v>
      </c>
      <c r="E75" s="39">
        <v>0.42536730318197968</v>
      </c>
      <c r="F75" s="38">
        <v>1</v>
      </c>
      <c r="G75" s="40">
        <v>4</v>
      </c>
      <c r="K75" s="42" t="s">
        <v>97</v>
      </c>
      <c r="L75" s="38">
        <v>3</v>
      </c>
      <c r="M75" s="38">
        <v>2</v>
      </c>
      <c r="N75" s="39">
        <v>-3.2953468409404016</v>
      </c>
      <c r="O75" s="39">
        <v>3.4077314522301014</v>
      </c>
      <c r="P75" s="38">
        <v>3</v>
      </c>
      <c r="Q75" s="40">
        <v>1</v>
      </c>
      <c r="U75" s="42" t="s">
        <v>74</v>
      </c>
      <c r="V75" s="38">
        <v>2</v>
      </c>
      <c r="W75" s="38">
        <v>3</v>
      </c>
      <c r="X75" s="39">
        <v>-5.2605709804272177E-2</v>
      </c>
      <c r="Y75" s="39">
        <v>-0.37935552940187595</v>
      </c>
      <c r="Z75" s="38">
        <v>2</v>
      </c>
      <c r="AA75" s="40">
        <v>3</v>
      </c>
      <c r="AE75" s="42" t="s">
        <v>88</v>
      </c>
      <c r="AF75" s="38">
        <v>2</v>
      </c>
      <c r="AG75" s="38">
        <v>1</v>
      </c>
      <c r="AH75" s="39">
        <v>0.27283018865904274</v>
      </c>
      <c r="AI75" s="39">
        <v>-0.30328306413293937</v>
      </c>
      <c r="AJ75" s="38">
        <v>1</v>
      </c>
      <c r="AK75" s="40">
        <v>2</v>
      </c>
    </row>
    <row r="76" spans="1:37" x14ac:dyDescent="0.25">
      <c r="A76" s="42" t="s">
        <v>74</v>
      </c>
      <c r="B76" s="38">
        <v>2</v>
      </c>
      <c r="C76" s="38">
        <v>3</v>
      </c>
      <c r="D76" s="39">
        <v>-5.2605709804272177E-2</v>
      </c>
      <c r="E76" s="39">
        <v>-0.37935552940187595</v>
      </c>
      <c r="F76" s="38">
        <v>2</v>
      </c>
      <c r="G76" s="40">
        <v>3</v>
      </c>
      <c r="K76" s="42" t="s">
        <v>98</v>
      </c>
      <c r="L76" s="38">
        <v>3</v>
      </c>
      <c r="M76" s="38">
        <v>2</v>
      </c>
      <c r="N76" s="39">
        <v>-1.6420537453849324</v>
      </c>
      <c r="O76" s="39">
        <v>3.3899464444781287</v>
      </c>
      <c r="P76" s="38">
        <v>5</v>
      </c>
      <c r="Q76" s="40">
        <v>1</v>
      </c>
      <c r="U76" s="42" t="s">
        <v>75</v>
      </c>
      <c r="V76" s="38">
        <v>4</v>
      </c>
      <c r="W76" s="38">
        <v>4</v>
      </c>
      <c r="X76" s="39">
        <v>0.986172032352854</v>
      </c>
      <c r="Y76" s="39">
        <v>0.4507622932255928</v>
      </c>
      <c r="Z76" s="38">
        <v>2</v>
      </c>
      <c r="AA76" s="40">
        <v>4</v>
      </c>
      <c r="AE76" s="42" t="s">
        <v>89</v>
      </c>
      <c r="AF76" s="38">
        <v>4</v>
      </c>
      <c r="AG76" s="38">
        <v>3</v>
      </c>
      <c r="AH76" s="39">
        <v>-0.2766852919480296</v>
      </c>
      <c r="AI76" s="39">
        <v>-1.1830861094987901</v>
      </c>
      <c r="AJ76" s="38">
        <v>5</v>
      </c>
      <c r="AK76" s="40">
        <v>2</v>
      </c>
    </row>
    <row r="77" spans="1:37" x14ac:dyDescent="0.25">
      <c r="A77" s="42" t="s">
        <v>76</v>
      </c>
      <c r="B77" s="38">
        <v>2</v>
      </c>
      <c r="C77" s="38">
        <v>1</v>
      </c>
      <c r="D77" s="39">
        <v>0.27493403227950697</v>
      </c>
      <c r="E77" s="39">
        <v>-0.68834654154526809</v>
      </c>
      <c r="F77" s="38">
        <v>1</v>
      </c>
      <c r="G77" s="40">
        <v>2</v>
      </c>
      <c r="K77" s="42" t="s">
        <v>15</v>
      </c>
      <c r="L77" s="38">
        <v>5</v>
      </c>
      <c r="M77" s="38">
        <v>3</v>
      </c>
      <c r="N77" s="39">
        <v>4.1589599079267046E-3</v>
      </c>
      <c r="O77" s="39">
        <v>-1.0974827049021127</v>
      </c>
      <c r="P77" s="38">
        <v>2</v>
      </c>
      <c r="Q77" s="40">
        <v>3</v>
      </c>
      <c r="U77" s="42" t="s">
        <v>82</v>
      </c>
      <c r="V77" s="38">
        <v>2</v>
      </c>
      <c r="W77" s="38">
        <v>4</v>
      </c>
      <c r="X77" s="39">
        <v>1.005869542554052</v>
      </c>
      <c r="Y77" s="39">
        <v>0.28394978208197325</v>
      </c>
      <c r="Z77" s="38">
        <v>2</v>
      </c>
      <c r="AA77" s="40">
        <v>4</v>
      </c>
      <c r="AE77" s="42" t="s">
        <v>91</v>
      </c>
      <c r="AF77" s="38">
        <v>2</v>
      </c>
      <c r="AG77" s="38">
        <v>1</v>
      </c>
      <c r="AH77" s="39">
        <v>0.5561516086677204</v>
      </c>
      <c r="AI77" s="39">
        <v>-0.1737745171200526</v>
      </c>
      <c r="AJ77" s="38">
        <v>1</v>
      </c>
      <c r="AK77" s="40">
        <v>2</v>
      </c>
    </row>
    <row r="78" spans="1:37" x14ac:dyDescent="0.25">
      <c r="A78" s="42" t="s">
        <v>77</v>
      </c>
      <c r="B78" s="38">
        <v>2</v>
      </c>
      <c r="C78" s="38">
        <v>1</v>
      </c>
      <c r="D78" s="39">
        <v>0.64086387046044768</v>
      </c>
      <c r="E78" s="39">
        <v>4.7587805671222727E-2</v>
      </c>
      <c r="F78" s="38">
        <v>4</v>
      </c>
      <c r="G78" s="40">
        <v>2</v>
      </c>
      <c r="K78" s="42" t="s">
        <v>19</v>
      </c>
      <c r="L78" s="38">
        <v>4</v>
      </c>
      <c r="M78" s="38">
        <v>3</v>
      </c>
      <c r="N78" s="39">
        <v>0.55135941082757312</v>
      </c>
      <c r="O78" s="39">
        <v>6.5124851736002243E-2</v>
      </c>
      <c r="P78" s="38">
        <v>4</v>
      </c>
      <c r="Q78" s="40">
        <v>2</v>
      </c>
      <c r="U78" s="42" t="s">
        <v>86</v>
      </c>
      <c r="V78" s="38">
        <v>5</v>
      </c>
      <c r="W78" s="38">
        <v>3</v>
      </c>
      <c r="X78" s="39">
        <v>-0.62846576532602727</v>
      </c>
      <c r="Y78" s="39">
        <v>-0.98018553615211512</v>
      </c>
      <c r="Z78" s="38">
        <v>2</v>
      </c>
      <c r="AA78" s="40">
        <v>2</v>
      </c>
      <c r="AE78" s="42" t="s">
        <v>92</v>
      </c>
      <c r="AF78" s="38">
        <v>2</v>
      </c>
      <c r="AG78" s="38">
        <v>5</v>
      </c>
      <c r="AH78" s="39">
        <v>-0.47604844048279188</v>
      </c>
      <c r="AI78" s="39">
        <v>-2.1977582973834994E-2</v>
      </c>
      <c r="AJ78" s="38">
        <v>4</v>
      </c>
      <c r="AK78" s="40">
        <v>2</v>
      </c>
    </row>
    <row r="79" spans="1:37" x14ac:dyDescent="0.25">
      <c r="A79" s="42" t="s">
        <v>79</v>
      </c>
      <c r="B79" s="38">
        <v>2</v>
      </c>
      <c r="C79" s="38">
        <v>1</v>
      </c>
      <c r="D79" s="39">
        <v>0.7443143823808136</v>
      </c>
      <c r="E79" s="39">
        <v>-0.46856068063637746</v>
      </c>
      <c r="F79" s="38">
        <v>5</v>
      </c>
      <c r="G79" s="40">
        <v>2</v>
      </c>
      <c r="K79" s="42" t="s">
        <v>35</v>
      </c>
      <c r="L79" s="38">
        <v>5</v>
      </c>
      <c r="M79" s="38">
        <v>3</v>
      </c>
      <c r="N79" s="39">
        <v>-0.5112055682236194</v>
      </c>
      <c r="O79" s="39">
        <v>-0.6282348351070014</v>
      </c>
      <c r="P79" s="38">
        <v>4</v>
      </c>
      <c r="Q79" s="40">
        <v>3</v>
      </c>
      <c r="U79" s="42" t="s">
        <v>87</v>
      </c>
      <c r="V79" s="38">
        <v>4</v>
      </c>
      <c r="W79" s="38">
        <v>1</v>
      </c>
      <c r="X79" s="39">
        <v>0.80174717802825035</v>
      </c>
      <c r="Y79" s="39">
        <v>0.78746018549289243</v>
      </c>
      <c r="Z79" s="38">
        <v>2</v>
      </c>
      <c r="AA79" s="40">
        <v>4</v>
      </c>
      <c r="AE79" s="42" t="s">
        <v>94</v>
      </c>
      <c r="AF79" s="38">
        <v>2</v>
      </c>
      <c r="AG79" s="38">
        <v>1</v>
      </c>
      <c r="AH79" s="39">
        <v>0.10518680463092887</v>
      </c>
      <c r="AI79" s="39">
        <v>-0.42508506465536783</v>
      </c>
      <c r="AJ79" s="38">
        <v>3</v>
      </c>
      <c r="AK79" s="40">
        <v>2</v>
      </c>
    </row>
    <row r="80" spans="1:37" x14ac:dyDescent="0.25">
      <c r="A80" s="42" t="s">
        <v>81</v>
      </c>
      <c r="B80" s="38">
        <v>2</v>
      </c>
      <c r="C80" s="38">
        <v>1</v>
      </c>
      <c r="D80" s="39">
        <v>0.16961161285855619</v>
      </c>
      <c r="E80" s="39">
        <v>0.4541286851891112</v>
      </c>
      <c r="F80" s="38">
        <v>5</v>
      </c>
      <c r="G80" s="40">
        <v>2</v>
      </c>
      <c r="K80" s="42" t="s">
        <v>40</v>
      </c>
      <c r="L80" s="38">
        <v>5</v>
      </c>
      <c r="M80" s="38">
        <v>3</v>
      </c>
      <c r="N80" s="39">
        <v>-0.48486101111376884</v>
      </c>
      <c r="O80" s="39">
        <v>-1.1674328689694182</v>
      </c>
      <c r="P80" s="38">
        <v>5</v>
      </c>
      <c r="Q80" s="40">
        <v>2</v>
      </c>
      <c r="U80" s="42" t="s">
        <v>95</v>
      </c>
      <c r="V80" s="38">
        <v>1</v>
      </c>
      <c r="W80" s="38">
        <v>4</v>
      </c>
      <c r="X80" s="39">
        <v>2.3595296237008792</v>
      </c>
      <c r="Y80" s="39">
        <v>1.8882008388226073</v>
      </c>
      <c r="Z80" s="38">
        <v>2</v>
      </c>
      <c r="AA80" s="40">
        <v>4</v>
      </c>
      <c r="AE80" s="42" t="s">
        <v>96</v>
      </c>
      <c r="AF80" s="38">
        <v>5</v>
      </c>
      <c r="AG80" s="38">
        <v>3</v>
      </c>
      <c r="AH80" s="39">
        <v>1.9663679537426107E-2</v>
      </c>
      <c r="AI80" s="39">
        <v>-0.71448847453377895</v>
      </c>
      <c r="AJ80" s="38">
        <v>2</v>
      </c>
      <c r="AK80" s="40">
        <v>2</v>
      </c>
    </row>
    <row r="81" spans="1:37" x14ac:dyDescent="0.25">
      <c r="A81" s="42" t="s">
        <v>82</v>
      </c>
      <c r="B81" s="38">
        <v>2</v>
      </c>
      <c r="C81" s="38">
        <v>4</v>
      </c>
      <c r="D81" s="39">
        <v>1.005869542554052</v>
      </c>
      <c r="E81" s="39">
        <v>0.28394978208197325</v>
      </c>
      <c r="F81" s="38">
        <v>2</v>
      </c>
      <c r="G81" s="40">
        <v>4</v>
      </c>
      <c r="K81" s="42" t="s">
        <v>43</v>
      </c>
      <c r="L81" s="38">
        <v>5</v>
      </c>
      <c r="M81" s="38">
        <v>3</v>
      </c>
      <c r="N81" s="39">
        <v>-4.8631875031598937E-3</v>
      </c>
      <c r="O81" s="39">
        <v>-0.38739049285596661</v>
      </c>
      <c r="P81" s="38">
        <v>5</v>
      </c>
      <c r="Q81" s="40">
        <v>2</v>
      </c>
      <c r="U81" s="42" t="s">
        <v>96</v>
      </c>
      <c r="V81" s="38">
        <v>5</v>
      </c>
      <c r="W81" s="38">
        <v>3</v>
      </c>
      <c r="X81" s="39">
        <v>1.9663679537426107E-2</v>
      </c>
      <c r="Y81" s="39">
        <v>-0.71448847453377895</v>
      </c>
      <c r="Z81" s="38">
        <v>2</v>
      </c>
      <c r="AA81" s="40">
        <v>2</v>
      </c>
      <c r="AE81" s="42" t="s">
        <v>99</v>
      </c>
      <c r="AF81" s="38">
        <v>2</v>
      </c>
      <c r="AG81" s="38">
        <v>1</v>
      </c>
      <c r="AH81" s="39">
        <v>-8.7931524454885251E-2</v>
      </c>
      <c r="AI81" s="39">
        <v>-0.28954161211744478</v>
      </c>
      <c r="AJ81" s="38">
        <v>4</v>
      </c>
      <c r="AK81" s="40">
        <v>2</v>
      </c>
    </row>
    <row r="82" spans="1:37" x14ac:dyDescent="0.25">
      <c r="A82" s="42" t="s">
        <v>88</v>
      </c>
      <c r="B82" s="38">
        <v>2</v>
      </c>
      <c r="C82" s="38">
        <v>1</v>
      </c>
      <c r="D82" s="39">
        <v>0.27283018865904274</v>
      </c>
      <c r="E82" s="39">
        <v>-0.30328306413293937</v>
      </c>
      <c r="F82" s="38">
        <v>1</v>
      </c>
      <c r="G82" s="40">
        <v>2</v>
      </c>
      <c r="K82" s="42" t="s">
        <v>49</v>
      </c>
      <c r="L82" s="38">
        <v>5</v>
      </c>
      <c r="M82" s="38">
        <v>3</v>
      </c>
      <c r="N82" s="39">
        <v>-0.73128874346715089</v>
      </c>
      <c r="O82" s="39">
        <v>-1.0421240955729403</v>
      </c>
      <c r="P82" s="38">
        <v>5</v>
      </c>
      <c r="Q82" s="40">
        <v>2</v>
      </c>
      <c r="U82" s="42" t="s">
        <v>16</v>
      </c>
      <c r="V82" s="38">
        <v>5</v>
      </c>
      <c r="W82" s="38">
        <v>5</v>
      </c>
      <c r="X82" s="39">
        <v>-1.4114058720699501</v>
      </c>
      <c r="Y82" s="39">
        <v>-1.2493204790025558</v>
      </c>
      <c r="Z82" s="38">
        <v>3</v>
      </c>
      <c r="AA82" s="40">
        <v>3</v>
      </c>
      <c r="AE82" s="42" t="s">
        <v>15</v>
      </c>
      <c r="AF82" s="38">
        <v>5</v>
      </c>
      <c r="AG82" s="38">
        <v>3</v>
      </c>
      <c r="AH82" s="39">
        <v>4.1589599079267046E-3</v>
      </c>
      <c r="AI82" s="39">
        <v>-1.0974827049021127</v>
      </c>
      <c r="AJ82" s="38">
        <v>2</v>
      </c>
      <c r="AK82" s="40">
        <v>3</v>
      </c>
    </row>
    <row r="83" spans="1:37" x14ac:dyDescent="0.25">
      <c r="A83" s="42" t="s">
        <v>90</v>
      </c>
      <c r="B83" s="38">
        <v>2</v>
      </c>
      <c r="C83" s="38">
        <v>1</v>
      </c>
      <c r="D83" s="39">
        <v>-0.1260130225702788</v>
      </c>
      <c r="E83" s="39">
        <v>-0.2872649798888956</v>
      </c>
      <c r="F83" s="38">
        <v>5</v>
      </c>
      <c r="G83" s="40">
        <v>3</v>
      </c>
      <c r="K83" s="42" t="s">
        <v>54</v>
      </c>
      <c r="L83" s="38">
        <v>5</v>
      </c>
      <c r="M83" s="38">
        <v>3</v>
      </c>
      <c r="N83" s="39">
        <v>-0.36131840818651001</v>
      </c>
      <c r="O83" s="39">
        <v>-1.3962398275767169</v>
      </c>
      <c r="P83" s="38">
        <v>2</v>
      </c>
      <c r="Q83" s="40">
        <v>2</v>
      </c>
      <c r="U83" s="42" t="s">
        <v>44</v>
      </c>
      <c r="V83" s="38">
        <v>3</v>
      </c>
      <c r="W83" s="38">
        <v>5</v>
      </c>
      <c r="X83" s="39">
        <v>-2.1427236047222697</v>
      </c>
      <c r="Y83" s="39">
        <v>0.86357728933905908</v>
      </c>
      <c r="Z83" s="38">
        <v>3</v>
      </c>
      <c r="AA83" s="40">
        <v>1</v>
      </c>
      <c r="AE83" s="42" t="s">
        <v>16</v>
      </c>
      <c r="AF83" s="38">
        <v>5</v>
      </c>
      <c r="AG83" s="38">
        <v>5</v>
      </c>
      <c r="AH83" s="39">
        <v>-1.4114058720699501</v>
      </c>
      <c r="AI83" s="39">
        <v>-1.2493204790025558</v>
      </c>
      <c r="AJ83" s="38">
        <v>3</v>
      </c>
      <c r="AK83" s="40">
        <v>3</v>
      </c>
    </row>
    <row r="84" spans="1:37" x14ac:dyDescent="0.25">
      <c r="A84" s="42" t="s">
        <v>91</v>
      </c>
      <c r="B84" s="38">
        <v>2</v>
      </c>
      <c r="C84" s="38">
        <v>1</v>
      </c>
      <c r="D84" s="39">
        <v>0.5561516086677204</v>
      </c>
      <c r="E84" s="39">
        <v>-0.1737745171200526</v>
      </c>
      <c r="F84" s="38">
        <v>1</v>
      </c>
      <c r="G84" s="40">
        <v>2</v>
      </c>
      <c r="K84" s="42" t="s">
        <v>60</v>
      </c>
      <c r="L84" s="38">
        <v>5</v>
      </c>
      <c r="M84" s="38">
        <v>3</v>
      </c>
      <c r="N84" s="39">
        <v>-0.24873459298707262</v>
      </c>
      <c r="O84" s="39">
        <v>-0.5613889182372408</v>
      </c>
      <c r="P84" s="38">
        <v>2</v>
      </c>
      <c r="Q84" s="40">
        <v>2</v>
      </c>
      <c r="U84" s="42" t="s">
        <v>48</v>
      </c>
      <c r="V84" s="38">
        <v>2</v>
      </c>
      <c r="W84" s="38">
        <v>1</v>
      </c>
      <c r="X84" s="39">
        <v>3.3527132941790314E-2</v>
      </c>
      <c r="Y84" s="39">
        <v>-0.69636259218025331</v>
      </c>
      <c r="Z84" s="38">
        <v>3</v>
      </c>
      <c r="AA84" s="40">
        <v>2</v>
      </c>
      <c r="AE84" s="42" t="s">
        <v>17</v>
      </c>
      <c r="AF84" s="38">
        <v>2</v>
      </c>
      <c r="AG84" s="38">
        <v>5</v>
      </c>
      <c r="AH84" s="39">
        <v>-0.8552454272290092</v>
      </c>
      <c r="AI84" s="39">
        <v>0.16475424583626697</v>
      </c>
      <c r="AJ84" s="38">
        <v>5</v>
      </c>
      <c r="AK84" s="40">
        <v>3</v>
      </c>
    </row>
    <row r="85" spans="1:37" x14ac:dyDescent="0.25">
      <c r="A85" s="42" t="s">
        <v>92</v>
      </c>
      <c r="B85" s="38">
        <v>2</v>
      </c>
      <c r="C85" s="38">
        <v>5</v>
      </c>
      <c r="D85" s="39">
        <v>-0.47604844048279188</v>
      </c>
      <c r="E85" s="39">
        <v>-2.1977582973834994E-2</v>
      </c>
      <c r="F85" s="38">
        <v>4</v>
      </c>
      <c r="G85" s="40">
        <v>2</v>
      </c>
      <c r="K85" s="42" t="s">
        <v>61</v>
      </c>
      <c r="L85" s="38">
        <v>2</v>
      </c>
      <c r="M85" s="38">
        <v>3</v>
      </c>
      <c r="N85" s="39">
        <v>-0.38057949214267195</v>
      </c>
      <c r="O85" s="39">
        <v>-0.28465892672474047</v>
      </c>
      <c r="P85" s="38">
        <v>1</v>
      </c>
      <c r="Q85" s="40">
        <v>2</v>
      </c>
      <c r="U85" s="42" t="s">
        <v>94</v>
      </c>
      <c r="V85" s="38">
        <v>2</v>
      </c>
      <c r="W85" s="38">
        <v>1</v>
      </c>
      <c r="X85" s="39">
        <v>0.10518680463092887</v>
      </c>
      <c r="Y85" s="39">
        <v>-0.42508506465536783</v>
      </c>
      <c r="Z85" s="38">
        <v>3</v>
      </c>
      <c r="AA85" s="40">
        <v>2</v>
      </c>
      <c r="AE85" s="42" t="s">
        <v>21</v>
      </c>
      <c r="AF85" s="38">
        <v>2</v>
      </c>
      <c r="AG85" s="38">
        <v>5</v>
      </c>
      <c r="AH85" s="39">
        <v>-0.3613091895056123</v>
      </c>
      <c r="AI85" s="39">
        <v>-1.0502625970543691</v>
      </c>
      <c r="AJ85" s="38">
        <v>2</v>
      </c>
      <c r="AK85" s="40">
        <v>3</v>
      </c>
    </row>
    <row r="86" spans="1:37" x14ac:dyDescent="0.25">
      <c r="A86" s="42" t="s">
        <v>94</v>
      </c>
      <c r="B86" s="38">
        <v>2</v>
      </c>
      <c r="C86" s="38">
        <v>1</v>
      </c>
      <c r="D86" s="39">
        <v>0.10518680463092887</v>
      </c>
      <c r="E86" s="39">
        <v>-0.42508506465536783</v>
      </c>
      <c r="F86" s="38">
        <v>3</v>
      </c>
      <c r="G86" s="40">
        <v>2</v>
      </c>
      <c r="K86" s="42" t="s">
        <v>64</v>
      </c>
      <c r="L86" s="38">
        <v>4</v>
      </c>
      <c r="M86" s="38">
        <v>3</v>
      </c>
      <c r="N86" s="39">
        <v>0.54948196782528946</v>
      </c>
      <c r="O86" s="39">
        <v>-1.1501117532461529</v>
      </c>
      <c r="P86" s="38">
        <v>1</v>
      </c>
      <c r="Q86" s="40">
        <v>2</v>
      </c>
      <c r="U86" s="42" t="s">
        <v>97</v>
      </c>
      <c r="V86" s="38">
        <v>3</v>
      </c>
      <c r="W86" s="38">
        <v>2</v>
      </c>
      <c r="X86" s="39">
        <v>-3.2953468409404016</v>
      </c>
      <c r="Y86" s="39">
        <v>3.4077314522301014</v>
      </c>
      <c r="Z86" s="38">
        <v>3</v>
      </c>
      <c r="AA86" s="40">
        <v>1</v>
      </c>
      <c r="AE86" s="42" t="s">
        <v>23</v>
      </c>
      <c r="AF86" s="38">
        <v>2</v>
      </c>
      <c r="AG86" s="38">
        <v>5</v>
      </c>
      <c r="AH86" s="39">
        <v>-0.47236462061264362</v>
      </c>
      <c r="AI86" s="39">
        <v>-0.34052876250758157</v>
      </c>
      <c r="AJ86" s="38">
        <v>2</v>
      </c>
      <c r="AK86" s="40">
        <v>3</v>
      </c>
    </row>
    <row r="87" spans="1:37" x14ac:dyDescent="0.25">
      <c r="A87" s="42" t="s">
        <v>99</v>
      </c>
      <c r="B87" s="38">
        <v>2</v>
      </c>
      <c r="C87" s="38">
        <v>1</v>
      </c>
      <c r="D87" s="39">
        <v>-8.7931524454885251E-2</v>
      </c>
      <c r="E87" s="39">
        <v>-0.28954161211744478</v>
      </c>
      <c r="F87" s="38">
        <v>4</v>
      </c>
      <c r="G87" s="40">
        <v>2</v>
      </c>
      <c r="K87" s="42" t="s">
        <v>73</v>
      </c>
      <c r="L87" s="38">
        <v>5</v>
      </c>
      <c r="M87" s="38">
        <v>3</v>
      </c>
      <c r="N87" s="39">
        <v>-1.0004446836060266</v>
      </c>
      <c r="O87" s="39">
        <v>-0.95097027796243738</v>
      </c>
      <c r="P87" s="38">
        <v>2</v>
      </c>
      <c r="Q87" s="40">
        <v>3</v>
      </c>
      <c r="U87" s="42" t="s">
        <v>18</v>
      </c>
      <c r="V87" s="38">
        <v>2</v>
      </c>
      <c r="W87" s="38">
        <v>1</v>
      </c>
      <c r="X87" s="39">
        <v>0.74429734346756371</v>
      </c>
      <c r="Y87" s="39">
        <v>-0.13192086711486234</v>
      </c>
      <c r="Z87" s="38">
        <v>4</v>
      </c>
      <c r="AA87" s="40">
        <v>2</v>
      </c>
      <c r="AE87" s="42" t="s">
        <v>26</v>
      </c>
      <c r="AF87" s="38">
        <v>5</v>
      </c>
      <c r="AG87" s="38">
        <v>5</v>
      </c>
      <c r="AH87" s="39">
        <v>-1.0919942651125929</v>
      </c>
      <c r="AI87" s="39">
        <v>-0.93960786836193566</v>
      </c>
      <c r="AJ87" s="38">
        <v>2</v>
      </c>
      <c r="AK87" s="40">
        <v>3</v>
      </c>
    </row>
    <row r="88" spans="1:37" x14ac:dyDescent="0.25">
      <c r="A88" s="42" t="s">
        <v>33</v>
      </c>
      <c r="B88" s="38">
        <v>3</v>
      </c>
      <c r="C88" s="38">
        <v>5</v>
      </c>
      <c r="D88" s="39">
        <v>-1.6668915434485045</v>
      </c>
      <c r="E88" s="39">
        <v>0.72172255100594862</v>
      </c>
      <c r="F88" s="38">
        <v>2</v>
      </c>
      <c r="G88" s="40">
        <v>1</v>
      </c>
      <c r="K88" s="42" t="s">
        <v>74</v>
      </c>
      <c r="L88" s="38">
        <v>2</v>
      </c>
      <c r="M88" s="38">
        <v>3</v>
      </c>
      <c r="N88" s="39">
        <v>-5.2605709804272177E-2</v>
      </c>
      <c r="O88" s="39">
        <v>-0.37935552940187595</v>
      </c>
      <c r="P88" s="38">
        <v>2</v>
      </c>
      <c r="Q88" s="40">
        <v>3</v>
      </c>
      <c r="U88" s="42" t="s">
        <v>19</v>
      </c>
      <c r="V88" s="38">
        <v>4</v>
      </c>
      <c r="W88" s="38">
        <v>3</v>
      </c>
      <c r="X88" s="39">
        <v>0.55135941082757312</v>
      </c>
      <c r="Y88" s="39">
        <v>6.5124851736002243E-2</v>
      </c>
      <c r="Z88" s="38">
        <v>4</v>
      </c>
      <c r="AA88" s="40">
        <v>2</v>
      </c>
      <c r="AE88" s="42" t="s">
        <v>27</v>
      </c>
      <c r="AF88" s="38">
        <v>5</v>
      </c>
      <c r="AG88" s="38">
        <v>5</v>
      </c>
      <c r="AH88" s="39">
        <v>-0.86461044381095564</v>
      </c>
      <c r="AI88" s="39">
        <v>1.089205572176544E-2</v>
      </c>
      <c r="AJ88" s="38">
        <v>5</v>
      </c>
      <c r="AK88" s="40">
        <v>3</v>
      </c>
    </row>
    <row r="89" spans="1:37" x14ac:dyDescent="0.25">
      <c r="A89" s="42" t="s">
        <v>44</v>
      </c>
      <c r="B89" s="38">
        <v>3</v>
      </c>
      <c r="C89" s="38">
        <v>5</v>
      </c>
      <c r="D89" s="39">
        <v>-2.1427236047222697</v>
      </c>
      <c r="E89" s="39">
        <v>0.86357728933905908</v>
      </c>
      <c r="F89" s="38">
        <v>3</v>
      </c>
      <c r="G89" s="40">
        <v>1</v>
      </c>
      <c r="K89" s="42" t="s">
        <v>83</v>
      </c>
      <c r="L89" s="38">
        <v>5</v>
      </c>
      <c r="M89" s="38">
        <v>3</v>
      </c>
      <c r="N89" s="39">
        <v>-0.33647682232699305</v>
      </c>
      <c r="O89" s="39">
        <v>-0.75536894841946534</v>
      </c>
      <c r="P89" s="38">
        <v>5</v>
      </c>
      <c r="Q89" s="40">
        <v>2</v>
      </c>
      <c r="U89" s="42" t="s">
        <v>22</v>
      </c>
      <c r="V89" s="38">
        <v>2</v>
      </c>
      <c r="W89" s="38">
        <v>1</v>
      </c>
      <c r="X89" s="39">
        <v>0.66407784375104573</v>
      </c>
      <c r="Y89" s="39">
        <v>-8.7311588568459289E-2</v>
      </c>
      <c r="Z89" s="38">
        <v>4</v>
      </c>
      <c r="AA89" s="40">
        <v>2</v>
      </c>
      <c r="AE89" s="42" t="s">
        <v>29</v>
      </c>
      <c r="AF89" s="38">
        <v>2</v>
      </c>
      <c r="AG89" s="38">
        <v>1</v>
      </c>
      <c r="AH89" s="39">
        <v>-7.5027488478993765E-2</v>
      </c>
      <c r="AI89" s="39">
        <v>-0.64135416676672852</v>
      </c>
      <c r="AJ89" s="38">
        <v>2</v>
      </c>
      <c r="AK89" s="40">
        <v>3</v>
      </c>
    </row>
    <row r="90" spans="1:37" x14ac:dyDescent="0.25">
      <c r="A90" s="42" t="s">
        <v>47</v>
      </c>
      <c r="B90" s="38">
        <v>3</v>
      </c>
      <c r="C90" s="38">
        <v>2</v>
      </c>
      <c r="D90" s="39">
        <v>-3.1229598174967892</v>
      </c>
      <c r="E90" s="39">
        <v>2.8273862582707006</v>
      </c>
      <c r="F90" s="38">
        <v>5</v>
      </c>
      <c r="G90" s="40">
        <v>1</v>
      </c>
      <c r="K90" s="42" t="s">
        <v>85</v>
      </c>
      <c r="L90" s="38">
        <v>5</v>
      </c>
      <c r="M90" s="38">
        <v>3</v>
      </c>
      <c r="N90" s="39">
        <v>3.5346049848015801E-2</v>
      </c>
      <c r="O90" s="39">
        <v>-1.0143922311683753</v>
      </c>
      <c r="P90" s="38">
        <v>5</v>
      </c>
      <c r="Q90" s="40">
        <v>2</v>
      </c>
      <c r="U90" s="42" t="s">
        <v>30</v>
      </c>
      <c r="V90" s="38">
        <v>1</v>
      </c>
      <c r="W90" s="38">
        <v>4</v>
      </c>
      <c r="X90" s="39">
        <v>1.6450980753046356</v>
      </c>
      <c r="Y90" s="39">
        <v>0.74974708373087584</v>
      </c>
      <c r="Z90" s="38">
        <v>4</v>
      </c>
      <c r="AA90" s="40">
        <v>4</v>
      </c>
      <c r="AE90" s="42" t="s">
        <v>35</v>
      </c>
      <c r="AF90" s="38">
        <v>5</v>
      </c>
      <c r="AG90" s="38">
        <v>3</v>
      </c>
      <c r="AH90" s="39">
        <v>-0.5112055682236194</v>
      </c>
      <c r="AI90" s="39">
        <v>-0.6282348351070014</v>
      </c>
      <c r="AJ90" s="38">
        <v>4</v>
      </c>
      <c r="AK90" s="40">
        <v>3</v>
      </c>
    </row>
    <row r="91" spans="1:37" x14ac:dyDescent="0.25">
      <c r="A91" s="42" t="s">
        <v>93</v>
      </c>
      <c r="B91" s="38">
        <v>3</v>
      </c>
      <c r="C91" s="38">
        <v>4</v>
      </c>
      <c r="D91" s="39">
        <v>-6.2872015641378454E-2</v>
      </c>
      <c r="E91" s="39">
        <v>1.5962749734600787</v>
      </c>
      <c r="F91" s="38">
        <v>5</v>
      </c>
      <c r="G91" s="40">
        <v>4</v>
      </c>
      <c r="K91" s="42" t="s">
        <v>86</v>
      </c>
      <c r="L91" s="38">
        <v>5</v>
      </c>
      <c r="M91" s="38">
        <v>3</v>
      </c>
      <c r="N91" s="39">
        <v>-0.62846576532602727</v>
      </c>
      <c r="O91" s="39">
        <v>-0.98018553615211512</v>
      </c>
      <c r="P91" s="38">
        <v>2</v>
      </c>
      <c r="Q91" s="40">
        <v>2</v>
      </c>
      <c r="U91" s="42" t="s">
        <v>35</v>
      </c>
      <c r="V91" s="38">
        <v>5</v>
      </c>
      <c r="W91" s="38">
        <v>3</v>
      </c>
      <c r="X91" s="39">
        <v>-0.5112055682236194</v>
      </c>
      <c r="Y91" s="39">
        <v>-0.6282348351070014</v>
      </c>
      <c r="Z91" s="38">
        <v>4</v>
      </c>
      <c r="AA91" s="40">
        <v>3</v>
      </c>
      <c r="AE91" s="42" t="s">
        <v>36</v>
      </c>
      <c r="AF91" s="38">
        <v>2</v>
      </c>
      <c r="AG91" s="38">
        <v>5</v>
      </c>
      <c r="AH91" s="39">
        <v>-0.29303341577799391</v>
      </c>
      <c r="AI91" s="39">
        <v>-0.77836499856168717</v>
      </c>
      <c r="AJ91" s="38">
        <v>1</v>
      </c>
      <c r="AK91" s="40">
        <v>3</v>
      </c>
    </row>
    <row r="92" spans="1:37" x14ac:dyDescent="0.25">
      <c r="A92" s="42" t="s">
        <v>97</v>
      </c>
      <c r="B92" s="38">
        <v>3</v>
      </c>
      <c r="C92" s="38">
        <v>2</v>
      </c>
      <c r="D92" s="39">
        <v>-3.2953468409404016</v>
      </c>
      <c r="E92" s="39">
        <v>3.4077314522301014</v>
      </c>
      <c r="F92" s="38">
        <v>3</v>
      </c>
      <c r="G92" s="40">
        <v>1</v>
      </c>
      <c r="K92" s="42" t="s">
        <v>89</v>
      </c>
      <c r="L92" s="38">
        <v>4</v>
      </c>
      <c r="M92" s="38">
        <v>3</v>
      </c>
      <c r="N92" s="39">
        <v>-0.2766852919480296</v>
      </c>
      <c r="O92" s="39">
        <v>-1.1830861094987901</v>
      </c>
      <c r="P92" s="38">
        <v>5</v>
      </c>
      <c r="Q92" s="40">
        <v>2</v>
      </c>
      <c r="U92" s="42" t="s">
        <v>41</v>
      </c>
      <c r="V92" s="38">
        <v>4</v>
      </c>
      <c r="W92" s="38">
        <v>1</v>
      </c>
      <c r="X92" s="39">
        <v>0.37178713265683538</v>
      </c>
      <c r="Y92" s="39">
        <v>-0.47906210129195392</v>
      </c>
      <c r="Z92" s="38">
        <v>4</v>
      </c>
      <c r="AA92" s="40">
        <v>2</v>
      </c>
      <c r="AE92" s="42" t="s">
        <v>39</v>
      </c>
      <c r="AF92" s="38">
        <v>2</v>
      </c>
      <c r="AG92" s="38">
        <v>1</v>
      </c>
      <c r="AH92" s="39">
        <v>0.1537397590988735</v>
      </c>
      <c r="AI92" s="39">
        <v>-0.12248831943674655</v>
      </c>
      <c r="AJ92" s="38">
        <v>2</v>
      </c>
      <c r="AK92" s="40">
        <v>3</v>
      </c>
    </row>
    <row r="93" spans="1:37" x14ac:dyDescent="0.25">
      <c r="A93" s="42" t="s">
        <v>98</v>
      </c>
      <c r="B93" s="38">
        <v>3</v>
      </c>
      <c r="C93" s="38">
        <v>2</v>
      </c>
      <c r="D93" s="39">
        <v>-1.6420537453849324</v>
      </c>
      <c r="E93" s="39">
        <v>3.3899464444781287</v>
      </c>
      <c r="F93" s="38">
        <v>5</v>
      </c>
      <c r="G93" s="40">
        <v>1</v>
      </c>
      <c r="K93" s="42" t="s">
        <v>96</v>
      </c>
      <c r="L93" s="38">
        <v>5</v>
      </c>
      <c r="M93" s="38">
        <v>3</v>
      </c>
      <c r="N93" s="39">
        <v>1.9663679537426107E-2</v>
      </c>
      <c r="O93" s="39">
        <v>-0.71448847453377895</v>
      </c>
      <c r="P93" s="38">
        <v>2</v>
      </c>
      <c r="Q93" s="40">
        <v>2</v>
      </c>
      <c r="U93" s="42" t="s">
        <v>46</v>
      </c>
      <c r="V93" s="38">
        <v>2</v>
      </c>
      <c r="W93" s="38">
        <v>5</v>
      </c>
      <c r="X93" s="39">
        <v>-0.73566704029120611</v>
      </c>
      <c r="Y93" s="39">
        <v>0.58751580709718065</v>
      </c>
      <c r="Z93" s="38">
        <v>4</v>
      </c>
      <c r="AA93" s="40">
        <v>5</v>
      </c>
      <c r="AE93" s="42" t="s">
        <v>52</v>
      </c>
      <c r="AF93" s="38">
        <v>2</v>
      </c>
      <c r="AG93" s="38">
        <v>1</v>
      </c>
      <c r="AH93" s="39">
        <v>0.206866456251321</v>
      </c>
      <c r="AI93" s="39">
        <v>-0.21524912720861458</v>
      </c>
      <c r="AJ93" s="38">
        <v>1</v>
      </c>
      <c r="AK93" s="40">
        <v>3</v>
      </c>
    </row>
    <row r="94" spans="1:37" x14ac:dyDescent="0.25">
      <c r="A94" s="42" t="s">
        <v>19</v>
      </c>
      <c r="B94" s="38">
        <v>4</v>
      </c>
      <c r="C94" s="38">
        <v>3</v>
      </c>
      <c r="D94" s="39">
        <v>0.55135941082757312</v>
      </c>
      <c r="E94" s="39">
        <v>6.5124851736002243E-2</v>
      </c>
      <c r="F94" s="38">
        <v>4</v>
      </c>
      <c r="G94" s="40">
        <v>2</v>
      </c>
      <c r="K94" s="42" t="s">
        <v>25</v>
      </c>
      <c r="L94" s="38">
        <v>4</v>
      </c>
      <c r="M94" s="38">
        <v>4</v>
      </c>
      <c r="N94" s="39">
        <v>1.0810174286238268</v>
      </c>
      <c r="O94" s="39">
        <v>2.4156021819374955</v>
      </c>
      <c r="P94" s="38">
        <v>5</v>
      </c>
      <c r="Q94" s="40">
        <v>4</v>
      </c>
      <c r="U94" s="42" t="s">
        <v>59</v>
      </c>
      <c r="V94" s="38">
        <v>5</v>
      </c>
      <c r="W94" s="38">
        <v>5</v>
      </c>
      <c r="X94" s="39">
        <v>-1.1321999628286745</v>
      </c>
      <c r="Y94" s="39">
        <v>-1.6743650355145756</v>
      </c>
      <c r="Z94" s="38">
        <v>4</v>
      </c>
      <c r="AA94" s="40">
        <v>3</v>
      </c>
      <c r="AE94" s="42" t="s">
        <v>57</v>
      </c>
      <c r="AF94" s="38">
        <v>2</v>
      </c>
      <c r="AG94" s="38">
        <v>5</v>
      </c>
      <c r="AH94" s="39">
        <v>-0.39346997962482949</v>
      </c>
      <c r="AI94" s="39">
        <v>-0.70552634103337264</v>
      </c>
      <c r="AJ94" s="38">
        <v>2</v>
      </c>
      <c r="AK94" s="40">
        <v>3</v>
      </c>
    </row>
    <row r="95" spans="1:37" x14ac:dyDescent="0.25">
      <c r="A95" s="42" t="s">
        <v>24</v>
      </c>
      <c r="B95" s="38">
        <v>4</v>
      </c>
      <c r="C95" s="38">
        <v>1</v>
      </c>
      <c r="D95" s="39">
        <v>0.54605165183376347</v>
      </c>
      <c r="E95" s="39">
        <v>-0.53505443349905213</v>
      </c>
      <c r="F95" s="38">
        <v>1</v>
      </c>
      <c r="G95" s="40">
        <v>2</v>
      </c>
      <c r="K95" s="42" t="s">
        <v>30</v>
      </c>
      <c r="L95" s="38">
        <v>1</v>
      </c>
      <c r="M95" s="38">
        <v>4</v>
      </c>
      <c r="N95" s="39">
        <v>1.6450980753046356</v>
      </c>
      <c r="O95" s="39">
        <v>0.74974708373087584</v>
      </c>
      <c r="P95" s="38">
        <v>4</v>
      </c>
      <c r="Q95" s="40">
        <v>4</v>
      </c>
      <c r="U95" s="42" t="s">
        <v>65</v>
      </c>
      <c r="V95" s="38">
        <v>5</v>
      </c>
      <c r="W95" s="38">
        <v>5</v>
      </c>
      <c r="X95" s="39">
        <v>-1.4775798025292122</v>
      </c>
      <c r="Y95" s="39">
        <v>-0.72266238779301717</v>
      </c>
      <c r="Z95" s="38">
        <v>4</v>
      </c>
      <c r="AA95" s="40">
        <v>3</v>
      </c>
      <c r="AE95" s="42" t="s">
        <v>59</v>
      </c>
      <c r="AF95" s="38">
        <v>5</v>
      </c>
      <c r="AG95" s="38">
        <v>5</v>
      </c>
      <c r="AH95" s="39">
        <v>-1.1321999628286745</v>
      </c>
      <c r="AI95" s="39">
        <v>-1.6743650355145756</v>
      </c>
      <c r="AJ95" s="38">
        <v>4</v>
      </c>
      <c r="AK95" s="40">
        <v>3</v>
      </c>
    </row>
    <row r="96" spans="1:37" x14ac:dyDescent="0.25">
      <c r="A96" s="42" t="s">
        <v>25</v>
      </c>
      <c r="B96" s="38">
        <v>4</v>
      </c>
      <c r="C96" s="38">
        <v>4</v>
      </c>
      <c r="D96" s="39">
        <v>1.0810174286238268</v>
      </c>
      <c r="E96" s="39">
        <v>2.4156021819374955</v>
      </c>
      <c r="F96" s="38">
        <v>5</v>
      </c>
      <c r="G96" s="40">
        <v>4</v>
      </c>
      <c r="K96" s="42" t="s">
        <v>34</v>
      </c>
      <c r="L96" s="38">
        <v>4</v>
      </c>
      <c r="M96" s="38">
        <v>4</v>
      </c>
      <c r="N96" s="39">
        <v>1.4474040008397731</v>
      </c>
      <c r="O96" s="39">
        <v>0.17430466749372572</v>
      </c>
      <c r="P96" s="38">
        <v>5</v>
      </c>
      <c r="Q96" s="40">
        <v>4</v>
      </c>
      <c r="U96" s="42" t="s">
        <v>66</v>
      </c>
      <c r="V96" s="38">
        <v>5</v>
      </c>
      <c r="W96" s="38">
        <v>5</v>
      </c>
      <c r="X96" s="39">
        <v>-1.5145933250615475</v>
      </c>
      <c r="Y96" s="39">
        <v>-0.39599386453158691</v>
      </c>
      <c r="Z96" s="38">
        <v>4</v>
      </c>
      <c r="AA96" s="40">
        <v>3</v>
      </c>
      <c r="AE96" s="42" t="s">
        <v>65</v>
      </c>
      <c r="AF96" s="38">
        <v>5</v>
      </c>
      <c r="AG96" s="38">
        <v>5</v>
      </c>
      <c r="AH96" s="39">
        <v>-1.4775798025292122</v>
      </c>
      <c r="AI96" s="39">
        <v>-0.72266238779301717</v>
      </c>
      <c r="AJ96" s="38">
        <v>4</v>
      </c>
      <c r="AK96" s="40">
        <v>3</v>
      </c>
    </row>
    <row r="97" spans="1:37" x14ac:dyDescent="0.25">
      <c r="A97" s="42" t="s">
        <v>34</v>
      </c>
      <c r="B97" s="38">
        <v>4</v>
      </c>
      <c r="C97" s="38">
        <v>4</v>
      </c>
      <c r="D97" s="39">
        <v>1.4474040008397731</v>
      </c>
      <c r="E97" s="39">
        <v>0.17430466749372572</v>
      </c>
      <c r="F97" s="38">
        <v>5</v>
      </c>
      <c r="G97" s="40">
        <v>4</v>
      </c>
      <c r="K97" s="42" t="s">
        <v>45</v>
      </c>
      <c r="L97" s="38">
        <v>2</v>
      </c>
      <c r="M97" s="38">
        <v>4</v>
      </c>
      <c r="N97" s="39">
        <v>0.29554382105285781</v>
      </c>
      <c r="O97" s="39">
        <v>1.8633358881888236</v>
      </c>
      <c r="P97" s="38">
        <v>2</v>
      </c>
      <c r="Q97" s="40">
        <v>5</v>
      </c>
      <c r="U97" s="42" t="s">
        <v>69</v>
      </c>
      <c r="V97" s="38">
        <v>2</v>
      </c>
      <c r="W97" s="38">
        <v>1</v>
      </c>
      <c r="X97" s="39">
        <v>0.48310197852840953</v>
      </c>
      <c r="Y97" s="39">
        <v>-0.42087823173699468</v>
      </c>
      <c r="Z97" s="38">
        <v>4</v>
      </c>
      <c r="AA97" s="40">
        <v>2</v>
      </c>
      <c r="AE97" s="42" t="s">
        <v>66</v>
      </c>
      <c r="AF97" s="38">
        <v>5</v>
      </c>
      <c r="AG97" s="38">
        <v>5</v>
      </c>
      <c r="AH97" s="39">
        <v>-1.5145933250615475</v>
      </c>
      <c r="AI97" s="39">
        <v>-0.39599386453158691</v>
      </c>
      <c r="AJ97" s="38">
        <v>4</v>
      </c>
      <c r="AK97" s="40">
        <v>3</v>
      </c>
    </row>
    <row r="98" spans="1:37" x14ac:dyDescent="0.25">
      <c r="A98" s="42" t="s">
        <v>41</v>
      </c>
      <c r="B98" s="38">
        <v>4</v>
      </c>
      <c r="C98" s="38">
        <v>1</v>
      </c>
      <c r="D98" s="39">
        <v>0.37178713265683538</v>
      </c>
      <c r="E98" s="39">
        <v>-0.47906210129195392</v>
      </c>
      <c r="F98" s="38">
        <v>4</v>
      </c>
      <c r="G98" s="40">
        <v>2</v>
      </c>
      <c r="K98" s="42" t="s">
        <v>58</v>
      </c>
      <c r="L98" s="38">
        <v>4</v>
      </c>
      <c r="M98" s="38">
        <v>4</v>
      </c>
      <c r="N98" s="39">
        <v>0.94906750609787804</v>
      </c>
      <c r="O98" s="39">
        <v>0.21267326997628261</v>
      </c>
      <c r="P98" s="38">
        <v>5</v>
      </c>
      <c r="Q98" s="40">
        <v>4</v>
      </c>
      <c r="U98" s="42" t="s">
        <v>77</v>
      </c>
      <c r="V98" s="38">
        <v>2</v>
      </c>
      <c r="W98" s="38">
        <v>1</v>
      </c>
      <c r="X98" s="39">
        <v>0.64086387046044768</v>
      </c>
      <c r="Y98" s="39">
        <v>4.7587805671222727E-2</v>
      </c>
      <c r="Z98" s="38">
        <v>4</v>
      </c>
      <c r="AA98" s="40">
        <v>2</v>
      </c>
      <c r="AE98" s="42" t="s">
        <v>73</v>
      </c>
      <c r="AF98" s="38">
        <v>5</v>
      </c>
      <c r="AG98" s="38">
        <v>3</v>
      </c>
      <c r="AH98" s="39">
        <v>-1.0004446836060266</v>
      </c>
      <c r="AI98" s="39">
        <v>-0.95097027796243738</v>
      </c>
      <c r="AJ98" s="38">
        <v>2</v>
      </c>
      <c r="AK98" s="40">
        <v>3</v>
      </c>
    </row>
    <row r="99" spans="1:37" x14ac:dyDescent="0.25">
      <c r="A99" s="42" t="s">
        <v>51</v>
      </c>
      <c r="B99" s="38">
        <v>4</v>
      </c>
      <c r="C99" s="38">
        <v>1</v>
      </c>
      <c r="D99" s="39">
        <v>0.53342286344219358</v>
      </c>
      <c r="E99" s="39">
        <v>-0.59167600626156946</v>
      </c>
      <c r="F99" s="38">
        <v>5</v>
      </c>
      <c r="G99" s="40">
        <v>2</v>
      </c>
      <c r="K99" s="42" t="s">
        <v>62</v>
      </c>
      <c r="L99" s="38">
        <v>1</v>
      </c>
      <c r="M99" s="38">
        <v>4</v>
      </c>
      <c r="N99" s="39">
        <v>2.0167870980768274</v>
      </c>
      <c r="O99" s="39">
        <v>1.5270940393233268</v>
      </c>
      <c r="P99" s="38">
        <v>5</v>
      </c>
      <c r="Q99" s="40">
        <v>4</v>
      </c>
      <c r="U99" s="42" t="s">
        <v>78</v>
      </c>
      <c r="V99" s="38">
        <v>4</v>
      </c>
      <c r="W99" s="38">
        <v>4</v>
      </c>
      <c r="X99" s="39">
        <v>1.2900430873827986</v>
      </c>
      <c r="Y99" s="39">
        <v>1.3670031343710574</v>
      </c>
      <c r="Z99" s="38">
        <v>4</v>
      </c>
      <c r="AA99" s="40">
        <v>4</v>
      </c>
      <c r="AE99" s="42" t="s">
        <v>74</v>
      </c>
      <c r="AF99" s="38">
        <v>2</v>
      </c>
      <c r="AG99" s="38">
        <v>3</v>
      </c>
      <c r="AH99" s="39">
        <v>-5.2605709804272177E-2</v>
      </c>
      <c r="AI99" s="39">
        <v>-0.37935552940187595</v>
      </c>
      <c r="AJ99" s="38">
        <v>2</v>
      </c>
      <c r="AK99" s="40">
        <v>3</v>
      </c>
    </row>
    <row r="100" spans="1:37" x14ac:dyDescent="0.25">
      <c r="A100" s="42" t="s">
        <v>58</v>
      </c>
      <c r="B100" s="38">
        <v>4</v>
      </c>
      <c r="C100" s="38">
        <v>4</v>
      </c>
      <c r="D100" s="39">
        <v>0.94906750609787804</v>
      </c>
      <c r="E100" s="39">
        <v>0.21267326997628261</v>
      </c>
      <c r="F100" s="38">
        <v>5</v>
      </c>
      <c r="G100" s="40">
        <v>4</v>
      </c>
      <c r="K100" s="42" t="s">
        <v>63</v>
      </c>
      <c r="L100" s="38">
        <v>1</v>
      </c>
      <c r="M100" s="38">
        <v>4</v>
      </c>
      <c r="N100" s="39">
        <v>2.4004749266290126</v>
      </c>
      <c r="O100" s="39">
        <v>1.5243648928990807</v>
      </c>
      <c r="P100" s="38">
        <v>1</v>
      </c>
      <c r="Q100" s="40">
        <v>5</v>
      </c>
      <c r="U100" s="42" t="s">
        <v>92</v>
      </c>
      <c r="V100" s="38">
        <v>2</v>
      </c>
      <c r="W100" s="38">
        <v>5</v>
      </c>
      <c r="X100" s="39">
        <v>-0.47604844048279188</v>
      </c>
      <c r="Y100" s="39">
        <v>-2.1977582973834994E-2</v>
      </c>
      <c r="Z100" s="38">
        <v>4</v>
      </c>
      <c r="AA100" s="40">
        <v>2</v>
      </c>
      <c r="AE100" s="42" t="s">
        <v>90</v>
      </c>
      <c r="AF100" s="38">
        <v>2</v>
      </c>
      <c r="AG100" s="38">
        <v>1</v>
      </c>
      <c r="AH100" s="39">
        <v>-0.1260130225702788</v>
      </c>
      <c r="AI100" s="39">
        <v>-0.2872649798888956</v>
      </c>
      <c r="AJ100" s="38">
        <v>5</v>
      </c>
      <c r="AK100" s="40">
        <v>3</v>
      </c>
    </row>
    <row r="101" spans="1:37" x14ac:dyDescent="0.25">
      <c r="A101" s="42" t="s">
        <v>64</v>
      </c>
      <c r="B101" s="38">
        <v>4</v>
      </c>
      <c r="C101" s="38">
        <v>3</v>
      </c>
      <c r="D101" s="39">
        <v>0.54948196782528946</v>
      </c>
      <c r="E101" s="39">
        <v>-1.1501117532461529</v>
      </c>
      <c r="F101" s="38">
        <v>1</v>
      </c>
      <c r="G101" s="40">
        <v>2</v>
      </c>
      <c r="K101" s="42" t="s">
        <v>71</v>
      </c>
      <c r="L101" s="38">
        <v>4</v>
      </c>
      <c r="M101" s="38">
        <v>4</v>
      </c>
      <c r="N101" s="39">
        <v>1.3483812731330076</v>
      </c>
      <c r="O101" s="39">
        <v>-0.2701249686981429</v>
      </c>
      <c r="P101" s="38">
        <v>2</v>
      </c>
      <c r="Q101" s="40">
        <v>4</v>
      </c>
      <c r="U101" s="42" t="s">
        <v>99</v>
      </c>
      <c r="V101" s="38">
        <v>2</v>
      </c>
      <c r="W101" s="38">
        <v>1</v>
      </c>
      <c r="X101" s="39">
        <v>-8.7931524454885251E-2</v>
      </c>
      <c r="Y101" s="39">
        <v>-0.28954161211744478</v>
      </c>
      <c r="Z101" s="38">
        <v>4</v>
      </c>
      <c r="AA101" s="40">
        <v>2</v>
      </c>
      <c r="AE101" s="42" t="s">
        <v>25</v>
      </c>
      <c r="AF101" s="38">
        <v>4</v>
      </c>
      <c r="AG101" s="38">
        <v>4</v>
      </c>
      <c r="AH101" s="39">
        <v>1.0810174286238268</v>
      </c>
      <c r="AI101" s="39">
        <v>2.4156021819374955</v>
      </c>
      <c r="AJ101" s="38">
        <v>5</v>
      </c>
      <c r="AK101" s="40">
        <v>4</v>
      </c>
    </row>
    <row r="102" spans="1:37" x14ac:dyDescent="0.25">
      <c r="A102" s="42" t="s">
        <v>71</v>
      </c>
      <c r="B102" s="38">
        <v>4</v>
      </c>
      <c r="C102" s="38">
        <v>4</v>
      </c>
      <c r="D102" s="39">
        <v>1.3483812731330076</v>
      </c>
      <c r="E102" s="39">
        <v>-0.2701249686981429</v>
      </c>
      <c r="F102" s="38">
        <v>2</v>
      </c>
      <c r="G102" s="40">
        <v>4</v>
      </c>
      <c r="K102" s="42" t="s">
        <v>75</v>
      </c>
      <c r="L102" s="38">
        <v>4</v>
      </c>
      <c r="M102" s="38">
        <v>4</v>
      </c>
      <c r="N102" s="39">
        <v>0.986172032352854</v>
      </c>
      <c r="O102" s="39">
        <v>0.4507622932255928</v>
      </c>
      <c r="P102" s="38">
        <v>2</v>
      </c>
      <c r="Q102" s="40">
        <v>4</v>
      </c>
      <c r="U102" s="42" t="s">
        <v>17</v>
      </c>
      <c r="V102" s="38">
        <v>2</v>
      </c>
      <c r="W102" s="38">
        <v>5</v>
      </c>
      <c r="X102" s="39">
        <v>-0.8552454272290092</v>
      </c>
      <c r="Y102" s="39">
        <v>0.16475424583626697</v>
      </c>
      <c r="Z102" s="38">
        <v>5</v>
      </c>
      <c r="AA102" s="40">
        <v>3</v>
      </c>
      <c r="AE102" s="42" t="s">
        <v>30</v>
      </c>
      <c r="AF102" s="38">
        <v>1</v>
      </c>
      <c r="AG102" s="38">
        <v>4</v>
      </c>
      <c r="AH102" s="39">
        <v>1.6450980753046356</v>
      </c>
      <c r="AI102" s="39">
        <v>0.74974708373087584</v>
      </c>
      <c r="AJ102" s="38">
        <v>4</v>
      </c>
      <c r="AK102" s="40">
        <v>4</v>
      </c>
    </row>
    <row r="103" spans="1:37" x14ac:dyDescent="0.25">
      <c r="A103" s="42" t="s">
        <v>75</v>
      </c>
      <c r="B103" s="38">
        <v>4</v>
      </c>
      <c r="C103" s="38">
        <v>4</v>
      </c>
      <c r="D103" s="39">
        <v>0.986172032352854</v>
      </c>
      <c r="E103" s="39">
        <v>0.4507622932255928</v>
      </c>
      <c r="F103" s="38">
        <v>2</v>
      </c>
      <c r="G103" s="40">
        <v>4</v>
      </c>
      <c r="K103" s="42" t="s">
        <v>78</v>
      </c>
      <c r="L103" s="38">
        <v>4</v>
      </c>
      <c r="M103" s="38">
        <v>4</v>
      </c>
      <c r="N103" s="39">
        <v>1.2900430873827986</v>
      </c>
      <c r="O103" s="39">
        <v>1.3670031343710574</v>
      </c>
      <c r="P103" s="38">
        <v>4</v>
      </c>
      <c r="Q103" s="40">
        <v>4</v>
      </c>
      <c r="U103" s="42" t="s">
        <v>25</v>
      </c>
      <c r="V103" s="38">
        <v>4</v>
      </c>
      <c r="W103" s="38">
        <v>4</v>
      </c>
      <c r="X103" s="39">
        <v>1.0810174286238268</v>
      </c>
      <c r="Y103" s="39">
        <v>2.4156021819374955</v>
      </c>
      <c r="Z103" s="38">
        <v>5</v>
      </c>
      <c r="AA103" s="40">
        <v>4</v>
      </c>
      <c r="AE103" s="42" t="s">
        <v>34</v>
      </c>
      <c r="AF103" s="38">
        <v>4</v>
      </c>
      <c r="AG103" s="38">
        <v>4</v>
      </c>
      <c r="AH103" s="39">
        <v>1.4474040008397731</v>
      </c>
      <c r="AI103" s="39">
        <v>0.17430466749372572</v>
      </c>
      <c r="AJ103" s="38">
        <v>5</v>
      </c>
      <c r="AK103" s="40">
        <v>4</v>
      </c>
    </row>
    <row r="104" spans="1:37" x14ac:dyDescent="0.25">
      <c r="A104" s="42" t="s">
        <v>78</v>
      </c>
      <c r="B104" s="38">
        <v>4</v>
      </c>
      <c r="C104" s="38">
        <v>4</v>
      </c>
      <c r="D104" s="39">
        <v>1.2900430873827986</v>
      </c>
      <c r="E104" s="39">
        <v>1.3670031343710574</v>
      </c>
      <c r="F104" s="38">
        <v>4</v>
      </c>
      <c r="G104" s="40">
        <v>4</v>
      </c>
      <c r="K104" s="42" t="s">
        <v>82</v>
      </c>
      <c r="L104" s="38">
        <v>2</v>
      </c>
      <c r="M104" s="38">
        <v>4</v>
      </c>
      <c r="N104" s="39">
        <v>1.005869542554052</v>
      </c>
      <c r="O104" s="39">
        <v>0.28394978208197325</v>
      </c>
      <c r="P104" s="38">
        <v>2</v>
      </c>
      <c r="Q104" s="40">
        <v>4</v>
      </c>
      <c r="U104" s="42" t="s">
        <v>27</v>
      </c>
      <c r="V104" s="38">
        <v>5</v>
      </c>
      <c r="W104" s="38">
        <v>5</v>
      </c>
      <c r="X104" s="39">
        <v>-0.86461044381095564</v>
      </c>
      <c r="Y104" s="39">
        <v>1.089205572176544E-2</v>
      </c>
      <c r="Z104" s="38">
        <v>5</v>
      </c>
      <c r="AA104" s="40">
        <v>3</v>
      </c>
      <c r="AE104" s="42" t="s">
        <v>38</v>
      </c>
      <c r="AF104" s="38">
        <v>2</v>
      </c>
      <c r="AG104" s="38">
        <v>1</v>
      </c>
      <c r="AH104" s="39">
        <v>0.55598953438220522</v>
      </c>
      <c r="AI104" s="39">
        <v>0.36992685755264626</v>
      </c>
      <c r="AJ104" s="38">
        <v>5</v>
      </c>
      <c r="AK104" s="40">
        <v>4</v>
      </c>
    </row>
    <row r="105" spans="1:37" x14ac:dyDescent="0.25">
      <c r="A105" s="42" t="s">
        <v>84</v>
      </c>
      <c r="B105" s="38">
        <v>4</v>
      </c>
      <c r="C105" s="38">
        <v>4</v>
      </c>
      <c r="D105" s="39">
        <v>1.2324174071738814</v>
      </c>
      <c r="E105" s="39">
        <v>0.3351483900230432</v>
      </c>
      <c r="F105" s="38">
        <v>5</v>
      </c>
      <c r="G105" s="40">
        <v>4</v>
      </c>
      <c r="K105" s="42" t="s">
        <v>84</v>
      </c>
      <c r="L105" s="38">
        <v>4</v>
      </c>
      <c r="M105" s="38">
        <v>4</v>
      </c>
      <c r="N105" s="39">
        <v>1.2324174071738814</v>
      </c>
      <c r="O105" s="39">
        <v>0.3351483900230432</v>
      </c>
      <c r="P105" s="38">
        <v>5</v>
      </c>
      <c r="Q105" s="40">
        <v>4</v>
      </c>
      <c r="U105" s="42" t="s">
        <v>31</v>
      </c>
      <c r="V105" s="38">
        <v>2</v>
      </c>
      <c r="W105" s="38">
        <v>1</v>
      </c>
      <c r="X105" s="39">
        <v>0.63199967232943455</v>
      </c>
      <c r="Y105" s="39">
        <v>0.43621763977433048</v>
      </c>
      <c r="Z105" s="38">
        <v>5</v>
      </c>
      <c r="AA105" s="40">
        <v>5</v>
      </c>
      <c r="AE105" s="42" t="s">
        <v>50</v>
      </c>
      <c r="AF105" s="38">
        <v>2</v>
      </c>
      <c r="AG105" s="38">
        <v>1</v>
      </c>
      <c r="AH105" s="39">
        <v>0.76201921528072347</v>
      </c>
      <c r="AI105" s="39">
        <v>0.24508869614022036</v>
      </c>
      <c r="AJ105" s="38">
        <v>5</v>
      </c>
      <c r="AK105" s="40">
        <v>4</v>
      </c>
    </row>
    <row r="106" spans="1:37" x14ac:dyDescent="0.25">
      <c r="A106" s="42" t="s">
        <v>87</v>
      </c>
      <c r="B106" s="38">
        <v>4</v>
      </c>
      <c r="C106" s="38">
        <v>1</v>
      </c>
      <c r="D106" s="39">
        <v>0.80174717802825035</v>
      </c>
      <c r="E106" s="39">
        <v>0.78746018549289243</v>
      </c>
      <c r="F106" s="38">
        <v>2</v>
      </c>
      <c r="G106" s="40">
        <v>4</v>
      </c>
      <c r="K106" s="42" t="s">
        <v>93</v>
      </c>
      <c r="L106" s="38">
        <v>3</v>
      </c>
      <c r="M106" s="38">
        <v>4</v>
      </c>
      <c r="N106" s="39">
        <v>-6.2872015641378454E-2</v>
      </c>
      <c r="O106" s="39">
        <v>1.5962749734600787</v>
      </c>
      <c r="P106" s="38">
        <v>5</v>
      </c>
      <c r="Q106" s="40">
        <v>4</v>
      </c>
      <c r="U106" s="42" t="s">
        <v>34</v>
      </c>
      <c r="V106" s="38">
        <v>4</v>
      </c>
      <c r="W106" s="38">
        <v>4</v>
      </c>
      <c r="X106" s="39">
        <v>1.4474040008397731</v>
      </c>
      <c r="Y106" s="39">
        <v>0.17430466749372572</v>
      </c>
      <c r="Z106" s="38">
        <v>5</v>
      </c>
      <c r="AA106" s="40">
        <v>4</v>
      </c>
      <c r="AE106" s="42" t="s">
        <v>58</v>
      </c>
      <c r="AF106" s="38">
        <v>4</v>
      </c>
      <c r="AG106" s="38">
        <v>4</v>
      </c>
      <c r="AH106" s="39">
        <v>0.94906750609787804</v>
      </c>
      <c r="AI106" s="39">
        <v>0.21267326997628261</v>
      </c>
      <c r="AJ106" s="38">
        <v>5</v>
      </c>
      <c r="AK106" s="40">
        <v>4</v>
      </c>
    </row>
    <row r="107" spans="1:37" x14ac:dyDescent="0.25">
      <c r="A107" s="42" t="s">
        <v>89</v>
      </c>
      <c r="B107" s="38">
        <v>4</v>
      </c>
      <c r="C107" s="38">
        <v>3</v>
      </c>
      <c r="D107" s="39">
        <v>-0.2766852919480296</v>
      </c>
      <c r="E107" s="39">
        <v>-1.1830861094987901</v>
      </c>
      <c r="F107" s="38">
        <v>5</v>
      </c>
      <c r="G107" s="40">
        <v>2</v>
      </c>
      <c r="K107" s="42" t="s">
        <v>95</v>
      </c>
      <c r="L107" s="38">
        <v>1</v>
      </c>
      <c r="M107" s="38">
        <v>4</v>
      </c>
      <c r="N107" s="39">
        <v>2.3595296237008792</v>
      </c>
      <c r="O107" s="39">
        <v>1.8882008388226073</v>
      </c>
      <c r="P107" s="38">
        <v>2</v>
      </c>
      <c r="Q107" s="40">
        <v>4</v>
      </c>
      <c r="U107" s="42" t="s">
        <v>37</v>
      </c>
      <c r="V107" s="38">
        <v>2</v>
      </c>
      <c r="W107" s="38">
        <v>5</v>
      </c>
      <c r="X107" s="39">
        <v>-0.33345235351372465</v>
      </c>
      <c r="Y107" s="39">
        <v>-0.68823478132908256</v>
      </c>
      <c r="Z107" s="38">
        <v>5</v>
      </c>
      <c r="AA107" s="40">
        <v>2</v>
      </c>
      <c r="AE107" s="42" t="s">
        <v>62</v>
      </c>
      <c r="AF107" s="38">
        <v>1</v>
      </c>
      <c r="AG107" s="38">
        <v>4</v>
      </c>
      <c r="AH107" s="39">
        <v>2.0167870980768274</v>
      </c>
      <c r="AI107" s="39">
        <v>1.5270940393233268</v>
      </c>
      <c r="AJ107" s="38">
        <v>5</v>
      </c>
      <c r="AK107" s="40">
        <v>4</v>
      </c>
    </row>
    <row r="108" spans="1:37" x14ac:dyDescent="0.25">
      <c r="A108" s="42" t="s">
        <v>15</v>
      </c>
      <c r="B108" s="38">
        <v>5</v>
      </c>
      <c r="C108" s="38">
        <v>3</v>
      </c>
      <c r="D108" s="39">
        <v>4.1589599079267046E-3</v>
      </c>
      <c r="E108" s="39">
        <v>-1.0974827049021127</v>
      </c>
      <c r="F108" s="38">
        <v>2</v>
      </c>
      <c r="G108" s="40">
        <v>3</v>
      </c>
      <c r="K108" s="42" t="s">
        <v>16</v>
      </c>
      <c r="L108" s="38">
        <v>5</v>
      </c>
      <c r="M108" s="38">
        <v>5</v>
      </c>
      <c r="N108" s="39">
        <v>-1.4114058720699501</v>
      </c>
      <c r="O108" s="39">
        <v>-1.2493204790025558</v>
      </c>
      <c r="P108" s="38">
        <v>3</v>
      </c>
      <c r="Q108" s="40">
        <v>3</v>
      </c>
      <c r="U108" s="42" t="s">
        <v>38</v>
      </c>
      <c r="V108" s="38">
        <v>2</v>
      </c>
      <c r="W108" s="38">
        <v>1</v>
      </c>
      <c r="X108" s="39">
        <v>0.55598953438220522</v>
      </c>
      <c r="Y108" s="39">
        <v>0.36992685755264626</v>
      </c>
      <c r="Z108" s="38">
        <v>5</v>
      </c>
      <c r="AA108" s="40">
        <v>4</v>
      </c>
      <c r="AE108" s="42" t="s">
        <v>71</v>
      </c>
      <c r="AF108" s="38">
        <v>4</v>
      </c>
      <c r="AG108" s="38">
        <v>4</v>
      </c>
      <c r="AH108" s="39">
        <v>1.3483812731330076</v>
      </c>
      <c r="AI108" s="39">
        <v>-0.2701249686981429</v>
      </c>
      <c r="AJ108" s="38">
        <v>2</v>
      </c>
      <c r="AK108" s="40">
        <v>4</v>
      </c>
    </row>
    <row r="109" spans="1:37" x14ac:dyDescent="0.25">
      <c r="A109" s="42" t="s">
        <v>16</v>
      </c>
      <c r="B109" s="38">
        <v>5</v>
      </c>
      <c r="C109" s="38">
        <v>5</v>
      </c>
      <c r="D109" s="39">
        <v>-1.4114058720699501</v>
      </c>
      <c r="E109" s="39">
        <v>-1.2493204790025558</v>
      </c>
      <c r="F109" s="38">
        <v>3</v>
      </c>
      <c r="G109" s="40">
        <v>3</v>
      </c>
      <c r="K109" s="42" t="s">
        <v>17</v>
      </c>
      <c r="L109" s="38">
        <v>2</v>
      </c>
      <c r="M109" s="38">
        <v>5</v>
      </c>
      <c r="N109" s="39">
        <v>-0.8552454272290092</v>
      </c>
      <c r="O109" s="39">
        <v>0.16475424583626697</v>
      </c>
      <c r="P109" s="38">
        <v>5</v>
      </c>
      <c r="Q109" s="40">
        <v>3</v>
      </c>
      <c r="U109" s="42" t="s">
        <v>40</v>
      </c>
      <c r="V109" s="38">
        <v>5</v>
      </c>
      <c r="W109" s="38">
        <v>3</v>
      </c>
      <c r="X109" s="39">
        <v>-0.48486101111376884</v>
      </c>
      <c r="Y109" s="39">
        <v>-1.1674328689694182</v>
      </c>
      <c r="Z109" s="38">
        <v>5</v>
      </c>
      <c r="AA109" s="40">
        <v>2</v>
      </c>
      <c r="AE109" s="42" t="s">
        <v>72</v>
      </c>
      <c r="AF109" s="38">
        <v>2</v>
      </c>
      <c r="AG109" s="38">
        <v>1</v>
      </c>
      <c r="AH109" s="39">
        <v>0.484467756484109</v>
      </c>
      <c r="AI109" s="39">
        <v>0.42536730318197968</v>
      </c>
      <c r="AJ109" s="38">
        <v>1</v>
      </c>
      <c r="AK109" s="40">
        <v>4</v>
      </c>
    </row>
    <row r="110" spans="1:37" x14ac:dyDescent="0.25">
      <c r="A110" s="42" t="s">
        <v>26</v>
      </c>
      <c r="B110" s="38">
        <v>5</v>
      </c>
      <c r="C110" s="38">
        <v>5</v>
      </c>
      <c r="D110" s="39">
        <v>-1.0919942651125929</v>
      </c>
      <c r="E110" s="39">
        <v>-0.93960786836193566</v>
      </c>
      <c r="F110" s="38">
        <v>2</v>
      </c>
      <c r="G110" s="40">
        <v>3</v>
      </c>
      <c r="K110" s="42" t="s">
        <v>21</v>
      </c>
      <c r="L110" s="38">
        <v>2</v>
      </c>
      <c r="M110" s="38">
        <v>5</v>
      </c>
      <c r="N110" s="39">
        <v>-0.3613091895056123</v>
      </c>
      <c r="O110" s="39">
        <v>-1.0502625970543691</v>
      </c>
      <c r="P110" s="38">
        <v>2</v>
      </c>
      <c r="Q110" s="40">
        <v>3</v>
      </c>
      <c r="U110" s="42" t="s">
        <v>43</v>
      </c>
      <c r="V110" s="38">
        <v>5</v>
      </c>
      <c r="W110" s="38">
        <v>3</v>
      </c>
      <c r="X110" s="39">
        <v>-4.8631875031598937E-3</v>
      </c>
      <c r="Y110" s="39">
        <v>-0.38739049285596661</v>
      </c>
      <c r="Z110" s="38">
        <v>5</v>
      </c>
      <c r="AA110" s="40">
        <v>2</v>
      </c>
      <c r="AE110" s="42" t="s">
        <v>75</v>
      </c>
      <c r="AF110" s="38">
        <v>4</v>
      </c>
      <c r="AG110" s="38">
        <v>4</v>
      </c>
      <c r="AH110" s="39">
        <v>0.986172032352854</v>
      </c>
      <c r="AI110" s="39">
        <v>0.4507622932255928</v>
      </c>
      <c r="AJ110" s="38">
        <v>2</v>
      </c>
      <c r="AK110" s="40">
        <v>4</v>
      </c>
    </row>
    <row r="111" spans="1:37" x14ac:dyDescent="0.25">
      <c r="A111" s="42" t="s">
        <v>27</v>
      </c>
      <c r="B111" s="38">
        <v>5</v>
      </c>
      <c r="C111" s="38">
        <v>5</v>
      </c>
      <c r="D111" s="39">
        <v>-0.86461044381095564</v>
      </c>
      <c r="E111" s="39">
        <v>1.089205572176544E-2</v>
      </c>
      <c r="F111" s="38">
        <v>5</v>
      </c>
      <c r="G111" s="40">
        <v>3</v>
      </c>
      <c r="K111" s="42" t="s">
        <v>23</v>
      </c>
      <c r="L111" s="38">
        <v>2</v>
      </c>
      <c r="M111" s="38">
        <v>5</v>
      </c>
      <c r="N111" s="39">
        <v>-0.47236462061264362</v>
      </c>
      <c r="O111" s="39">
        <v>-0.34052876250758157</v>
      </c>
      <c r="P111" s="38">
        <v>2</v>
      </c>
      <c r="Q111" s="40">
        <v>3</v>
      </c>
      <c r="U111" s="42" t="s">
        <v>47</v>
      </c>
      <c r="V111" s="38">
        <v>3</v>
      </c>
      <c r="W111" s="38">
        <v>2</v>
      </c>
      <c r="X111" s="39">
        <v>-3.1229598174967892</v>
      </c>
      <c r="Y111" s="39">
        <v>2.8273862582707006</v>
      </c>
      <c r="Z111" s="38">
        <v>5</v>
      </c>
      <c r="AA111" s="40">
        <v>1</v>
      </c>
      <c r="AE111" s="42" t="s">
        <v>78</v>
      </c>
      <c r="AF111" s="38">
        <v>4</v>
      </c>
      <c r="AG111" s="38">
        <v>4</v>
      </c>
      <c r="AH111" s="39">
        <v>1.2900430873827986</v>
      </c>
      <c r="AI111" s="39">
        <v>1.3670031343710574</v>
      </c>
      <c r="AJ111" s="38">
        <v>4</v>
      </c>
      <c r="AK111" s="40">
        <v>4</v>
      </c>
    </row>
    <row r="112" spans="1:37" x14ac:dyDescent="0.25">
      <c r="A112" s="42" t="s">
        <v>35</v>
      </c>
      <c r="B112" s="38">
        <v>5</v>
      </c>
      <c r="C112" s="38">
        <v>3</v>
      </c>
      <c r="D112" s="39">
        <v>-0.5112055682236194</v>
      </c>
      <c r="E112" s="39">
        <v>-0.6282348351070014</v>
      </c>
      <c r="F112" s="38">
        <v>4</v>
      </c>
      <c r="G112" s="40">
        <v>3</v>
      </c>
      <c r="K112" s="42" t="s">
        <v>26</v>
      </c>
      <c r="L112" s="38">
        <v>5</v>
      </c>
      <c r="M112" s="38">
        <v>5</v>
      </c>
      <c r="N112" s="39">
        <v>-1.0919942651125929</v>
      </c>
      <c r="O112" s="39">
        <v>-0.93960786836193566</v>
      </c>
      <c r="P112" s="38">
        <v>2</v>
      </c>
      <c r="Q112" s="40">
        <v>3</v>
      </c>
      <c r="U112" s="42" t="s">
        <v>49</v>
      </c>
      <c r="V112" s="38">
        <v>5</v>
      </c>
      <c r="W112" s="38">
        <v>3</v>
      </c>
      <c r="X112" s="39">
        <v>-0.73128874346715089</v>
      </c>
      <c r="Y112" s="39">
        <v>-1.0421240955729403</v>
      </c>
      <c r="Z112" s="38">
        <v>5</v>
      </c>
      <c r="AA112" s="40">
        <v>2</v>
      </c>
      <c r="AE112" s="42" t="s">
        <v>82</v>
      </c>
      <c r="AF112" s="38">
        <v>2</v>
      </c>
      <c r="AG112" s="38">
        <v>4</v>
      </c>
      <c r="AH112" s="39">
        <v>1.005869542554052</v>
      </c>
      <c r="AI112" s="39">
        <v>0.28394978208197325</v>
      </c>
      <c r="AJ112" s="38">
        <v>2</v>
      </c>
      <c r="AK112" s="40">
        <v>4</v>
      </c>
    </row>
    <row r="113" spans="1:37" x14ac:dyDescent="0.25">
      <c r="A113" s="42" t="s">
        <v>40</v>
      </c>
      <c r="B113" s="38">
        <v>5</v>
      </c>
      <c r="C113" s="38">
        <v>3</v>
      </c>
      <c r="D113" s="39">
        <v>-0.48486101111376884</v>
      </c>
      <c r="E113" s="39">
        <v>-1.1674328689694182</v>
      </c>
      <c r="F113" s="38">
        <v>5</v>
      </c>
      <c r="G113" s="40">
        <v>2</v>
      </c>
      <c r="K113" s="42" t="s">
        <v>27</v>
      </c>
      <c r="L113" s="38">
        <v>5</v>
      </c>
      <c r="M113" s="38">
        <v>5</v>
      </c>
      <c r="N113" s="39">
        <v>-0.86461044381095564</v>
      </c>
      <c r="O113" s="39">
        <v>1.089205572176544E-2</v>
      </c>
      <c r="P113" s="38">
        <v>5</v>
      </c>
      <c r="Q113" s="40">
        <v>3</v>
      </c>
      <c r="U113" s="42" t="s">
        <v>50</v>
      </c>
      <c r="V113" s="38">
        <v>2</v>
      </c>
      <c r="W113" s="38">
        <v>1</v>
      </c>
      <c r="X113" s="39">
        <v>0.76201921528072347</v>
      </c>
      <c r="Y113" s="39">
        <v>0.24508869614022036</v>
      </c>
      <c r="Z113" s="38">
        <v>5</v>
      </c>
      <c r="AA113" s="40">
        <v>4</v>
      </c>
      <c r="AE113" s="42" t="s">
        <v>84</v>
      </c>
      <c r="AF113" s="38">
        <v>4</v>
      </c>
      <c r="AG113" s="38">
        <v>4</v>
      </c>
      <c r="AH113" s="39">
        <v>1.2324174071738814</v>
      </c>
      <c r="AI113" s="39">
        <v>0.3351483900230432</v>
      </c>
      <c r="AJ113" s="38">
        <v>5</v>
      </c>
      <c r="AK113" s="40">
        <v>4</v>
      </c>
    </row>
    <row r="114" spans="1:37" x14ac:dyDescent="0.25">
      <c r="A114" s="42" t="s">
        <v>43</v>
      </c>
      <c r="B114" s="38">
        <v>5</v>
      </c>
      <c r="C114" s="38">
        <v>3</v>
      </c>
      <c r="D114" s="39">
        <v>-4.8631875031598937E-3</v>
      </c>
      <c r="E114" s="39">
        <v>-0.38739049285596661</v>
      </c>
      <c r="F114" s="38">
        <v>5</v>
      </c>
      <c r="G114" s="40">
        <v>2</v>
      </c>
      <c r="K114" s="42" t="s">
        <v>33</v>
      </c>
      <c r="L114" s="38">
        <v>3</v>
      </c>
      <c r="M114" s="38">
        <v>5</v>
      </c>
      <c r="N114" s="39">
        <v>-1.6668915434485045</v>
      </c>
      <c r="O114" s="39">
        <v>0.72172255100594862</v>
      </c>
      <c r="P114" s="38">
        <v>2</v>
      </c>
      <c r="Q114" s="40">
        <v>1</v>
      </c>
      <c r="U114" s="42" t="s">
        <v>51</v>
      </c>
      <c r="V114" s="38">
        <v>4</v>
      </c>
      <c r="W114" s="38">
        <v>1</v>
      </c>
      <c r="X114" s="39">
        <v>0.53342286344219358</v>
      </c>
      <c r="Y114" s="39">
        <v>-0.59167600626156946</v>
      </c>
      <c r="Z114" s="38">
        <v>5</v>
      </c>
      <c r="AA114" s="40">
        <v>2</v>
      </c>
      <c r="AE114" s="42" t="s">
        <v>87</v>
      </c>
      <c r="AF114" s="38">
        <v>4</v>
      </c>
      <c r="AG114" s="38">
        <v>1</v>
      </c>
      <c r="AH114" s="39">
        <v>0.80174717802825035</v>
      </c>
      <c r="AI114" s="39">
        <v>0.78746018549289243</v>
      </c>
      <c r="AJ114" s="38">
        <v>2</v>
      </c>
      <c r="AK114" s="40">
        <v>4</v>
      </c>
    </row>
    <row r="115" spans="1:37" x14ac:dyDescent="0.25">
      <c r="A115" s="42" t="s">
        <v>49</v>
      </c>
      <c r="B115" s="38">
        <v>5</v>
      </c>
      <c r="C115" s="38">
        <v>3</v>
      </c>
      <c r="D115" s="39">
        <v>-0.73128874346715089</v>
      </c>
      <c r="E115" s="39">
        <v>-1.0421240955729403</v>
      </c>
      <c r="F115" s="38">
        <v>5</v>
      </c>
      <c r="G115" s="40">
        <v>2</v>
      </c>
      <c r="K115" s="42" t="s">
        <v>36</v>
      </c>
      <c r="L115" s="38">
        <v>2</v>
      </c>
      <c r="M115" s="38">
        <v>5</v>
      </c>
      <c r="N115" s="39">
        <v>-0.29303341577799391</v>
      </c>
      <c r="O115" s="39">
        <v>-0.77836499856168717</v>
      </c>
      <c r="P115" s="38">
        <v>1</v>
      </c>
      <c r="Q115" s="40">
        <v>3</v>
      </c>
      <c r="U115" s="42" t="s">
        <v>58</v>
      </c>
      <c r="V115" s="38">
        <v>4</v>
      </c>
      <c r="W115" s="38">
        <v>4</v>
      </c>
      <c r="X115" s="39">
        <v>0.94906750609787804</v>
      </c>
      <c r="Y115" s="39">
        <v>0.21267326997628261</v>
      </c>
      <c r="Z115" s="38">
        <v>5</v>
      </c>
      <c r="AA115" s="40">
        <v>4</v>
      </c>
      <c r="AE115" s="42" t="s">
        <v>93</v>
      </c>
      <c r="AF115" s="38">
        <v>3</v>
      </c>
      <c r="AG115" s="38">
        <v>4</v>
      </c>
      <c r="AH115" s="39">
        <v>-6.2872015641378454E-2</v>
      </c>
      <c r="AI115" s="39">
        <v>1.5962749734600787</v>
      </c>
      <c r="AJ115" s="38">
        <v>5</v>
      </c>
      <c r="AK115" s="40">
        <v>4</v>
      </c>
    </row>
    <row r="116" spans="1:37" x14ac:dyDescent="0.25">
      <c r="A116" s="42" t="s">
        <v>54</v>
      </c>
      <c r="B116" s="38">
        <v>5</v>
      </c>
      <c r="C116" s="38">
        <v>3</v>
      </c>
      <c r="D116" s="39">
        <v>-0.36131840818651001</v>
      </c>
      <c r="E116" s="39">
        <v>-1.3962398275767169</v>
      </c>
      <c r="F116" s="38">
        <v>2</v>
      </c>
      <c r="G116" s="40">
        <v>2</v>
      </c>
      <c r="K116" s="42" t="s">
        <v>37</v>
      </c>
      <c r="L116" s="38">
        <v>2</v>
      </c>
      <c r="M116" s="38">
        <v>5</v>
      </c>
      <c r="N116" s="39">
        <v>-0.33345235351372465</v>
      </c>
      <c r="O116" s="39">
        <v>-0.68823478132908256</v>
      </c>
      <c r="P116" s="38">
        <v>5</v>
      </c>
      <c r="Q116" s="40">
        <v>2</v>
      </c>
      <c r="U116" s="42" t="s">
        <v>62</v>
      </c>
      <c r="V116" s="38">
        <v>1</v>
      </c>
      <c r="W116" s="38">
        <v>4</v>
      </c>
      <c r="X116" s="39">
        <v>2.0167870980768274</v>
      </c>
      <c r="Y116" s="39">
        <v>1.5270940393233268</v>
      </c>
      <c r="Z116" s="38">
        <v>5</v>
      </c>
      <c r="AA116" s="40">
        <v>4</v>
      </c>
      <c r="AE116" s="42" t="s">
        <v>95</v>
      </c>
      <c r="AF116" s="38">
        <v>1</v>
      </c>
      <c r="AG116" s="38">
        <v>4</v>
      </c>
      <c r="AH116" s="39">
        <v>2.3595296237008792</v>
      </c>
      <c r="AI116" s="39">
        <v>1.8882008388226073</v>
      </c>
      <c r="AJ116" s="38">
        <v>2</v>
      </c>
      <c r="AK116" s="40">
        <v>4</v>
      </c>
    </row>
    <row r="117" spans="1:37" x14ac:dyDescent="0.25">
      <c r="A117" s="42" t="s">
        <v>59</v>
      </c>
      <c r="B117" s="38">
        <v>5</v>
      </c>
      <c r="C117" s="38">
        <v>5</v>
      </c>
      <c r="D117" s="39">
        <v>-1.1321999628286745</v>
      </c>
      <c r="E117" s="39">
        <v>-1.6743650355145756</v>
      </c>
      <c r="F117" s="38">
        <v>4</v>
      </c>
      <c r="G117" s="40">
        <v>3</v>
      </c>
      <c r="K117" s="42" t="s">
        <v>42</v>
      </c>
      <c r="L117" s="38">
        <v>2</v>
      </c>
      <c r="M117" s="38">
        <v>5</v>
      </c>
      <c r="N117" s="39">
        <v>-0.27647820223799713</v>
      </c>
      <c r="O117" s="39">
        <v>0.26612729570288401</v>
      </c>
      <c r="P117" s="38">
        <v>2</v>
      </c>
      <c r="Q117" s="40">
        <v>2</v>
      </c>
      <c r="U117" s="42" t="s">
        <v>79</v>
      </c>
      <c r="V117" s="38">
        <v>2</v>
      </c>
      <c r="W117" s="38">
        <v>1</v>
      </c>
      <c r="X117" s="39">
        <v>0.7443143823808136</v>
      </c>
      <c r="Y117" s="39">
        <v>-0.46856068063637746</v>
      </c>
      <c r="Z117" s="38">
        <v>5</v>
      </c>
      <c r="AA117" s="40">
        <v>2</v>
      </c>
      <c r="AE117" s="42" t="s">
        <v>20</v>
      </c>
      <c r="AF117" s="38">
        <v>2</v>
      </c>
      <c r="AG117" s="38">
        <v>1</v>
      </c>
      <c r="AH117" s="39">
        <v>0.17584662136898591</v>
      </c>
      <c r="AI117" s="39">
        <v>0.25370415592097911</v>
      </c>
      <c r="AJ117" s="38">
        <v>2</v>
      </c>
      <c r="AK117" s="40">
        <v>5</v>
      </c>
    </row>
    <row r="118" spans="1:37" x14ac:dyDescent="0.25">
      <c r="A118" s="42" t="s">
        <v>60</v>
      </c>
      <c r="B118" s="38">
        <v>5</v>
      </c>
      <c r="C118" s="38">
        <v>3</v>
      </c>
      <c r="D118" s="39">
        <v>-0.24873459298707262</v>
      </c>
      <c r="E118" s="39">
        <v>-0.5613889182372408</v>
      </c>
      <c r="F118" s="38">
        <v>2</v>
      </c>
      <c r="G118" s="40">
        <v>2</v>
      </c>
      <c r="K118" s="42" t="s">
        <v>44</v>
      </c>
      <c r="L118" s="38">
        <v>3</v>
      </c>
      <c r="M118" s="38">
        <v>5</v>
      </c>
      <c r="N118" s="39">
        <v>-2.1427236047222697</v>
      </c>
      <c r="O118" s="39">
        <v>0.86357728933905908</v>
      </c>
      <c r="P118" s="38">
        <v>3</v>
      </c>
      <c r="Q118" s="40">
        <v>1</v>
      </c>
      <c r="U118" s="42" t="s">
        <v>80</v>
      </c>
      <c r="V118" s="38">
        <v>5</v>
      </c>
      <c r="W118" s="38">
        <v>5</v>
      </c>
      <c r="X118" s="39">
        <v>-1.2893231153394096</v>
      </c>
      <c r="Y118" s="39">
        <v>0.24960693064638501</v>
      </c>
      <c r="Z118" s="38">
        <v>5</v>
      </c>
      <c r="AA118" s="40">
        <v>5</v>
      </c>
      <c r="AE118" s="42" t="s">
        <v>31</v>
      </c>
      <c r="AF118" s="38">
        <v>2</v>
      </c>
      <c r="AG118" s="38">
        <v>1</v>
      </c>
      <c r="AH118" s="39">
        <v>0.63199967232943455</v>
      </c>
      <c r="AI118" s="39">
        <v>0.43621763977433048</v>
      </c>
      <c r="AJ118" s="38">
        <v>5</v>
      </c>
      <c r="AK118" s="40">
        <v>5</v>
      </c>
    </row>
    <row r="119" spans="1:37" x14ac:dyDescent="0.25">
      <c r="A119" s="42" t="s">
        <v>65</v>
      </c>
      <c r="B119" s="38">
        <v>5</v>
      </c>
      <c r="C119" s="38">
        <v>5</v>
      </c>
      <c r="D119" s="39">
        <v>-1.4775798025292122</v>
      </c>
      <c r="E119" s="39">
        <v>-0.72266238779301717</v>
      </c>
      <c r="F119" s="38">
        <v>4</v>
      </c>
      <c r="G119" s="40">
        <v>3</v>
      </c>
      <c r="K119" s="42" t="s">
        <v>46</v>
      </c>
      <c r="L119" s="38">
        <v>2</v>
      </c>
      <c r="M119" s="38">
        <v>5</v>
      </c>
      <c r="N119" s="39">
        <v>-0.73566704029120611</v>
      </c>
      <c r="O119" s="39">
        <v>0.58751580709718065</v>
      </c>
      <c r="P119" s="38">
        <v>4</v>
      </c>
      <c r="Q119" s="40">
        <v>5</v>
      </c>
      <c r="U119" s="42" t="s">
        <v>81</v>
      </c>
      <c r="V119" s="38">
        <v>2</v>
      </c>
      <c r="W119" s="38">
        <v>1</v>
      </c>
      <c r="X119" s="39">
        <v>0.16961161285855619</v>
      </c>
      <c r="Y119" s="39">
        <v>0.4541286851891112</v>
      </c>
      <c r="Z119" s="38">
        <v>5</v>
      </c>
      <c r="AA119" s="40">
        <v>2</v>
      </c>
      <c r="AE119" s="42" t="s">
        <v>32</v>
      </c>
      <c r="AF119" s="38">
        <v>2</v>
      </c>
      <c r="AG119" s="38">
        <v>1</v>
      </c>
      <c r="AH119" s="39">
        <v>0.25584108327333882</v>
      </c>
      <c r="AI119" s="39">
        <v>0.23673242345873224</v>
      </c>
      <c r="AJ119" s="38">
        <v>2</v>
      </c>
      <c r="AK119" s="40">
        <v>5</v>
      </c>
    </row>
    <row r="120" spans="1:37" x14ac:dyDescent="0.25">
      <c r="A120" s="42" t="s">
        <v>66</v>
      </c>
      <c r="B120" s="38">
        <v>5</v>
      </c>
      <c r="C120" s="38">
        <v>5</v>
      </c>
      <c r="D120" s="39">
        <v>-1.5145933250615475</v>
      </c>
      <c r="E120" s="39">
        <v>-0.39599386453158691</v>
      </c>
      <c r="F120" s="38">
        <v>4</v>
      </c>
      <c r="G120" s="40">
        <v>3</v>
      </c>
      <c r="K120" s="42" t="s">
        <v>56</v>
      </c>
      <c r="L120" s="38">
        <v>2</v>
      </c>
      <c r="M120" s="38">
        <v>5</v>
      </c>
      <c r="N120" s="39">
        <v>-0.33163290315696464</v>
      </c>
      <c r="O120" s="39">
        <v>-0.44097093121710818</v>
      </c>
      <c r="P120" s="38">
        <v>2</v>
      </c>
      <c r="Q120" s="40">
        <v>2</v>
      </c>
      <c r="U120" s="42" t="s">
        <v>83</v>
      </c>
      <c r="V120" s="38">
        <v>5</v>
      </c>
      <c r="W120" s="38">
        <v>3</v>
      </c>
      <c r="X120" s="39">
        <v>-0.33647682232699305</v>
      </c>
      <c r="Y120" s="39">
        <v>-0.75536894841946534</v>
      </c>
      <c r="Z120" s="38">
        <v>5</v>
      </c>
      <c r="AA120" s="40">
        <v>2</v>
      </c>
      <c r="AE120" s="42" t="s">
        <v>45</v>
      </c>
      <c r="AF120" s="38">
        <v>2</v>
      </c>
      <c r="AG120" s="38">
        <v>4</v>
      </c>
      <c r="AH120" s="39">
        <v>0.29554382105285781</v>
      </c>
      <c r="AI120" s="39">
        <v>1.8633358881888236</v>
      </c>
      <c r="AJ120" s="38">
        <v>2</v>
      </c>
      <c r="AK120" s="40">
        <v>5</v>
      </c>
    </row>
    <row r="121" spans="1:37" x14ac:dyDescent="0.25">
      <c r="A121" s="42" t="s">
        <v>73</v>
      </c>
      <c r="B121" s="38">
        <v>5</v>
      </c>
      <c r="C121" s="38">
        <v>3</v>
      </c>
      <c r="D121" s="39">
        <v>-1.0004446836060266</v>
      </c>
      <c r="E121" s="39">
        <v>-0.95097027796243738</v>
      </c>
      <c r="F121" s="38">
        <v>2</v>
      </c>
      <c r="G121" s="40">
        <v>3</v>
      </c>
      <c r="K121" s="42" t="s">
        <v>57</v>
      </c>
      <c r="L121" s="38">
        <v>2</v>
      </c>
      <c r="M121" s="38">
        <v>5</v>
      </c>
      <c r="N121" s="39">
        <v>-0.39346997962482949</v>
      </c>
      <c r="O121" s="39">
        <v>-0.70552634103337264</v>
      </c>
      <c r="P121" s="38">
        <v>2</v>
      </c>
      <c r="Q121" s="40">
        <v>3</v>
      </c>
      <c r="U121" s="42" t="s">
        <v>84</v>
      </c>
      <c r="V121" s="38">
        <v>4</v>
      </c>
      <c r="W121" s="38">
        <v>4</v>
      </c>
      <c r="X121" s="39">
        <v>1.2324174071738814</v>
      </c>
      <c r="Y121" s="39">
        <v>0.3351483900230432</v>
      </c>
      <c r="Z121" s="38">
        <v>5</v>
      </c>
      <c r="AA121" s="40">
        <v>4</v>
      </c>
      <c r="AE121" s="42" t="s">
        <v>46</v>
      </c>
      <c r="AF121" s="38">
        <v>2</v>
      </c>
      <c r="AG121" s="38">
        <v>5</v>
      </c>
      <c r="AH121" s="39">
        <v>-0.73566704029120611</v>
      </c>
      <c r="AI121" s="39">
        <v>0.58751580709718065</v>
      </c>
      <c r="AJ121" s="38">
        <v>4</v>
      </c>
      <c r="AK121" s="40">
        <v>5</v>
      </c>
    </row>
    <row r="122" spans="1:37" x14ac:dyDescent="0.25">
      <c r="A122" s="42" t="s">
        <v>80</v>
      </c>
      <c r="B122" s="38">
        <v>5</v>
      </c>
      <c r="C122" s="38">
        <v>5</v>
      </c>
      <c r="D122" s="39">
        <v>-1.2893231153394096</v>
      </c>
      <c r="E122" s="39">
        <v>0.24960693064638501</v>
      </c>
      <c r="F122" s="38">
        <v>5</v>
      </c>
      <c r="G122" s="40">
        <v>5</v>
      </c>
      <c r="K122" s="42" t="s">
        <v>59</v>
      </c>
      <c r="L122" s="38">
        <v>5</v>
      </c>
      <c r="M122" s="38">
        <v>5</v>
      </c>
      <c r="N122" s="39">
        <v>-1.1321999628286745</v>
      </c>
      <c r="O122" s="39">
        <v>-1.6743650355145756</v>
      </c>
      <c r="P122" s="38">
        <v>4</v>
      </c>
      <c r="Q122" s="40">
        <v>3</v>
      </c>
      <c r="U122" s="42" t="s">
        <v>85</v>
      </c>
      <c r="V122" s="38">
        <v>5</v>
      </c>
      <c r="W122" s="38">
        <v>3</v>
      </c>
      <c r="X122" s="39">
        <v>3.5346049848015801E-2</v>
      </c>
      <c r="Y122" s="39">
        <v>-1.0143922311683753</v>
      </c>
      <c r="Z122" s="38">
        <v>5</v>
      </c>
      <c r="AA122" s="40">
        <v>2</v>
      </c>
      <c r="AE122" s="42" t="s">
        <v>55</v>
      </c>
      <c r="AF122" s="38">
        <v>2</v>
      </c>
      <c r="AG122" s="38">
        <v>1</v>
      </c>
      <c r="AH122" s="39">
        <v>-0.1002677098943157</v>
      </c>
      <c r="AI122" s="39">
        <v>-5.2115210079899006E-3</v>
      </c>
      <c r="AJ122" s="38">
        <v>2</v>
      </c>
      <c r="AK122" s="40">
        <v>5</v>
      </c>
    </row>
    <row r="123" spans="1:37" x14ac:dyDescent="0.25">
      <c r="A123" s="42" t="s">
        <v>83</v>
      </c>
      <c r="B123" s="38">
        <v>5</v>
      </c>
      <c r="C123" s="38">
        <v>3</v>
      </c>
      <c r="D123" s="39">
        <v>-0.33647682232699305</v>
      </c>
      <c r="E123" s="39">
        <v>-0.75536894841946534</v>
      </c>
      <c r="F123" s="38">
        <v>5</v>
      </c>
      <c r="G123" s="40">
        <v>2</v>
      </c>
      <c r="K123" s="42" t="s">
        <v>65</v>
      </c>
      <c r="L123" s="38">
        <v>5</v>
      </c>
      <c r="M123" s="38">
        <v>5</v>
      </c>
      <c r="N123" s="39">
        <v>-1.4775798025292122</v>
      </c>
      <c r="O123" s="39">
        <v>-0.72266238779301717</v>
      </c>
      <c r="P123" s="38">
        <v>4</v>
      </c>
      <c r="Q123" s="40">
        <v>3</v>
      </c>
      <c r="U123" s="42" t="s">
        <v>89</v>
      </c>
      <c r="V123" s="38">
        <v>4</v>
      </c>
      <c r="W123" s="38">
        <v>3</v>
      </c>
      <c r="X123" s="39">
        <v>-0.2766852919480296</v>
      </c>
      <c r="Y123" s="39">
        <v>-1.1830861094987901</v>
      </c>
      <c r="Z123" s="38">
        <v>5</v>
      </c>
      <c r="AA123" s="40">
        <v>2</v>
      </c>
      <c r="AE123" s="42" t="s">
        <v>63</v>
      </c>
      <c r="AF123" s="38">
        <v>1</v>
      </c>
      <c r="AG123" s="38">
        <v>4</v>
      </c>
      <c r="AH123" s="39">
        <v>2.4004749266290126</v>
      </c>
      <c r="AI123" s="39">
        <v>1.5243648928990807</v>
      </c>
      <c r="AJ123" s="38">
        <v>1</v>
      </c>
      <c r="AK123" s="40">
        <v>5</v>
      </c>
    </row>
    <row r="124" spans="1:37" x14ac:dyDescent="0.25">
      <c r="A124" s="42" t="s">
        <v>85</v>
      </c>
      <c r="B124" s="38">
        <v>5</v>
      </c>
      <c r="C124" s="38">
        <v>3</v>
      </c>
      <c r="D124" s="39">
        <v>3.5346049848015801E-2</v>
      </c>
      <c r="E124" s="39">
        <v>-1.0143922311683753</v>
      </c>
      <c r="F124" s="38">
        <v>5</v>
      </c>
      <c r="G124" s="40">
        <v>2</v>
      </c>
      <c r="K124" s="42" t="s">
        <v>66</v>
      </c>
      <c r="L124" s="38">
        <v>5</v>
      </c>
      <c r="M124" s="38">
        <v>5</v>
      </c>
      <c r="N124" s="39">
        <v>-1.5145933250615475</v>
      </c>
      <c r="O124" s="39">
        <v>-0.39599386453158691</v>
      </c>
      <c r="P124" s="38">
        <v>4</v>
      </c>
      <c r="Q124" s="40">
        <v>3</v>
      </c>
      <c r="U124" s="42" t="s">
        <v>90</v>
      </c>
      <c r="V124" s="38">
        <v>2</v>
      </c>
      <c r="W124" s="38">
        <v>1</v>
      </c>
      <c r="X124" s="39">
        <v>-0.1260130225702788</v>
      </c>
      <c r="Y124" s="39">
        <v>-0.2872649798888956</v>
      </c>
      <c r="Z124" s="38">
        <v>5</v>
      </c>
      <c r="AA124" s="40">
        <v>3</v>
      </c>
      <c r="AE124" s="42" t="s">
        <v>67</v>
      </c>
      <c r="AF124" s="38">
        <v>2</v>
      </c>
      <c r="AG124" s="38">
        <v>1</v>
      </c>
      <c r="AH124" s="39">
        <v>0.68963765539347199</v>
      </c>
      <c r="AI124" s="39">
        <v>-2.7830462251566837E-2</v>
      </c>
      <c r="AJ124" s="38">
        <v>2</v>
      </c>
      <c r="AK124" s="40">
        <v>5</v>
      </c>
    </row>
    <row r="125" spans="1:37" x14ac:dyDescent="0.25">
      <c r="A125" s="42" t="s">
        <v>86</v>
      </c>
      <c r="B125" s="38">
        <v>5</v>
      </c>
      <c r="C125" s="38">
        <v>3</v>
      </c>
      <c r="D125" s="39">
        <v>-0.62846576532602727</v>
      </c>
      <c r="E125" s="39">
        <v>-0.98018553615211512</v>
      </c>
      <c r="F125" s="38">
        <v>2</v>
      </c>
      <c r="G125" s="40">
        <v>2</v>
      </c>
      <c r="K125" s="42" t="s">
        <v>80</v>
      </c>
      <c r="L125" s="38">
        <v>5</v>
      </c>
      <c r="M125" s="38">
        <v>5</v>
      </c>
      <c r="N125" s="39">
        <v>-1.2893231153394096</v>
      </c>
      <c r="O125" s="39">
        <v>0.24960693064638501</v>
      </c>
      <c r="P125" s="38">
        <v>5</v>
      </c>
      <c r="Q125" s="40">
        <v>5</v>
      </c>
      <c r="U125" s="42" t="s">
        <v>93</v>
      </c>
      <c r="V125" s="38">
        <v>3</v>
      </c>
      <c r="W125" s="38">
        <v>4</v>
      </c>
      <c r="X125" s="39">
        <v>-6.2872015641378454E-2</v>
      </c>
      <c r="Y125" s="39">
        <v>1.5962749734600787</v>
      </c>
      <c r="Z125" s="38">
        <v>5</v>
      </c>
      <c r="AA125" s="40">
        <v>4</v>
      </c>
      <c r="AE125" s="42" t="s">
        <v>70</v>
      </c>
      <c r="AF125" s="38">
        <v>2</v>
      </c>
      <c r="AG125" s="38">
        <v>1</v>
      </c>
      <c r="AH125" s="39">
        <v>-0.17354851181825315</v>
      </c>
      <c r="AI125" s="39">
        <v>0.66264664325513678</v>
      </c>
      <c r="AJ125" s="38">
        <v>2</v>
      </c>
      <c r="AK125" s="40">
        <v>5</v>
      </c>
    </row>
    <row r="126" spans="1:37" x14ac:dyDescent="0.25">
      <c r="A126" s="42" t="s">
        <v>96</v>
      </c>
      <c r="B126" s="38">
        <v>5</v>
      </c>
      <c r="C126" s="38">
        <v>3</v>
      </c>
      <c r="D126" s="39">
        <v>1.9663679537426107E-2</v>
      </c>
      <c r="E126" s="39">
        <v>-0.71448847453377895</v>
      </c>
      <c r="F126" s="38">
        <v>2</v>
      </c>
      <c r="G126" s="40">
        <v>2</v>
      </c>
      <c r="K126" s="42" t="s">
        <v>92</v>
      </c>
      <c r="L126" s="38">
        <v>2</v>
      </c>
      <c r="M126" s="38">
        <v>5</v>
      </c>
      <c r="N126" s="39">
        <v>-0.47604844048279188</v>
      </c>
      <c r="O126" s="39">
        <v>-2.1977582973834994E-2</v>
      </c>
      <c r="P126" s="38">
        <v>4</v>
      </c>
      <c r="Q126" s="40">
        <v>2</v>
      </c>
      <c r="U126" s="42" t="s">
        <v>98</v>
      </c>
      <c r="V126" s="38">
        <v>3</v>
      </c>
      <c r="W126" s="38">
        <v>2</v>
      </c>
      <c r="X126" s="39">
        <v>-1.6420537453849324</v>
      </c>
      <c r="Y126" s="39">
        <v>3.3899464444781287</v>
      </c>
      <c r="Z126" s="38">
        <v>5</v>
      </c>
      <c r="AA126" s="40">
        <v>1</v>
      </c>
      <c r="AE126" s="42" t="s">
        <v>80</v>
      </c>
      <c r="AF126" s="38">
        <v>5</v>
      </c>
      <c r="AG126" s="38">
        <v>5</v>
      </c>
      <c r="AH126" s="39">
        <v>-1.2893231153394096</v>
      </c>
      <c r="AI126" s="39">
        <v>0.24960693064638501</v>
      </c>
      <c r="AJ126" s="38">
        <v>5</v>
      </c>
      <c r="AK126" s="40">
        <v>5</v>
      </c>
    </row>
  </sheetData>
  <pageMargins left="0.7" right="0.7" top="0.75" bottom="0.75" header="0.3" footer="0.3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Итоги</vt:lpstr>
      <vt:lpstr>исх данные</vt:lpstr>
      <vt:lpstr>фукционал качества</vt:lpstr>
      <vt:lpstr>собственные числа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2024-12-02T20:17:55Z</dcterms:modified>
</cp:coreProperties>
</file>