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23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3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ntents" sheetId="1" r:id="rId4"/>
    <sheet state="visible" name="01 - Data Entry" sheetId="2" r:id="rId5"/>
    <sheet state="visible" name="02 - Array Formula" sheetId="3" r:id="rId6"/>
    <sheet state="visible" name="03 - Import Data" sheetId="4" r:id="rId7"/>
    <sheet state="visible" name="04 - Explore" sheetId="5" r:id="rId8"/>
    <sheet state="visible" name="05 - Filter and Sort" sheetId="6" r:id="rId9"/>
    <sheet state="visible" name="06 - Conditions" sheetId="7" r:id="rId10"/>
    <sheet state="visible" name="07 - Advanced Conditions" sheetId="8" r:id="rId11"/>
    <sheet state="visible" name="08 - Conditional Formatting" sheetId="9" r:id="rId12"/>
    <sheet state="visible" name="09 - Query and Summarize Data" sheetId="10" r:id="rId13"/>
    <sheet state="visible" name="10 - Project Dynamic Query" sheetId="11" r:id="rId14"/>
    <sheet state="visible" name="11 - Vlookup" sheetId="12" r:id="rId15"/>
    <sheet state="visible" name="12 - Working with Date" sheetId="13" r:id="rId16"/>
    <sheet state="visible" name="13 - Working with Text" sheetId="14" r:id="rId17"/>
    <sheet state="visible" name="14 - Project Convert TH to EN D" sheetId="15" r:id="rId18"/>
    <sheet state="visible" name="15 - Regular Expressions" sheetId="16" r:id="rId19"/>
    <sheet state="visible" name="16 - Project ID Card Parser" sheetId="17" r:id="rId20"/>
    <sheet state="visible" name="17 - Match and Index" sheetId="18" r:id="rId21"/>
    <sheet state="visible" name="18 - Project Simple App" sheetId="19" r:id="rId22"/>
    <sheet state="visible" name="19 - Sparkline Basics" sheetId="20" r:id="rId23"/>
    <sheet state="visible" name="20 - Google Translate" sheetId="21" r:id="rId24"/>
    <sheet state="visible" name="21 - Pivot Table" sheetId="22" r:id="rId25"/>
    <sheet state="visible" name="Pivot Table 2" sheetId="23" r:id="rId26"/>
    <sheet state="visible" name="Simple ML" sheetId="24" r:id="rId27"/>
  </sheets>
  <definedNames>
    <definedName name="POSITION">'11 - Vlookup'!$A$44:$E$47</definedName>
    <definedName name="HW_EMPLOYEE">'10 - Project Dynamic Query'!$A$3:$H$28</definedName>
    <definedName name="LOCATION">'11 - Vlookup'!$A$33:$F$40</definedName>
    <definedName name="EMPLOY">'05 - Filter and Sort'!$A$4:$G$28</definedName>
    <definedName name="SALARY">'05 - Filter and Sort'!$E$4:$E$28</definedName>
    <definedName name="EMPLOYEE">'11 - Vlookup'!$A$5:$I$29</definedName>
    <definedName name="GENDER">'05 - Filter and Sort'!$F$4:$F$28</definedName>
    <definedName name="DATA">'21 - Pivot Table'!$A$3:$N$5003</definedName>
    <definedName hidden="1" localSheetId="5" name="_xlnm._FilterDatabase">'05 - Filter and Sort'!$A$3:$G$28</definedName>
    <definedName hidden="1" localSheetId="5" name="Z_FDD6DA81_9F61_454E_BBDB_426069B733FE_.wvu.FilterData">'05 - Filter and Sort'!$A$3:$G$28</definedName>
  </definedNames>
  <calcPr/>
  <customWorkbookViews>
    <customWorkbookView activeSheetId="0" maximized="1" windowHeight="0" windowWidth="0" guid="{FDD6DA81-9F61-454E-BBDB-426069B733FE}" name="Male income more than 85k"/>
  </customWorkbookViews>
  <pivotCaches>
    <pivotCache cacheId="0" r:id="rId28"/>
  </pivotCaches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I1">
      <text>
        <t xml:space="preserve">Predicted values for the empty cells of the column "mpg".
</t>
      </text>
    </comment>
  </commentList>
</comments>
</file>

<file path=xl/sharedStrings.xml><?xml version="1.0" encoding="utf-8"?>
<sst xmlns="http://schemas.openxmlformats.org/spreadsheetml/2006/main" count="27494" uniqueCount="701">
  <si>
    <t>Lesson</t>
  </si>
  <si>
    <t>Lesson Name</t>
  </si>
  <si>
    <t>Links</t>
  </si>
  <si>
    <t>Completed</t>
  </si>
  <si>
    <t>% Completed</t>
  </si>
  <si>
    <t>Progress Bar</t>
  </si>
  <si>
    <t>Data Entry</t>
  </si>
  <si>
    <t>Array Formula</t>
  </si>
  <si>
    <t>Import Data</t>
  </si>
  <si>
    <t>Explore</t>
  </si>
  <si>
    <t>Filtering and Sorting</t>
  </si>
  <si>
    <t>Filter and Sort</t>
  </si>
  <si>
    <t>Creating Conditions</t>
  </si>
  <si>
    <t>Conditions</t>
  </si>
  <si>
    <t>Creating Advanced Conditions</t>
  </si>
  <si>
    <t>Advanced Conditions</t>
  </si>
  <si>
    <t>Conditional Formatting</t>
  </si>
  <si>
    <t>Querying and Summarizing Data</t>
  </si>
  <si>
    <t>Query and Summarize Data</t>
  </si>
  <si>
    <r>
      <rPr>
        <rFont val="Work Sans"/>
        <b/>
        <color theme="1"/>
      </rPr>
      <t xml:space="preserve">Project </t>
    </r>
    <r>
      <rPr>
        <rFont val="Work Sans"/>
        <color theme="1"/>
      </rPr>
      <t>Dynamic Query</t>
    </r>
  </si>
  <si>
    <t>Project Dynamic Query</t>
  </si>
  <si>
    <t>Enriching Our Data with VLOOKUP</t>
  </si>
  <si>
    <t>Vlookup</t>
  </si>
  <si>
    <t>Working with Date</t>
  </si>
  <si>
    <t>Working with Text (String)</t>
  </si>
  <si>
    <t>Working with Text</t>
  </si>
  <si>
    <r>
      <rPr>
        <rFont val="Work Sans"/>
        <b/>
        <color theme="1"/>
      </rPr>
      <t>Project</t>
    </r>
    <r>
      <rPr>
        <rFont val="Work Sans"/>
        <color theme="1"/>
      </rPr>
      <t xml:space="preserve"> Convert TH to EN Date</t>
    </r>
  </si>
  <si>
    <t>Project Convert TH to EN Date</t>
  </si>
  <si>
    <t>Regular Expressions</t>
  </si>
  <si>
    <r>
      <rPr>
        <rFont val="Work Sans"/>
        <b/>
        <color theme="1"/>
      </rPr>
      <t xml:space="preserve">Project </t>
    </r>
    <r>
      <rPr>
        <rFont val="Work Sans"/>
        <color theme="1"/>
      </rPr>
      <t>ID Card Parser</t>
    </r>
  </si>
  <si>
    <t>Project ID Card Parser</t>
  </si>
  <si>
    <t>Match and Index</t>
  </si>
  <si>
    <r>
      <rPr>
        <rFont val="Work Sans"/>
        <b/>
        <color theme="1"/>
      </rPr>
      <t xml:space="preserve">Project </t>
    </r>
    <r>
      <rPr>
        <rFont val="Work Sans"/>
        <b val="0"/>
        <color theme="1"/>
      </rPr>
      <t>Simple App</t>
    </r>
  </si>
  <si>
    <t>Project Simple App</t>
  </si>
  <si>
    <t>Sparkline Basics</t>
  </si>
  <si>
    <t>Google Translate</t>
  </si>
  <si>
    <t>Optional Pivot Table Basics</t>
  </si>
  <si>
    <t>Pivot Table</t>
  </si>
  <si>
    <t>(Watch Google Sheets 104 on demand)</t>
  </si>
  <si>
    <t>More</t>
  </si>
  <si>
    <t>Simple ML</t>
  </si>
  <si>
    <t>x1</t>
  </si>
  <si>
    <t>x2</t>
  </si>
  <si>
    <t>List five numbers</t>
  </si>
  <si>
    <t>Sequence</t>
  </si>
  <si>
    <t>Name your friends</t>
  </si>
  <si>
    <t>Drew</t>
  </si>
  <si>
    <t>Ya</t>
  </si>
  <si>
    <t>Boo</t>
  </si>
  <si>
    <t>Toy</t>
  </si>
  <si>
    <t>Matrix</t>
  </si>
  <si>
    <t>Five number summary</t>
  </si>
  <si>
    <t>Min</t>
  </si>
  <si>
    <t>Mean</t>
  </si>
  <si>
    <t>Median</t>
  </si>
  <si>
    <t>SD</t>
  </si>
  <si>
    <t>Max</t>
  </si>
  <si>
    <t>Salart Increase</t>
  </si>
  <si>
    <t>ssn</t>
  </si>
  <si>
    <t>lastname</t>
  </si>
  <si>
    <t>firstname</t>
  </si>
  <si>
    <t>hiredate</t>
  </si>
  <si>
    <t>salary</t>
  </si>
  <si>
    <t>salary $</t>
  </si>
  <si>
    <t>new_salary</t>
  </si>
  <si>
    <t>email</t>
  </si>
  <si>
    <t>email valid?</t>
  </si>
  <si>
    <t>To Do</t>
  </si>
  <si>
    <t>000-01-0000</t>
  </si>
  <si>
    <t>Milgrom</t>
  </si>
  <si>
    <t>Patricia</t>
  </si>
  <si>
    <t>1. Format to dollar</t>
  </si>
  <si>
    <t>000-02-2222</t>
  </si>
  <si>
    <t>Adams</t>
  </si>
  <si>
    <t>Sandy</t>
  </si>
  <si>
    <t>adams.s@gmail.com</t>
  </si>
  <si>
    <t>2. Increaase salary by 10% next year</t>
  </si>
  <si>
    <t>109-87-6543</t>
  </si>
  <si>
    <t>Wood</t>
  </si>
  <si>
    <t>Emily</t>
  </si>
  <si>
    <t>wood.e@gmail.com</t>
  </si>
  <si>
    <t>3. Create email address for each employee</t>
  </si>
  <si>
    <t>109-87-6544</t>
  </si>
  <si>
    <t>Foster</t>
  </si>
  <si>
    <t>Harold</t>
  </si>
  <si>
    <t>foster.h@gmail.com</t>
  </si>
  <si>
    <t>4. Check if email is valid</t>
  </si>
  <si>
    <t>111-12-1111</t>
  </si>
  <si>
    <t>Johnson</t>
  </si>
  <si>
    <t>James</t>
  </si>
  <si>
    <t>johnson.j@gmail.com</t>
  </si>
  <si>
    <t>123-45-6789</t>
  </si>
  <si>
    <t>Coulter</t>
  </si>
  <si>
    <t>Tracy</t>
  </si>
  <si>
    <t>coulter.t@gmail.com</t>
  </si>
  <si>
    <t>222-23-2222</t>
  </si>
  <si>
    <t>Marlin</t>
  </si>
  <si>
    <t>Bill</t>
  </si>
  <si>
    <t>marlin.b@gmail.com</t>
  </si>
  <si>
    <t>222-52-5555</t>
  </si>
  <si>
    <t>Smith</t>
  </si>
  <si>
    <t>Mary</t>
  </si>
  <si>
    <t>smith.m@gmail.com</t>
  </si>
  <si>
    <t>245-67-8910</t>
  </si>
  <si>
    <t>Johanson</t>
  </si>
  <si>
    <t>johanson.s@gmail.com</t>
  </si>
  <si>
    <t>333-34-3333</t>
  </si>
  <si>
    <t>Manin</t>
  </si>
  <si>
    <t>manin.e@gmail.com</t>
  </si>
  <si>
    <t>333-43-4444</t>
  </si>
  <si>
    <t>Frank</t>
  </si>
  <si>
    <t>smith.f@gmail.com</t>
  </si>
  <si>
    <t>333-66-1234</t>
  </si>
  <si>
    <t>Brown</t>
  </si>
  <si>
    <t>Marietta</t>
  </si>
  <si>
    <t>brown.m@gmail.com</t>
  </si>
  <si>
    <t>335-55-5533</t>
  </si>
  <si>
    <t>Jones</t>
  </si>
  <si>
    <t>Holly</t>
  </si>
  <si>
    <t>jones.h@gmail.com</t>
  </si>
  <si>
    <t>432-19-8765</t>
  </si>
  <si>
    <t>Bronson</t>
  </si>
  <si>
    <t>Paul</t>
  </si>
  <si>
    <t>bronson.p@gmail.com</t>
  </si>
  <si>
    <t>444-45-4444</t>
  </si>
  <si>
    <t>Vernon</t>
  </si>
  <si>
    <t>frank.v@gmail.com</t>
  </si>
  <si>
    <t>464-64-4466</t>
  </si>
  <si>
    <t>Webster</t>
  </si>
  <si>
    <t>David</t>
  </si>
  <si>
    <t>webster.d@gmail.com</t>
  </si>
  <si>
    <t>500-50-0505</t>
  </si>
  <si>
    <t>Rodriguez</t>
  </si>
  <si>
    <t>Jose</t>
  </si>
  <si>
    <t>rodriguez.j@gmail.com</t>
  </si>
  <si>
    <t>555-22-3333</t>
  </si>
  <si>
    <t>Rubin</t>
  </si>
  <si>
    <t>rubin.p@gmail.com</t>
  </si>
  <si>
    <t>555-56-5555</t>
  </si>
  <si>
    <t>Charles</t>
  </si>
  <si>
    <t>Kenneth</t>
  </si>
  <si>
    <t>charles.k@gmail.com</t>
  </si>
  <si>
    <t>612-99-1111</t>
  </si>
  <si>
    <t>Roberts</t>
  </si>
  <si>
    <t>Melissa</t>
  </si>
  <si>
    <t>roberts.m@gmail.com</t>
  </si>
  <si>
    <t>625-62-6262</t>
  </si>
  <si>
    <t>Holmes</t>
  </si>
  <si>
    <t>holmes.h@gmail.com</t>
  </si>
  <si>
    <t>767-74-7373</t>
  </si>
  <si>
    <t>Martin</t>
  </si>
  <si>
    <t>William</t>
  </si>
  <si>
    <t>martin.w@gmail.com</t>
  </si>
  <si>
    <t>776-67-6666</t>
  </si>
  <si>
    <t>Adamson</t>
  </si>
  <si>
    <t>adamson.d@gmail.com</t>
  </si>
  <si>
    <t>777-78-7777</t>
  </si>
  <si>
    <t>Marder</t>
  </si>
  <si>
    <t>Kelly</t>
  </si>
  <si>
    <t>marder.k@gmail.com</t>
  </si>
  <si>
    <t>925-45-7116</t>
  </si>
  <si>
    <t>Whitehead</t>
  </si>
  <si>
    <t>whitehead.d@gmail.com</t>
  </si>
  <si>
    <t>URL_1</t>
  </si>
  <si>
    <t>CSV</t>
  </si>
  <si>
    <t>https://gist.github.com/seankross/a412dfbd88b3db70b74b</t>
  </si>
  <si>
    <t>URL_2</t>
  </si>
  <si>
    <t>HTML Table</t>
  </si>
  <si>
    <t>https://www.momsteam.com/nutrition/sports-nutrition-basics/nutritional-needs-guidelines/carbohydrate-and-calorie-content-of-foods</t>
  </si>
  <si>
    <t>URL_3</t>
  </si>
  <si>
    <t>https://en.wikipedia.org/wiki/IMDb</t>
  </si>
  <si>
    <t>URL_4</t>
  </si>
  <si>
    <t>XML</t>
  </si>
  <si>
    <t>https://raw.githubusercontent.com/toyeiei/jetbrains-python/master/bookshop.xml</t>
  </si>
  <si>
    <t>URL_5</t>
  </si>
  <si>
    <t>XML (imdb)</t>
  </si>
  <si>
    <t>https://www.imdb.com/search/title/?groups=top_100&amp;sort=user_rating,desc</t>
  </si>
  <si>
    <t>URL_6</t>
  </si>
  <si>
    <t>FEED</t>
  </si>
  <si>
    <t>http://feeds.bbci.co.uk/news/business/rss.xml</t>
  </si>
  <si>
    <t>Import Data Here</t>
  </si>
  <si>
    <t>Title</t>
  </si>
  <si>
    <t>Year</t>
  </si>
  <si>
    <t>Price</t>
  </si>
  <si>
    <t>ALT+SHIFT+X</t>
  </si>
  <si>
    <t>gender</t>
  </si>
  <si>
    <t>performance</t>
  </si>
  <si>
    <t>F</t>
  </si>
  <si>
    <t>Average</t>
  </si>
  <si>
    <t>M</t>
  </si>
  <si>
    <t>Good</t>
  </si>
  <si>
    <t>Poor</t>
  </si>
  <si>
    <t>Filter &amp; Sort</t>
  </si>
  <si>
    <t>1=TRUE ,0=FALSE</t>
  </si>
  <si>
    <t>IF()</t>
  </si>
  <si>
    <t>IFS()</t>
  </si>
  <si>
    <t>Salary &gt; 50k</t>
  </si>
  <si>
    <t>Position</t>
  </si>
  <si>
    <t>Salary</t>
  </si>
  <si>
    <t>Junior</t>
  </si>
  <si>
    <t>&lt;50000</t>
  </si>
  <si>
    <t>Manager</t>
  </si>
  <si>
    <t>50000-90000</t>
  </si>
  <si>
    <t>&gt;90000</t>
  </si>
  <si>
    <t>VP</t>
  </si>
  <si>
    <t>F &gt;= 50K</t>
  </si>
  <si>
    <r>
      <rPr>
        <rFont val="Work Sans"/>
        <b/>
        <color rgb="FF000000"/>
      </rPr>
      <t xml:space="preserve">F </t>
    </r>
    <r>
      <rPr>
        <rFont val="Work Sans"/>
        <b/>
        <color rgb="FFFFFFFF"/>
      </rPr>
      <t>OR</t>
    </r>
    <r>
      <rPr>
        <rFont val="Work Sans"/>
        <b/>
        <color rgb="FF000000"/>
      </rPr>
      <t xml:space="preserve"> &gt;= 50K</t>
    </r>
  </si>
  <si>
    <t>Heat Map</t>
  </si>
  <si>
    <t>HW- เทสีผญ. ทั้งแถว</t>
  </si>
  <si>
    <t>To Do App</t>
  </si>
  <si>
    <t>Task</t>
  </si>
  <si>
    <t xml:space="preserve">Assign </t>
  </si>
  <si>
    <t>Complete</t>
  </si>
  <si>
    <t>Work timeline</t>
  </si>
  <si>
    <t>mmon_shn</t>
  </si>
  <si>
    <t>Read book</t>
  </si>
  <si>
    <t>Study Bootcamp</t>
  </si>
  <si>
    <t>Project - Dynamic Query</t>
  </si>
  <si>
    <t>Career</t>
  </si>
  <si>
    <t>Accountant</t>
  </si>
  <si>
    <r>
      <rPr>
        <rFont val="Work Sans"/>
        <color theme="1"/>
      </rPr>
      <t xml:space="preserve">Create </t>
    </r>
    <r>
      <rPr>
        <rFont val="Work Sans"/>
        <b/>
        <color theme="1"/>
      </rPr>
      <t>drop down list</t>
    </r>
    <r>
      <rPr>
        <rFont val="Work Sans"/>
        <color theme="1"/>
      </rPr>
      <t xml:space="preserve"> to filter our table</t>
    </r>
  </si>
  <si>
    <t>Engineer</t>
  </si>
  <si>
    <t>Scientist</t>
  </si>
  <si>
    <t>Programer</t>
  </si>
  <si>
    <t>Answer</t>
  </si>
  <si>
    <t>=QUERY(HW_EMPLOYEE,"select * where G = '"&amp; K6 &amp;"' and H = '" &amp; L6 &amp; "' and G is not NULL")</t>
  </si>
  <si>
    <t>=ArrayFormula(VLOOKUP(H5:H29, POSITION, SEQUENCE(1,4,2,1), FALSE))</t>
  </si>
  <si>
    <t>Employee</t>
  </si>
  <si>
    <t>positionID</t>
  </si>
  <si>
    <t>locationID</t>
  </si>
  <si>
    <t>locationcity</t>
  </si>
  <si>
    <t>address</t>
  </si>
  <si>
    <t>state</t>
  </si>
  <si>
    <t>zipcode</t>
  </si>
  <si>
    <t>officephone</t>
  </si>
  <si>
    <t>positiontitle</t>
  </si>
  <si>
    <t>educationrequired</t>
  </si>
  <si>
    <t>minsalary</t>
  </si>
  <si>
    <t>maxsalary</t>
  </si>
  <si>
    <t>3 Commons Blvd</t>
  </si>
  <si>
    <t>MA</t>
  </si>
  <si>
    <t>(617)123-4444</t>
  </si>
  <si>
    <t>4 year degree</t>
  </si>
  <si>
    <t>Atlanta</t>
  </si>
  <si>
    <t>450 Peachtree Rd</t>
  </si>
  <si>
    <t>GA</t>
  </si>
  <si>
    <t>(404)333-5555</t>
  </si>
  <si>
    <t>Trainee</t>
  </si>
  <si>
    <t>2 year degree</t>
  </si>
  <si>
    <t>New York City</t>
  </si>
  <si>
    <t>1650 Washington Blvd</t>
  </si>
  <si>
    <t>NY</t>
  </si>
  <si>
    <t>(518)256-3100</t>
  </si>
  <si>
    <t>Chicago</t>
  </si>
  <si>
    <t>500 Loop Highway</t>
  </si>
  <si>
    <t>IL</t>
  </si>
  <si>
    <t>(312)444-6666</t>
  </si>
  <si>
    <t>Account Representative</t>
  </si>
  <si>
    <t>Miami</t>
  </si>
  <si>
    <t>210 Biscayne Blvd</t>
  </si>
  <si>
    <t>FL</t>
  </si>
  <si>
    <t>(305)787-9999</t>
  </si>
  <si>
    <t>Denver</t>
  </si>
  <si>
    <t>312 Mount View Dr</t>
  </si>
  <si>
    <t>CO</t>
  </si>
  <si>
    <t>(205)607-5289</t>
  </si>
  <si>
    <t>Boston</t>
  </si>
  <si>
    <t>Salt Lake City</t>
  </si>
  <si>
    <t>316 S. State St</t>
  </si>
  <si>
    <t>UT</t>
  </si>
  <si>
    <t>(801)459-6652</t>
  </si>
  <si>
    <t>Regional Manager</t>
  </si>
  <si>
    <t>6 year degree</t>
  </si>
  <si>
    <t>Location</t>
  </si>
  <si>
    <t>Los Angeles</t>
  </si>
  <si>
    <t>1400 Main St</t>
  </si>
  <si>
    <t>CA</t>
  </si>
  <si>
    <t>(705)639-0227</t>
  </si>
  <si>
    <t>Score</t>
  </si>
  <si>
    <t>Approximate Match</t>
  </si>
  <si>
    <t>Grade Table</t>
  </si>
  <si>
    <t>A</t>
  </si>
  <si>
    <t>Failed</t>
  </si>
  <si>
    <t>D</t>
  </si>
  <si>
    <t>C</t>
  </si>
  <si>
    <t>B</t>
  </si>
  <si>
    <t>YYYY-MM-DD</t>
  </si>
  <si>
    <t>Today</t>
  </si>
  <si>
    <t>YEAR</t>
  </si>
  <si>
    <t>MONTH</t>
  </si>
  <si>
    <t>DAY</t>
  </si>
  <si>
    <t>DATE</t>
  </si>
  <si>
    <t>DATEDIF</t>
  </si>
  <si>
    <t>Add 10 Days</t>
  </si>
  <si>
    <t>1 -&gt; Date</t>
  </si>
  <si>
    <t>LEN</t>
  </si>
  <si>
    <t>LEFT</t>
  </si>
  <si>
    <t>RIGHT</t>
  </si>
  <si>
    <t>MID</t>
  </si>
  <si>
    <t>CONCAT</t>
  </si>
  <si>
    <t>TEXTJOIN</t>
  </si>
  <si>
    <t>I love working with spreadsheets and I know Google Sheets is the best.</t>
  </si>
  <si>
    <t>Project - Convert TH to EN Date</t>
  </si>
  <si>
    <t>Lookup Table</t>
  </si>
  <si>
    <t>TH Date</t>
  </si>
  <si>
    <t>Day</t>
  </si>
  <si>
    <t>Month</t>
  </si>
  <si>
    <t>EN Date</t>
  </si>
  <si>
    <t>ม.ค.</t>
  </si>
  <si>
    <t>12 ธ.ค. 2563</t>
  </si>
  <si>
    <t>ก.พ.</t>
  </si>
  <si>
    <t>25 พ.ย. 2561</t>
  </si>
  <si>
    <t>25</t>
  </si>
  <si>
    <t>มี.ค.</t>
  </si>
  <si>
    <t>09 ก.ย. 2562</t>
  </si>
  <si>
    <t>09</t>
  </si>
  <si>
    <t>เม.ย.</t>
  </si>
  <si>
    <t>07 ม.ค. 2560</t>
  </si>
  <si>
    <t>07</t>
  </si>
  <si>
    <t>พ.ค.</t>
  </si>
  <si>
    <t>15 เม.ย. 2563</t>
  </si>
  <si>
    <t>15</t>
  </si>
  <si>
    <t>มิ.ย.</t>
  </si>
  <si>
    <t>06 มิ.ย. 2563</t>
  </si>
  <si>
    <t>06</t>
  </si>
  <si>
    <t>ก.ค.</t>
  </si>
  <si>
    <t>ส.ค.</t>
  </si>
  <si>
    <t>ก.ย.</t>
  </si>
  <si>
    <t>=ArrayFormula(LEFT(D4:D9,2))</t>
  </si>
  <si>
    <t>ต.ค.</t>
  </si>
  <si>
    <t>=ArrayFormula(vlookup(REGEXEXTRACT(D4:D9,"\d{2} ([ก-๙]+\.[ก-๙]+\.) \d{4}"),A4:B15,2,FALSE))</t>
  </si>
  <si>
    <t>พ.ย.</t>
  </si>
  <si>
    <t>=ArrayFormula(RIGHT(D4:D9,4)-543)</t>
  </si>
  <si>
    <t>ธ.ค.</t>
  </si>
  <si>
    <t>=ArrayFormula(DATE(G4:G9,F4:F9,E4:E9))</t>
  </si>
  <si>
    <t>Report</t>
  </si>
  <si>
    <t>^[^PJS]</t>
  </si>
  <si>
    <t>2{2,4}</t>
  </si>
  <si>
    <t>Firstname</t>
  </si>
  <si>
    <t>Rating</t>
  </si>
  <si>
    <t>Milgrom has 9.64 rating this year</t>
  </si>
  <si>
    <t>Adams has 9.89 rating this year</t>
  </si>
  <si>
    <t>Wood has 5.69 rating this year</t>
  </si>
  <si>
    <t>Foster has 3.45 rating this year</t>
  </si>
  <si>
    <t>Johnson has 3.38 rating this year</t>
  </si>
  <si>
    <t>Coulter has 1.73 rating this year</t>
  </si>
  <si>
    <t>Marlin has 8.28 rating this year</t>
  </si>
  <si>
    <t>Smith has 5.57 rating this year</t>
  </si>
  <si>
    <t>Johanson has 9.56 rating this year</t>
  </si>
  <si>
    <t>Manin has 1.17 rating this year</t>
  </si>
  <si>
    <t>Smith has 1.06 rating this year</t>
  </si>
  <si>
    <t>Brown has 3.51 rating this year</t>
  </si>
  <si>
    <t>Jones has 4.93 rating this year</t>
  </si>
  <si>
    <t>Bronson has 9.15 rating this year</t>
  </si>
  <si>
    <t>Frank has 5.35 rating this year</t>
  </si>
  <si>
    <t>Webster has 9.59 rating this year</t>
  </si>
  <si>
    <t>Rodriguez has 0.51 rating this year</t>
  </si>
  <si>
    <t>Rubin has 6.22 rating this year</t>
  </si>
  <si>
    <t>Charles has 9.04 rating this year</t>
  </si>
  <si>
    <t>Roberts has 3.14 rating this year</t>
  </si>
  <si>
    <t>Holmes has 6.62 rating this year</t>
  </si>
  <si>
    <t>Martin has 8.99 rating this year</t>
  </si>
  <si>
    <t>Adamson has 3.65 rating this year</t>
  </si>
  <si>
    <t>Marder has 7.37 rating this year</t>
  </si>
  <si>
    <t>Whitehead has 7.64 rating this year</t>
  </si>
  <si>
    <t>Regular Expression</t>
  </si>
  <si>
    <t>p[a-z]+</t>
  </si>
  <si>
    <t>I love hotdog</t>
  </si>
  <si>
    <t>I love pizza</t>
  </si>
  <si>
    <t>I love pepsi</t>
  </si>
  <si>
    <t>I love Google</t>
  </si>
  <si>
    <t>I love hamburger</t>
  </si>
  <si>
    <t>I love ข้าวมันไก่</t>
  </si>
  <si>
    <t>I like ต้มยำกุ้ง</t>
  </si>
  <si>
    <t>I love ส้มตำ</t>
  </si>
  <si>
    <t>Project - ID Card Parser</t>
  </si>
  <si>
    <t>Parse Data/Information</t>
  </si>
  <si>
    <t>Customer Information</t>
  </si>
  <si>
    <t>ID</t>
  </si>
  <si>
    <t>Gender</t>
  </si>
  <si>
    <t>Lastname</t>
  </si>
  <si>
    <t>DOB</t>
  </si>
  <si>
    <t>Age</t>
  </si>
  <si>
    <t>Address</t>
  </si>
  <si>
    <t>Zipcode</t>
  </si>
  <si>
    <t>Expired Date</t>
  </si>
  <si>
    <t>Expired This Year</t>
  </si>
  <si>
    <t>ID 1-1078-00555-99-1 Mr. John David 
Date of Birth 20 Sep 1988
Address 67 Bangkok Thailand 10560
Expired Date 31 Dec 2020</t>
  </si>
  <si>
    <t>ID 3-5522-87666-87-2 Miss. Carry Anna 
Date of Birth 18 Jan 1995
Address 967 Tokyo Japan 10880
Expired Date 25 Apr 2025</t>
  </si>
  <si>
    <t>ID 1-2222-03874-23-6 Mr. Kevin Demio 
Date of Birth 14 Feb 1992
Address 7878 Washington United States 11155
Expired Date 31 Oct 2020</t>
  </si>
  <si>
    <t>ID 1-1078-00555-99-1 Mr. Stuart Lonely 
Date of Birth 20 Sep 1982
Address 554 Seoul Korea 89237
Expired Date 31 Mar 2021</t>
  </si>
  <si>
    <t>ID 1-1078-00555-99-1 Miss. Anya Tayloy 
Date of Birth 05 May 1985
Address 998 London United Kingdom 55387
Expired Date 15 Nov 2022</t>
  </si>
  <si>
    <t>=ArrayFormula(REGEXEXTRACT(A4:A8,"\d-\d{4}-\d{5}-\d{2}-\d{1}"))</t>
  </si>
  <si>
    <t>=ArrayFormula(IFS(REGEXEXTRACT(A4:A8,"M[a-z]+\.") = "Mr.", "Male",REGEXEXTRACT(A4:A8,"M[a-z]+\.") = "Miss.", "Female"))</t>
  </si>
  <si>
    <t>=ArrayFormula(REGEXEXTRACT(A4:A8,"M[a-z]+\. ([A-z]+)"))</t>
  </si>
  <si>
    <t>=ArrayFormula(REGEXEXTRACT(A4:A8,"M[a-z]+\. [A-z]+ ([A-z]+)"))</t>
  </si>
  <si>
    <t>=ArrayFormula(REGEXEXTRACT(A4:A8,"Date of Birth (\d{2} [A-z]+ \d{4})"))</t>
  </si>
  <si>
    <t>=ArrayFormula(DATEDIF(F4:F8, TODAY(), "Y"))</t>
  </si>
  <si>
    <t>=ArrayFormula(REGEXEXTRACT(A4:A8,"Address (\d+ [A-z]+ [A-z]+ [A-z]*)"))</t>
  </si>
  <si>
    <t>=ArrayFormula(REGEXEXTRACT(A4:A8,"[A-z]+ (\d{5})"))</t>
  </si>
  <si>
    <t>=ArrayFormula(REGEXEXTRACT(A4:A8, "Expired Date (\d{2} [A-z]{3} \d{4})"))</t>
  </si>
  <si>
    <t>=ArrayFormula(RIGHT(J4:J8,4)="2020")</t>
  </si>
  <si>
    <t>Project - Match and Index</t>
  </si>
  <si>
    <t>fullname</t>
  </si>
  <si>
    <t>FULLNAME</t>
  </si>
  <si>
    <t>SSN</t>
  </si>
  <si>
    <t>Milgrom Patricia</t>
  </si>
  <si>
    <t>Name</t>
  </si>
  <si>
    <t>Department</t>
  </si>
  <si>
    <t>Data</t>
  </si>
  <si>
    <t>Mon</t>
  </si>
  <si>
    <t>Marketing</t>
  </si>
  <si>
    <t>Finance</t>
  </si>
  <si>
    <t>HR</t>
  </si>
  <si>
    <t>Project - Simple App</t>
  </si>
  <si>
    <t>1. Create drop down list of SSN number</t>
  </si>
  <si>
    <t>2. Create app to select data</t>
  </si>
  <si>
    <t>=INDEX(A4:G28, MATCH(I9,C4:C28,FALSE),1)</t>
  </si>
  <si>
    <t>=INDEX(A4:G28, MATCH(I9,C4:C28,FALSE),5)</t>
  </si>
  <si>
    <t>=INDEX(A4:G28, MATCH(I9,C4:C28,FALSE),7)</t>
  </si>
  <si>
    <t>Project - Sparkline Basics</t>
  </si>
  <si>
    <t>Google</t>
  </si>
  <si>
    <t>Apple</t>
  </si>
  <si>
    <t>NASDAQ:GOOG</t>
  </si>
  <si>
    <t>NASDAQ:AAPL</t>
  </si>
  <si>
    <t>Trend 2020</t>
  </si>
  <si>
    <t>Which stock do you like most?</t>
  </si>
  <si>
    <t>Language Support</t>
  </si>
  <si>
    <t>https://cloud.google.com/translate/docs/languages</t>
  </si>
  <si>
    <t>Original Text</t>
  </si>
  <si>
    <t>Select target language</t>
  </si>
  <si>
    <t>I want to eat pizza</t>
  </si>
  <si>
    <t>ピザが食べたい</t>
  </si>
  <si>
    <t>나는 피자를 먹고 싶다</t>
  </si>
  <si>
    <t>我想吃比薩餅</t>
  </si>
  <si>
    <t>https://cdn-icons-png.flaticon.com/512/9479/9479627.png</t>
  </si>
  <si>
    <t>Appendix - Pivot Table</t>
  </si>
  <si>
    <t>Region</t>
  </si>
  <si>
    <t>Country</t>
  </si>
  <si>
    <t>Item Type</t>
  </si>
  <si>
    <t>Sales Channel</t>
  </si>
  <si>
    <t>Order Priority</t>
  </si>
  <si>
    <t>Order Date</t>
  </si>
  <si>
    <t>Order ID</t>
  </si>
  <si>
    <t>Ship Date</t>
  </si>
  <si>
    <t>Units Sold</t>
  </si>
  <si>
    <t>Unit Price</t>
  </si>
  <si>
    <t>Unit Cost</t>
  </si>
  <si>
    <t>Total Revenue</t>
  </si>
  <si>
    <t>Total Cost</t>
  </si>
  <si>
    <t>Total Profit</t>
  </si>
  <si>
    <t>Central America and the Caribbean</t>
  </si>
  <si>
    <t>Antigua and Barbuda</t>
  </si>
  <si>
    <t>Baby Food</t>
  </si>
  <si>
    <t>Online</t>
  </si>
  <si>
    <t>Panama</t>
  </si>
  <si>
    <t>Snacks</t>
  </si>
  <si>
    <t>Offline</t>
  </si>
  <si>
    <t>Europe</t>
  </si>
  <si>
    <t>Czech Republic</t>
  </si>
  <si>
    <t>Beverages</t>
  </si>
  <si>
    <t>Asia</t>
  </si>
  <si>
    <t>North Korea</t>
  </si>
  <si>
    <t>Cereal</t>
  </si>
  <si>
    <t>L</t>
  </si>
  <si>
    <t>Sri Lanka</t>
  </si>
  <si>
    <t>Middle East and North Africa</t>
  </si>
  <si>
    <t>Morocco</t>
  </si>
  <si>
    <t>Personal Care</t>
  </si>
  <si>
    <t>Australia and Oceania</t>
  </si>
  <si>
    <t>Federated States of Micronesia</t>
  </si>
  <si>
    <t>Clothes</t>
  </si>
  <si>
    <t>H</t>
  </si>
  <si>
    <t>Bosnia and Herzegovina</t>
  </si>
  <si>
    <t>Afghanistan</t>
  </si>
  <si>
    <t>Sub-Saharan Africa</t>
  </si>
  <si>
    <t>Ethiopia</t>
  </si>
  <si>
    <t>Turkey</t>
  </si>
  <si>
    <t>Office Supplies</t>
  </si>
  <si>
    <t>Oman</t>
  </si>
  <si>
    <t>Cosmetics</t>
  </si>
  <si>
    <t>Malaysia</t>
  </si>
  <si>
    <t>Saint Lucia</t>
  </si>
  <si>
    <t>Saint Vincent and the Grenadines</t>
  </si>
  <si>
    <t>Lebanon</t>
  </si>
  <si>
    <t>Meat</t>
  </si>
  <si>
    <t>Austria</t>
  </si>
  <si>
    <t>Bulgaria</t>
  </si>
  <si>
    <t>North America</t>
  </si>
  <si>
    <t>Mexico</t>
  </si>
  <si>
    <t>Trinidad and Tobago</t>
  </si>
  <si>
    <t>Libya</t>
  </si>
  <si>
    <t>Algeria</t>
  </si>
  <si>
    <t>Estonia</t>
  </si>
  <si>
    <t>Fruits</t>
  </si>
  <si>
    <t>Tuvalu</t>
  </si>
  <si>
    <t>Saudi Arabia</t>
  </si>
  <si>
    <t>Cuba</t>
  </si>
  <si>
    <t>Montenegro</t>
  </si>
  <si>
    <t>Guatemala</t>
  </si>
  <si>
    <t>Guinea</t>
  </si>
  <si>
    <t>Vanuatu</t>
  </si>
  <si>
    <t>United Arab Emirates</t>
  </si>
  <si>
    <t>Australia</t>
  </si>
  <si>
    <t>Malawi</t>
  </si>
  <si>
    <t>Luxembourg</t>
  </si>
  <si>
    <t>Vegetables</t>
  </si>
  <si>
    <t>Benin</t>
  </si>
  <si>
    <t>Somalia</t>
  </si>
  <si>
    <t>Switzerland</t>
  </si>
  <si>
    <t>Laos</t>
  </si>
  <si>
    <t>Kyrgyzstan</t>
  </si>
  <si>
    <t>Angola</t>
  </si>
  <si>
    <t>Mauritania</t>
  </si>
  <si>
    <t>Household</t>
  </si>
  <si>
    <t>Finland</t>
  </si>
  <si>
    <t>Taiwan</t>
  </si>
  <si>
    <t>Belgium</t>
  </si>
  <si>
    <t>San Marino</t>
  </si>
  <si>
    <t>Kiribati</t>
  </si>
  <si>
    <t>Samoa</t>
  </si>
  <si>
    <t>Central African Republic</t>
  </si>
  <si>
    <t>Uzbekistan</t>
  </si>
  <si>
    <t>Dominica</t>
  </si>
  <si>
    <t>Qatar</t>
  </si>
  <si>
    <t>South Korea</t>
  </si>
  <si>
    <t>Nigeria</t>
  </si>
  <si>
    <t>South Africa</t>
  </si>
  <si>
    <t>Sudan</t>
  </si>
  <si>
    <t>Netherlands</t>
  </si>
  <si>
    <t>Solomon Islands</t>
  </si>
  <si>
    <t>Iran</t>
  </si>
  <si>
    <t>Equatorial Guinea</t>
  </si>
  <si>
    <t>Russia</t>
  </si>
  <si>
    <t>Azerbaijan</t>
  </si>
  <si>
    <t>Iraq</t>
  </si>
  <si>
    <t>Mauritius</t>
  </si>
  <si>
    <t>Eritrea</t>
  </si>
  <si>
    <t>Ukraine</t>
  </si>
  <si>
    <t>Myanmar</t>
  </si>
  <si>
    <t>Latvia</t>
  </si>
  <si>
    <t>Serbia</t>
  </si>
  <si>
    <t>Mongolia</t>
  </si>
  <si>
    <t>Grenada</t>
  </si>
  <si>
    <t>Namibia</t>
  </si>
  <si>
    <t>Portugal</t>
  </si>
  <si>
    <t>Barbados</t>
  </si>
  <si>
    <t>Poland</t>
  </si>
  <si>
    <t>Senegal</t>
  </si>
  <si>
    <t>Burundi</t>
  </si>
  <si>
    <t>Haiti</t>
  </si>
  <si>
    <t>Liechtenstein</t>
  </si>
  <si>
    <t>Zambia</t>
  </si>
  <si>
    <t>United Kingdom</t>
  </si>
  <si>
    <t>Slovenia</t>
  </si>
  <si>
    <t>Malta</t>
  </si>
  <si>
    <t>Bhutan</t>
  </si>
  <si>
    <t>Singapore</t>
  </si>
  <si>
    <t>Cameroon</t>
  </si>
  <si>
    <t>Cyprus</t>
  </si>
  <si>
    <t>Monaco</t>
  </si>
  <si>
    <t>Gabon</t>
  </si>
  <si>
    <t>Djibouti</t>
  </si>
  <si>
    <t>Norway</t>
  </si>
  <si>
    <t>Thailand</t>
  </si>
  <si>
    <t>Uganda</t>
  </si>
  <si>
    <t>The Gambia</t>
  </si>
  <si>
    <t>Armenia</t>
  </si>
  <si>
    <t>Jordan</t>
  </si>
  <si>
    <t>Tonga</t>
  </si>
  <si>
    <t>Mali</t>
  </si>
  <si>
    <t>Tanzania</t>
  </si>
  <si>
    <t>Swaziland</t>
  </si>
  <si>
    <t>Denmark</t>
  </si>
  <si>
    <t>Seychelles</t>
  </si>
  <si>
    <t>Madagascar</t>
  </si>
  <si>
    <t>China</t>
  </si>
  <si>
    <t>United States of America</t>
  </si>
  <si>
    <t>Philippines</t>
  </si>
  <si>
    <t>South Sudan</t>
  </si>
  <si>
    <t>Kuwait</t>
  </si>
  <si>
    <t>Turkmenistan</t>
  </si>
  <si>
    <t>Kosovo</t>
  </si>
  <si>
    <t>Hungary</t>
  </si>
  <si>
    <t>Pakistan</t>
  </si>
  <si>
    <t>Mozambique</t>
  </si>
  <si>
    <t>Kazakhstan</t>
  </si>
  <si>
    <t>Nicaragua</t>
  </si>
  <si>
    <t>Chad</t>
  </si>
  <si>
    <t>East Timor</t>
  </si>
  <si>
    <t>Lithuania</t>
  </si>
  <si>
    <t>Liberia</t>
  </si>
  <si>
    <t>Saint Kitts and Nevis</t>
  </si>
  <si>
    <t>Jamaica</t>
  </si>
  <si>
    <t>Albania</t>
  </si>
  <si>
    <t>Japan</t>
  </si>
  <si>
    <t>The Bahamas</t>
  </si>
  <si>
    <t>Moldova</t>
  </si>
  <si>
    <t>Egypt</t>
  </si>
  <si>
    <t>India</t>
  </si>
  <si>
    <t>Democratic Republic of the Congo</t>
  </si>
  <si>
    <t>Republic of the Congo</t>
  </si>
  <si>
    <t>Comoros</t>
  </si>
  <si>
    <t>France</t>
  </si>
  <si>
    <t>Rwanda</t>
  </si>
  <si>
    <t>Cote d'Ivoire</t>
  </si>
  <si>
    <t>Spain</t>
  </si>
  <si>
    <t>Israel</t>
  </si>
  <si>
    <t>Costa Rica</t>
  </si>
  <si>
    <t>Honduras</t>
  </si>
  <si>
    <t>Sweden</t>
  </si>
  <si>
    <t>Indonesia</t>
  </si>
  <si>
    <t>Yemen</t>
  </si>
  <si>
    <t>Macedonia</t>
  </si>
  <si>
    <t>Greece</t>
  </si>
  <si>
    <t>Cambodia</t>
  </si>
  <si>
    <t>Italy</t>
  </si>
  <si>
    <t>New Zealand</t>
  </si>
  <si>
    <t>Tajikistan</t>
  </si>
  <si>
    <t>Botswana</t>
  </si>
  <si>
    <t>Dominican Republic</t>
  </si>
  <si>
    <t>Vietnam</t>
  </si>
  <si>
    <t>Germany</t>
  </si>
  <si>
    <t>Togo</t>
  </si>
  <si>
    <t>Kenya</t>
  </si>
  <si>
    <t>Tunisia</t>
  </si>
  <si>
    <t>Andorra</t>
  </si>
  <si>
    <t>Iceland</t>
  </si>
  <si>
    <t>Sao Tome and Principe</t>
  </si>
  <si>
    <t>Brunei</t>
  </si>
  <si>
    <t>Nauru</t>
  </si>
  <si>
    <t>Croatia</t>
  </si>
  <si>
    <t>Marshall Islands</t>
  </si>
  <si>
    <t>Slovakia</t>
  </si>
  <si>
    <t>Papua New Guinea</t>
  </si>
  <si>
    <t>Ghana</t>
  </si>
  <si>
    <t>Niger</t>
  </si>
  <si>
    <t>Bahrain</t>
  </si>
  <si>
    <t>Nepal</t>
  </si>
  <si>
    <t>Maldives</t>
  </si>
  <si>
    <t>Guinea-Bissau</t>
  </si>
  <si>
    <t>Vatican City</t>
  </si>
  <si>
    <t>Belarus</t>
  </si>
  <si>
    <t>Ireland</t>
  </si>
  <si>
    <t>Bangladesh</t>
  </si>
  <si>
    <t>Greenland</t>
  </si>
  <si>
    <t>El Salvador</t>
  </si>
  <si>
    <t>Palau</t>
  </si>
  <si>
    <t>Sierra Leone</t>
  </si>
  <si>
    <t>Lesotho</t>
  </si>
  <si>
    <t>Fiji</t>
  </si>
  <si>
    <t>Zimbabwe</t>
  </si>
  <si>
    <t>Romania</t>
  </si>
  <si>
    <t>Georgia</t>
  </si>
  <si>
    <t>Canada</t>
  </si>
  <si>
    <t>Belize</t>
  </si>
  <si>
    <t>Cape Verde</t>
  </si>
  <si>
    <t>Burkina Faso</t>
  </si>
  <si>
    <t>Syria</t>
  </si>
  <si>
    <t>SUM of Units Sold</t>
  </si>
  <si>
    <t>Grand Total</t>
  </si>
  <si>
    <t>model</t>
  </si>
  <si>
    <t>hp</t>
  </si>
  <si>
    <t>wt</t>
  </si>
  <si>
    <t>am</t>
  </si>
  <si>
    <t>mpg</t>
  </si>
  <si>
    <t>https://gist.githubusercontent.com/seankross/a412dfbd88b3db70b74b/raw/5f23f993cd87c283ce766e7ac6b329ee7cc2e1d1/mtcars.csv</t>
  </si>
  <si>
    <t>Pred:mpg</t>
  </si>
  <si>
    <t>Mazda RX4</t>
  </si>
  <si>
    <t>Mazda RX4 Wag</t>
  </si>
  <si>
    <t>Datsun 710</t>
  </si>
  <si>
    <t>Hornet 4 Drive</t>
  </si>
  <si>
    <t>Actual</t>
  </si>
  <si>
    <t>Hornet Sportabout</t>
  </si>
  <si>
    <t>Valiant</t>
  </si>
  <si>
    <t>Duster 360</t>
  </si>
  <si>
    <t>Merc 240D</t>
  </si>
  <si>
    <t>Merc 230</t>
  </si>
  <si>
    <t>Merc 280</t>
  </si>
  <si>
    <t>Merc 280C</t>
  </si>
  <si>
    <t>Merc 450SE</t>
  </si>
  <si>
    <t>Merc 450SL</t>
  </si>
  <si>
    <t>Merc 450SLC</t>
  </si>
  <si>
    <t>Cadillac Fleetwood</t>
  </si>
  <si>
    <t>Lincoln Continental</t>
  </si>
  <si>
    <t>Chrysler Imperial</t>
  </si>
  <si>
    <t>Fiat 128</t>
  </si>
  <si>
    <t>Honda Civic</t>
  </si>
  <si>
    <t>Toyota Corolla</t>
  </si>
  <si>
    <t>Toyota Corona</t>
  </si>
  <si>
    <t>Dodge Challenger</t>
  </si>
  <si>
    <t>AMC Javelin</t>
  </si>
  <si>
    <t>Camaro Z28</t>
  </si>
  <si>
    <t>Pontiac Firebird</t>
  </si>
  <si>
    <t>Fiat X1-9</t>
  </si>
  <si>
    <t>Porsche 914-2</t>
  </si>
  <si>
    <t>Lotus Europa</t>
  </si>
  <si>
    <t>Ford Pantera L</t>
  </si>
  <si>
    <t>Ferrari Dino</t>
  </si>
  <si>
    <t>Maserati Bora</t>
  </si>
  <si>
    <t>Volvo 142E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</si>
</sst>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8">
    <numFmt numFmtId="164" formatCode="0.0"/>
    <numFmt numFmtId="165" formatCode="yyyy&quot;-&quot;mm&quot;-&quot;dd"/>
    <numFmt numFmtId="166" formatCode="&quot;$&quot;#,##0.00"/>
    <numFmt numFmtId="167" formatCode="m/d/yyyy"/>
    <numFmt numFmtId="168" formatCode="&quot;$&quot;#,##0"/>
    <numFmt numFmtId="169" formatCode="yyyy-mm-dd"/>
    <numFmt numFmtId="170" formatCode="dd&quot;-&quot;mm&quot;-&quot;yyyy"/>
    <numFmt numFmtId="171" formatCode="m/d/yyyy h:mm:ss"/>
  </numFmts>
  <fonts count="41">
    <font>
      <sz val="10.0"/>
      <color rgb="FF000000"/>
      <name val="Arial"/>
      <scheme val="minor"/>
    </font>
    <font>
      <b/>
      <color theme="1"/>
      <name val="Work Sans"/>
    </font>
    <font>
      <color theme="1"/>
      <name val="Work Sans"/>
    </font>
    <font>
      <u/>
      <color rgb="FF0000FF"/>
      <name val="Work Sans"/>
    </font>
    <font>
      <color rgb="FFFFFFFF"/>
      <name val="Work Sans"/>
    </font>
    <font>
      <color rgb="FF989898"/>
      <name val="Work Sans"/>
    </font>
    <font>
      <sz val="11.0"/>
      <color rgb="FF000000"/>
      <name val="Inconsolata"/>
    </font>
    <font>
      <sz val="8.0"/>
      <color theme="1"/>
      <name val="SFMono-Regular"/>
    </font>
    <font>
      <b/>
      <color rgb="FFFFFFFF"/>
      <name val="Work Sans"/>
    </font>
    <font>
      <b/>
      <sz val="12.0"/>
      <color theme="1"/>
      <name val="Work Sans"/>
    </font>
    <font>
      <u/>
      <color rgb="FF0000FF"/>
      <name val="Work Sans"/>
    </font>
    <font>
      <u/>
      <color rgb="FF1155CC"/>
      <name val="Work Sans"/>
    </font>
    <font>
      <u/>
      <color rgb="FF0000FF"/>
      <name val="Work Sans"/>
    </font>
    <font>
      <u/>
      <color rgb="FF1155CC"/>
      <name val="Work Sans"/>
    </font>
    <font>
      <b/>
      <sz val="12.0"/>
      <color rgb="FF000000"/>
      <name val="Work Sans"/>
    </font>
    <font>
      <b/>
      <sz val="11.0"/>
      <color rgb="FF000000"/>
      <name val="Inconsolata"/>
    </font>
    <font>
      <sz val="10.0"/>
      <color rgb="FF000000"/>
      <name val="Work Sans"/>
    </font>
    <font>
      <sz val="10.0"/>
      <color theme="1"/>
      <name val="Work Sans"/>
    </font>
    <font>
      <color theme="1"/>
      <name val="Arial"/>
      <scheme val="minor"/>
    </font>
    <font>
      <u/>
      <color rgb="FF0000FF"/>
      <name val="Work Sans"/>
    </font>
    <font>
      <sz val="9.0"/>
      <color rgb="FF000000"/>
      <name val="&quot;Google Sans Mono&quot;"/>
    </font>
    <font>
      <color rgb="FF000000"/>
      <name val="Work Sans"/>
    </font>
    <font>
      <b/>
      <color rgb="FF000000"/>
      <name val="Work Sans"/>
    </font>
    <font>
      <color rgb="FF000000"/>
      <name val="&quot;docs-Work Sans&quot;"/>
    </font>
    <font>
      <b/>
      <color rgb="FFD44C47"/>
      <name val="Arial"/>
      <scheme val="minor"/>
    </font>
    <font>
      <b/>
      <color rgb="FFFF0000"/>
      <name val="Work Sans"/>
    </font>
    <font>
      <u/>
      <color theme="1"/>
      <name val="Work Sans"/>
    </font>
    <font>
      <b/>
      <sz val="11.0"/>
      <color rgb="FF000000"/>
      <name val="Work Sans"/>
    </font>
    <font>
      <b/>
      <sz val="10.0"/>
      <color rgb="FF000000"/>
      <name val="Work Sans"/>
    </font>
    <font>
      <color theme="1"/>
      <name val="Prompt"/>
    </font>
    <font>
      <b/>
      <color theme="1"/>
      <name val="Arial"/>
      <scheme val="minor"/>
    </font>
    <font>
      <sz val="8.0"/>
      <color rgb="FF000000"/>
      <name val="&quot;docs-Work Sans&quot;"/>
    </font>
    <font>
      <sz val="11.0"/>
      <color theme="1"/>
      <name val="Inconsolata"/>
    </font>
    <font>
      <b/>
      <sz val="10.0"/>
      <color rgb="FFFFFFFF"/>
      <name val="Work Sans"/>
    </font>
    <font>
      <b/>
      <sz val="10.0"/>
      <color theme="1"/>
      <name val="Work Sans"/>
    </font>
    <font>
      <sz val="8.0"/>
      <color theme="1"/>
      <name val="Arial"/>
    </font>
    <font>
      <b/>
      <sz val="11.0"/>
      <color rgb="FFFFFFFF"/>
      <name val="Work Sans"/>
    </font>
    <font>
      <sz val="11.0"/>
      <color rgb="FF000000"/>
      <name val="Work Sans"/>
    </font>
    <font>
      <sz val="9.0"/>
      <color rgb="FF000000"/>
      <name val="Inconsolata"/>
    </font>
    <font>
      <u/>
      <color rgb="FF1155CC"/>
      <name val="Roboto"/>
    </font>
    <font>
      <color rgb="FF1155CC"/>
      <name val="Roboto"/>
    </font>
  </fonts>
  <fills count="13">
    <fill>
      <patternFill patternType="none"/>
    </fill>
    <fill>
      <patternFill patternType="lightGray"/>
    </fill>
    <fill>
      <patternFill patternType="solid">
        <fgColor rgb="FFFFF2CC"/>
        <bgColor rgb="FFFFF2CC"/>
      </patternFill>
    </fill>
    <fill>
      <patternFill patternType="solid">
        <fgColor rgb="FFD9EAD3"/>
        <bgColor rgb="FFD9EAD3"/>
      </patternFill>
    </fill>
    <fill>
      <patternFill patternType="solid">
        <fgColor rgb="FF434343"/>
        <bgColor rgb="FF434343"/>
      </patternFill>
    </fill>
    <fill>
      <patternFill patternType="solid">
        <fgColor rgb="FFFFFFFF"/>
        <bgColor rgb="FFFFFFFF"/>
      </patternFill>
    </fill>
    <fill>
      <patternFill patternType="solid">
        <fgColor rgb="FFFFE599"/>
        <bgColor rgb="FFFFE599"/>
      </patternFill>
    </fill>
    <fill>
      <patternFill patternType="solid">
        <fgColor theme="0"/>
        <bgColor theme="0"/>
      </patternFill>
    </fill>
    <fill>
      <patternFill patternType="solid">
        <fgColor rgb="FF4A86E8"/>
        <bgColor rgb="FF4A86E8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  <fill>
      <patternFill patternType="solid">
        <fgColor rgb="FFD9D2E9"/>
        <bgColor rgb="FFD9D2E9"/>
      </patternFill>
    </fill>
  </fills>
  <borders count="7">
    <border/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3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readingOrder="0"/>
    </xf>
    <xf borderId="0" fillId="0" fontId="2" numFmtId="0" xfId="0" applyFont="1"/>
    <xf borderId="0" fillId="0" fontId="2" numFmtId="0" xfId="0" applyAlignment="1" applyFont="1">
      <alignment horizontal="center" readingOrder="0"/>
    </xf>
    <xf borderId="0" fillId="0" fontId="2" numFmtId="0" xfId="0" applyFont="1"/>
    <xf borderId="0" fillId="0" fontId="3" numFmtId="0" xfId="0" applyAlignment="1" applyFont="1">
      <alignment horizontal="center" readingOrder="0"/>
    </xf>
    <xf borderId="0" fillId="0" fontId="2" numFmtId="0" xfId="0" applyAlignment="1" applyFont="1">
      <alignment readingOrder="0"/>
    </xf>
    <xf borderId="0" fillId="0" fontId="2" numFmtId="9" xfId="0" applyAlignment="1" applyFont="1" applyNumberFormat="1">
      <alignment horizontal="center"/>
    </xf>
    <xf borderId="0" fillId="0" fontId="4" numFmtId="9" xfId="0" applyAlignment="1" applyFont="1" applyNumberFormat="1">
      <alignment horizontal="center"/>
    </xf>
    <xf borderId="0" fillId="2" fontId="2" numFmtId="0" xfId="0" applyAlignment="1" applyFill="1" applyFont="1">
      <alignment readingOrder="0"/>
    </xf>
    <xf borderId="0" fillId="2" fontId="2" numFmtId="0" xfId="0" applyAlignment="1" applyFont="1">
      <alignment readingOrder="0"/>
    </xf>
    <xf borderId="0" fillId="2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5" numFmtId="0" xfId="0" applyAlignment="1" applyFont="1">
      <alignment horizontal="center" readingOrder="0"/>
    </xf>
    <xf borderId="0" fillId="0" fontId="5" numFmtId="0" xfId="0" applyAlignment="1" applyFont="1">
      <alignment readingOrder="0"/>
    </xf>
    <xf borderId="0" fillId="3" fontId="2" numFmtId="0" xfId="0" applyAlignment="1" applyFill="1" applyFont="1">
      <alignment readingOrder="0"/>
    </xf>
    <xf borderId="0" fillId="3" fontId="6" numFmtId="0" xfId="0" applyFont="1"/>
    <xf borderId="0" fillId="3" fontId="2" numFmtId="0" xfId="0" applyFont="1"/>
    <xf borderId="0" fillId="3" fontId="7" numFmtId="0" xfId="0" applyFont="1"/>
    <xf borderId="0" fillId="3" fontId="2" numFmtId="164" xfId="0" applyFont="1" applyNumberFormat="1"/>
    <xf borderId="0" fillId="0" fontId="2" numFmtId="0" xfId="0" applyAlignment="1" applyFont="1">
      <alignment horizontal="center"/>
    </xf>
    <xf borderId="0" fillId="0" fontId="2" numFmtId="9" xfId="0" applyAlignment="1" applyFont="1" applyNumberFormat="1">
      <alignment readingOrder="0"/>
    </xf>
    <xf borderId="0" fillId="4" fontId="8" numFmtId="0" xfId="0" applyFill="1" applyFont="1"/>
    <xf borderId="0" fillId="4" fontId="8" numFmtId="0" xfId="0" applyAlignment="1" applyFont="1">
      <alignment horizontal="center"/>
    </xf>
    <xf borderId="0" fillId="4" fontId="8" numFmtId="0" xfId="0" applyAlignment="1" applyFont="1">
      <alignment horizontal="center" readingOrder="0"/>
    </xf>
    <xf borderId="0" fillId="0" fontId="2" numFmtId="0" xfId="0" applyFont="1"/>
    <xf borderId="0" fillId="0" fontId="2" numFmtId="165" xfId="0" applyFont="1" applyNumberFormat="1"/>
    <xf borderId="0" fillId="0" fontId="2" numFmtId="3" xfId="0" applyAlignment="1" applyFont="1" applyNumberFormat="1">
      <alignment horizontal="center"/>
    </xf>
    <xf borderId="0" fillId="3" fontId="2" numFmtId="166" xfId="0" applyFont="1" applyNumberFormat="1"/>
    <xf borderId="0" fillId="0" fontId="2" numFmtId="0" xfId="0" applyAlignment="1" applyFont="1">
      <alignment readingOrder="0"/>
    </xf>
    <xf borderId="0" fillId="0" fontId="9" numFmtId="0" xfId="0" applyAlignment="1" applyFont="1">
      <alignment readingOrder="0"/>
    </xf>
    <xf borderId="0" fillId="0" fontId="10" numFmtId="0" xfId="0" applyAlignment="1" applyFont="1">
      <alignment readingOrder="0"/>
    </xf>
    <xf borderId="0" fillId="0" fontId="11" numFmtId="0" xfId="0" applyAlignment="1" applyFont="1">
      <alignment shrinkToFit="0" vertical="bottom" wrapText="0"/>
    </xf>
    <xf borderId="0" fillId="0" fontId="12" numFmtId="0" xfId="0" applyAlignment="1" applyFont="1">
      <alignment readingOrder="0"/>
    </xf>
    <xf borderId="0" fillId="0" fontId="13" numFmtId="0" xfId="0" applyAlignment="1" applyFont="1">
      <alignment readingOrder="0"/>
    </xf>
    <xf borderId="0" fillId="5" fontId="14" numFmtId="0" xfId="0" applyAlignment="1" applyFill="1" applyFont="1">
      <alignment horizontal="left" readingOrder="0"/>
    </xf>
    <xf borderId="0" fillId="3" fontId="15" numFmtId="0" xfId="0" applyFont="1"/>
    <xf borderId="0" fillId="0" fontId="1" numFmtId="0" xfId="0" applyFont="1"/>
    <xf borderId="0" fillId="0" fontId="16" numFmtId="0" xfId="0" applyAlignment="1" applyFont="1">
      <alignment horizontal="left"/>
    </xf>
    <xf borderId="0" fillId="5" fontId="16" numFmtId="0" xfId="0" applyFont="1"/>
    <xf borderId="0" fillId="0" fontId="17" numFmtId="0" xfId="0" applyFont="1"/>
    <xf borderId="0" fillId="3" fontId="18" numFmtId="0" xfId="0" applyFont="1"/>
    <xf borderId="0" fillId="3" fontId="6" numFmtId="0" xfId="0" applyFont="1"/>
    <xf borderId="0" fillId="3" fontId="16" numFmtId="0" xfId="0" applyAlignment="1" applyFont="1">
      <alignment horizontal="left"/>
    </xf>
    <xf borderId="0" fillId="3" fontId="1" numFmtId="0" xfId="0" applyFont="1"/>
    <xf borderId="0" fillId="0" fontId="19" numFmtId="0" xfId="0" applyFont="1"/>
    <xf borderId="0" fillId="6" fontId="1" numFmtId="0" xfId="0" applyAlignment="1" applyFill="1" applyFont="1">
      <alignment readingOrder="0"/>
    </xf>
    <xf borderId="0" fillId="0" fontId="2" numFmtId="167" xfId="0" applyFont="1" applyNumberFormat="1"/>
    <xf borderId="0" fillId="0" fontId="2" numFmtId="168" xfId="0" applyFont="1" applyNumberFormat="1"/>
    <xf borderId="0" fillId="0" fontId="2" numFmtId="169" xfId="0" applyAlignment="1" applyFont="1" applyNumberFormat="1">
      <alignment readingOrder="0"/>
    </xf>
    <xf borderId="0" fillId="7" fontId="17" numFmtId="0" xfId="0" applyFill="1" applyFont="1"/>
    <xf borderId="0" fillId="5" fontId="20" numFmtId="0" xfId="0" applyFont="1"/>
    <xf borderId="0" fillId="5" fontId="21" numFmtId="0" xfId="0" applyAlignment="1" applyFont="1">
      <alignment horizontal="left" readingOrder="0"/>
    </xf>
    <xf borderId="0" fillId="8" fontId="8" numFmtId="0" xfId="0" applyAlignment="1" applyFill="1" applyFont="1">
      <alignment readingOrder="0"/>
    </xf>
    <xf borderId="0" fillId="9" fontId="22" numFmtId="0" xfId="0" applyAlignment="1" applyFill="1" applyFont="1">
      <alignment readingOrder="0"/>
    </xf>
    <xf borderId="0" fillId="5" fontId="23" numFmtId="0" xfId="0" applyAlignment="1" applyFont="1">
      <alignment horizontal="left" readingOrder="0"/>
    </xf>
    <xf borderId="0" fillId="0" fontId="24" numFmtId="0" xfId="0" applyAlignment="1" applyFont="1">
      <alignment horizontal="center" readingOrder="0"/>
    </xf>
    <xf borderId="0" fillId="0" fontId="25" numFmtId="0" xfId="0" applyAlignment="1" applyFont="1">
      <alignment readingOrder="0"/>
    </xf>
    <xf borderId="0" fillId="0" fontId="26" numFmtId="0" xfId="0" applyAlignment="1" applyFont="1">
      <alignment readingOrder="0"/>
    </xf>
    <xf borderId="0" fillId="10" fontId="1" numFmtId="0" xfId="0" applyAlignment="1" applyFill="1" applyFont="1">
      <alignment readingOrder="0"/>
    </xf>
    <xf borderId="0" fillId="5" fontId="27" numFmtId="0" xfId="0" applyAlignment="1" applyFont="1">
      <alignment readingOrder="0"/>
    </xf>
    <xf borderId="0" fillId="0" fontId="2" numFmtId="168" xfId="0" applyFont="1" applyNumberFormat="1"/>
    <xf quotePrefix="1" borderId="0" fillId="0" fontId="2" numFmtId="0" xfId="0" applyAlignment="1" applyFont="1">
      <alignment readingOrder="0"/>
    </xf>
    <xf quotePrefix="1" borderId="0" fillId="5" fontId="6" numFmtId="0" xfId="0" applyAlignment="1" applyFont="1">
      <alignment readingOrder="0"/>
    </xf>
    <xf borderId="0" fillId="0" fontId="21" numFmtId="0" xfId="0" applyAlignment="1" applyFont="1">
      <alignment readingOrder="0"/>
    </xf>
    <xf borderId="0" fillId="0" fontId="8" numFmtId="0" xfId="0" applyFont="1"/>
    <xf borderId="0" fillId="0" fontId="8" numFmtId="0" xfId="0" applyAlignment="1" applyFont="1">
      <alignment horizontal="center"/>
    </xf>
    <xf borderId="0" fillId="9" fontId="22" numFmtId="0" xfId="0" applyFont="1"/>
    <xf borderId="0" fillId="10" fontId="22" numFmtId="0" xfId="0" applyFont="1"/>
    <xf borderId="0" fillId="0" fontId="2" numFmtId="0" xfId="0" applyAlignment="1" applyFont="1">
      <alignment horizontal="center"/>
    </xf>
    <xf borderId="0" fillId="5" fontId="6" numFmtId="0" xfId="0" applyFont="1"/>
    <xf borderId="0" fillId="0" fontId="2" numFmtId="166" xfId="0" applyFont="1" applyNumberFormat="1"/>
    <xf borderId="0" fillId="0" fontId="2" numFmtId="166" xfId="0" applyFont="1" applyNumberFormat="1"/>
    <xf borderId="0" fillId="0" fontId="28" numFmtId="0" xfId="0" applyAlignment="1" applyFont="1">
      <alignment readingOrder="0"/>
    </xf>
    <xf borderId="1" fillId="10" fontId="1" numFmtId="0" xfId="0" applyAlignment="1" applyBorder="1" applyFont="1">
      <alignment horizontal="center" readingOrder="0"/>
    </xf>
    <xf borderId="2" fillId="10" fontId="1" numFmtId="0" xfId="0" applyAlignment="1" applyBorder="1" applyFont="1">
      <alignment readingOrder="0"/>
    </xf>
    <xf borderId="0" fillId="5" fontId="6" numFmtId="0" xfId="0" applyAlignment="1" applyFont="1">
      <alignment readingOrder="0"/>
    </xf>
    <xf borderId="3" fillId="0" fontId="2" numFmtId="0" xfId="0" applyAlignment="1" applyBorder="1" applyFont="1">
      <alignment horizontal="center" readingOrder="0"/>
    </xf>
    <xf borderId="4" fillId="0" fontId="2" numFmtId="0" xfId="0" applyAlignment="1" applyBorder="1" applyFont="1">
      <alignment horizontal="center" readingOrder="0"/>
    </xf>
    <xf borderId="5" fillId="0" fontId="2" numFmtId="0" xfId="0" applyAlignment="1" applyBorder="1" applyFont="1">
      <alignment horizontal="center" readingOrder="0"/>
    </xf>
    <xf borderId="6" fillId="0" fontId="2" numFmtId="0" xfId="0" applyAlignment="1" applyBorder="1" applyFont="1">
      <alignment horizontal="center" readingOrder="0"/>
    </xf>
    <xf borderId="0" fillId="0" fontId="2" numFmtId="14" xfId="0" applyFont="1" applyNumberFormat="1"/>
    <xf borderId="0" fillId="10" fontId="1" numFmtId="0" xfId="0" applyAlignment="1" applyFont="1">
      <alignment horizontal="left" readingOrder="0"/>
    </xf>
    <xf borderId="0" fillId="2" fontId="1" numFmtId="0" xfId="0" applyAlignment="1" applyFont="1">
      <alignment horizontal="left" readingOrder="0"/>
    </xf>
    <xf borderId="0" fillId="0" fontId="2" numFmtId="165" xfId="0" applyAlignment="1" applyFont="1" applyNumberFormat="1">
      <alignment readingOrder="0"/>
    </xf>
    <xf borderId="0" fillId="5" fontId="6" numFmtId="165" xfId="0" applyFont="1" applyNumberFormat="1"/>
    <xf borderId="0" fillId="6" fontId="2" numFmtId="0" xfId="0" applyAlignment="1" applyFont="1">
      <alignment readingOrder="0"/>
    </xf>
    <xf borderId="0" fillId="0" fontId="1" numFmtId="0" xfId="0" applyAlignment="1" applyFont="1">
      <alignment horizontal="left" readingOrder="0"/>
    </xf>
    <xf borderId="0" fillId="0" fontId="29" numFmtId="0" xfId="0" applyAlignment="1" applyFont="1">
      <alignment readingOrder="0"/>
    </xf>
    <xf borderId="0" fillId="5" fontId="16" numFmtId="0" xfId="0" applyAlignment="1" applyFont="1">
      <alignment horizontal="center"/>
    </xf>
    <xf borderId="0" fillId="0" fontId="2" numFmtId="170" xfId="0" applyAlignment="1" applyFont="1" applyNumberFormat="1">
      <alignment horizontal="center"/>
    </xf>
    <xf borderId="0" fillId="0" fontId="2" numFmtId="0" xfId="0" applyAlignment="1" applyFont="1">
      <alignment horizontal="left" readingOrder="0"/>
    </xf>
    <xf borderId="0" fillId="0" fontId="18" numFmtId="0" xfId="0" applyAlignment="1" applyFont="1">
      <alignment readingOrder="0"/>
    </xf>
    <xf borderId="0" fillId="0" fontId="18" numFmtId="0" xfId="0" applyFont="1"/>
    <xf borderId="0" fillId="0" fontId="30" numFmtId="0" xfId="0" applyAlignment="1" applyFont="1">
      <alignment readingOrder="0"/>
    </xf>
    <xf borderId="0" fillId="0" fontId="16" numFmtId="0" xfId="0" applyFont="1"/>
    <xf borderId="0" fillId="5" fontId="20" numFmtId="0" xfId="0" applyAlignment="1" applyFont="1">
      <alignment horizontal="left"/>
    </xf>
    <xf borderId="0" fillId="4" fontId="8" numFmtId="0" xfId="0" applyAlignment="1" applyFont="1">
      <alignment readingOrder="0" vertical="bottom"/>
    </xf>
    <xf borderId="0" fillId="4" fontId="8" numFmtId="0" xfId="0" applyAlignment="1" applyFont="1">
      <alignment vertical="bottom"/>
    </xf>
    <xf borderId="0" fillId="4" fontId="8" numFmtId="0" xfId="0" applyAlignment="1" applyFont="1">
      <alignment shrinkToFit="0" vertical="bottom" wrapText="0"/>
    </xf>
    <xf borderId="0" fillId="0" fontId="2" numFmtId="0" xfId="0" applyAlignment="1" applyFont="1">
      <alignment shrinkToFit="0" vertical="bottom" wrapText="1"/>
    </xf>
    <xf borderId="0" fillId="5" fontId="16" numFmtId="0" xfId="0" applyAlignment="1" applyFont="1">
      <alignment horizontal="left" readingOrder="0"/>
    </xf>
    <xf borderId="0" fillId="5" fontId="31" numFmtId="0" xfId="0" applyAlignment="1" applyFont="1">
      <alignment horizontal="left" readingOrder="0"/>
    </xf>
    <xf borderId="0" fillId="5" fontId="6" numFmtId="0" xfId="0" applyFont="1"/>
    <xf borderId="0" fillId="5" fontId="6" numFmtId="0" xfId="0" applyAlignment="1" applyFont="1">
      <alignment horizontal="left"/>
    </xf>
    <xf borderId="0" fillId="0" fontId="2" numFmtId="0" xfId="0" applyAlignment="1" applyFont="1">
      <alignment horizontal="left"/>
    </xf>
    <xf borderId="0" fillId="0" fontId="2" numFmtId="0" xfId="0" applyAlignment="1" applyFont="1">
      <alignment readingOrder="0" shrinkToFit="0" vertical="bottom" wrapText="1"/>
    </xf>
    <xf borderId="0" fillId="11" fontId="8" numFmtId="0" xfId="0" applyAlignment="1" applyFill="1" applyFont="1">
      <alignment readingOrder="0"/>
    </xf>
    <xf borderId="0" fillId="10" fontId="18" numFmtId="0" xfId="0" applyAlignment="1" applyFont="1">
      <alignment readingOrder="0"/>
    </xf>
    <xf borderId="0" fillId="5" fontId="32" numFmtId="0" xfId="0" applyAlignment="1" applyFont="1">
      <alignment readingOrder="0" vertical="bottom"/>
    </xf>
    <xf borderId="0" fillId="5" fontId="28" numFmtId="0" xfId="0" applyAlignment="1" applyFont="1">
      <alignment readingOrder="0"/>
    </xf>
    <xf borderId="0" fillId="5" fontId="16" numFmtId="0" xfId="0" applyAlignment="1" applyFont="1">
      <alignment readingOrder="0"/>
    </xf>
    <xf borderId="0" fillId="5" fontId="16" numFmtId="0" xfId="0" applyAlignment="1" applyFont="1">
      <alignment horizontal="center" readingOrder="0"/>
    </xf>
    <xf borderId="0" fillId="0" fontId="17" numFmtId="0" xfId="0" applyAlignment="1" applyFont="1">
      <alignment readingOrder="0"/>
    </xf>
    <xf borderId="0" fillId="5" fontId="16" numFmtId="168" xfId="0" applyAlignment="1" applyFont="1" applyNumberFormat="1">
      <alignment horizontal="center" readingOrder="0"/>
    </xf>
    <xf borderId="0" fillId="0" fontId="33" numFmtId="0" xfId="0" applyFont="1"/>
    <xf borderId="0" fillId="0" fontId="34" numFmtId="0" xfId="0" applyAlignment="1" applyFont="1">
      <alignment readingOrder="0"/>
    </xf>
    <xf quotePrefix="1" borderId="0" fillId="5" fontId="16" numFmtId="0" xfId="0" applyAlignment="1" applyFont="1">
      <alignment readingOrder="0"/>
    </xf>
    <xf borderId="0" fillId="0" fontId="34" numFmtId="0" xfId="0" applyFont="1"/>
    <xf borderId="0" fillId="5" fontId="16" numFmtId="0" xfId="0" applyAlignment="1" applyFont="1">
      <alignment readingOrder="0" shrinkToFit="0" wrapText="0"/>
    </xf>
    <xf borderId="0" fillId="0" fontId="17" numFmtId="171" xfId="0" applyFont="1" applyNumberFormat="1"/>
    <xf borderId="0" fillId="0" fontId="17" numFmtId="9" xfId="0" applyAlignment="1" applyFont="1" applyNumberFormat="1">
      <alignment readingOrder="0"/>
    </xf>
    <xf borderId="0" fillId="0" fontId="35" numFmtId="0" xfId="0" applyAlignment="1" applyFont="1">
      <alignment readingOrder="0"/>
    </xf>
    <xf borderId="0" fillId="4" fontId="36" numFmtId="0" xfId="0" applyAlignment="1" applyFont="1">
      <alignment readingOrder="0" shrinkToFit="0" vertical="bottom" wrapText="0"/>
    </xf>
    <xf borderId="0" fillId="0" fontId="37" numFmtId="0" xfId="0" applyAlignment="1" applyFont="1">
      <alignment readingOrder="0" shrinkToFit="0" vertical="bottom" wrapText="0"/>
    </xf>
    <xf borderId="0" fillId="0" fontId="37" numFmtId="167" xfId="0" applyAlignment="1" applyFont="1" applyNumberFormat="1">
      <alignment horizontal="right" readingOrder="0" shrinkToFit="0" vertical="bottom" wrapText="0"/>
    </xf>
    <xf borderId="0" fillId="0" fontId="37" numFmtId="11" xfId="0" applyAlignment="1" applyFont="1" applyNumberFormat="1">
      <alignment horizontal="right" readingOrder="0" shrinkToFit="0" vertical="bottom" wrapText="0"/>
    </xf>
    <xf borderId="0" fillId="0" fontId="37" numFmtId="0" xfId="0" applyAlignment="1" applyFont="1">
      <alignment horizontal="right" readingOrder="0" shrinkToFit="0" vertical="bottom" wrapText="0"/>
    </xf>
    <xf borderId="0" fillId="5" fontId="16" numFmtId="0" xfId="0" applyAlignment="1" applyFont="1">
      <alignment horizontal="left"/>
    </xf>
    <xf borderId="0" fillId="5" fontId="38" numFmtId="0" xfId="0" applyAlignment="1" applyFont="1">
      <alignment horizontal="left"/>
    </xf>
    <xf borderId="0" fillId="2" fontId="18" numFmtId="0" xfId="0" applyFont="1"/>
    <xf borderId="0" fillId="12" fontId="18" numFmtId="0" xfId="0" applyFill="1" applyFont="1"/>
    <xf borderId="0" fillId="0" fontId="39" numFmtId="0" xfId="0" applyAlignment="1" applyFont="1">
      <alignment readingOrder="0"/>
    </xf>
    <xf borderId="0" fillId="0" fontId="40" numFmtId="0" xfId="0" applyAlignment="1" applyFont="1">
      <alignment readingOrder="0"/>
    </xf>
    <xf borderId="0" fillId="12" fontId="18" numFmtId="0" xfId="0" applyAlignment="1" applyFont="1">
      <alignment readingOrder="0"/>
    </xf>
  </cellXfs>
  <cellStyles count="1">
    <cellStyle xfId="0" name="Normal" builtinId="0"/>
  </cellStyles>
  <dxfs count="4">
    <dxf>
      <font>
        <strike/>
        <color rgb="FFFF0000"/>
      </font>
      <fill>
        <patternFill patternType="none"/>
      </fill>
      <border/>
    </dxf>
    <dxf>
      <font/>
      <fill>
        <patternFill patternType="solid">
          <fgColor rgb="FFFFF2CC"/>
          <bgColor rgb="FFFFF2CC"/>
        </patternFill>
      </fill>
      <border/>
    </dxf>
    <dxf>
      <font>
        <b/>
      </font>
      <fill>
        <patternFill patternType="solid">
          <fgColor rgb="FFB7E1CD"/>
          <bgColor rgb="FFB7E1CD"/>
        </patternFill>
      </fill>
      <border/>
    </dxf>
    <dxf>
      <font>
        <color rgb="FF999999"/>
      </font>
      <fill>
        <patternFill patternType="none"/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pivotCacheDefinition" Target="pivotCache/pivotCacheDefinition1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3:N5003" sheet="21 - Pivot Table"/>
  </cacheSource>
  <cacheFields>
    <cacheField name="Region" numFmtId="0">
      <sharedItems>
        <s v="Central America and the Caribbean"/>
        <s v="Europe"/>
        <s v="Asia"/>
        <s v="Middle East and North Africa"/>
        <s v="Australia and Oceania"/>
        <s v="Sub-Saharan Africa"/>
        <s v="North America"/>
      </sharedItems>
    </cacheField>
    <cacheField name="Country" numFmtId="0">
      <sharedItems>
        <s v="Antigua and Barbuda"/>
        <s v="Panama"/>
        <s v="Czech Republic"/>
        <s v="North Korea"/>
        <s v="Sri Lanka"/>
        <s v="Morocco"/>
        <s v="Federated States of Micronesia"/>
        <s v="Bosnia and Herzegovina"/>
        <s v="Afghanistan"/>
        <s v="Ethiopia"/>
        <s v="Turkey"/>
        <s v="Oman"/>
        <s v="Malaysia"/>
        <s v="Saint Lucia"/>
        <s v="Saint Vincent and the Grenadines"/>
        <s v="Lebanon"/>
        <s v="Austria"/>
        <s v="Bulgaria"/>
        <s v="Mexico"/>
        <s v="Trinidad and Tobago"/>
        <s v="Libya"/>
        <s v="Algeria"/>
        <s v="Estonia"/>
        <s v="Tuvalu"/>
        <s v="Saudi Arabia"/>
        <s v="Cuba"/>
        <s v="Montenegro"/>
        <s v="Guatemala"/>
        <s v="Guinea"/>
        <s v="Vanuatu"/>
        <s v="United Arab Emirates"/>
        <s v="Australia"/>
        <s v="Malawi"/>
        <s v="Luxembourg"/>
        <s v="Benin"/>
        <s v="Somalia"/>
        <s v="Switzerland"/>
        <s v="Laos"/>
        <s v="Kyrgyzstan"/>
        <s v="Angola"/>
        <s v="Mauritania"/>
        <s v="Finland"/>
        <s v="Taiwan"/>
        <s v="Belgium"/>
        <s v="San Marino"/>
        <s v="Kiribati"/>
        <s v="Samoa"/>
        <s v="Central African Republic"/>
        <s v="Uzbekistan"/>
        <s v="Dominica"/>
        <s v="Qatar"/>
        <s v="South Korea"/>
        <s v="Nigeria"/>
        <s v="South Africa"/>
        <s v="Sudan"/>
        <s v="Netherlands"/>
        <s v="Solomon Islands"/>
        <s v="Iran"/>
        <s v="Equatorial Guinea"/>
        <s v="Russia"/>
        <s v="Azerbaijan"/>
        <s v="Iraq"/>
        <s v="Mauritius"/>
        <s v="Eritrea"/>
        <s v="Ukraine"/>
        <s v="Myanmar"/>
        <s v="Latvia"/>
        <s v="Serbia"/>
        <s v="Mongolia"/>
        <s v="Grenada"/>
        <s v="Namibia"/>
        <s v="Portugal"/>
        <s v="Barbados"/>
        <s v="Poland"/>
        <s v="Senegal"/>
        <s v="Burundi"/>
        <s v="Haiti"/>
        <s v="Liechtenstein"/>
        <s v="Zambia"/>
        <s v="United Kingdom"/>
        <s v="Slovenia"/>
        <s v="Malta"/>
        <s v="Bhutan"/>
        <s v="Singapore"/>
        <s v="Cameroon"/>
        <s v="Cyprus"/>
        <s v="Monaco"/>
        <s v="Gabon"/>
        <s v="Djibouti"/>
        <s v="Norway"/>
        <s v="Thailand"/>
        <s v="Uganda"/>
        <s v="The Gambia"/>
        <s v="Armenia"/>
        <s v="Jordan"/>
        <s v="Tonga"/>
        <s v="Mali"/>
        <s v="Tanzania"/>
        <s v="Swaziland"/>
        <s v="Denmark"/>
        <s v="Seychelles"/>
        <s v="Madagascar"/>
        <s v="China"/>
        <s v="United States of America"/>
        <s v="Philippines"/>
        <s v="South Sudan"/>
        <s v="Kuwait"/>
        <s v="Turkmenistan"/>
        <s v="Kosovo"/>
        <s v="Hungary"/>
        <s v="Pakistan"/>
        <s v="Mozambique"/>
        <s v="Kazakhstan"/>
        <s v="Nicaragua"/>
        <s v="Chad"/>
        <s v="East Timor"/>
        <s v="Lithuania"/>
        <s v="Liberia"/>
        <s v="Saint Kitts and Nevis"/>
        <s v="Jamaica"/>
        <s v="Albania"/>
        <s v="Japan"/>
        <s v="The Bahamas"/>
        <s v="Moldova"/>
        <s v="Egypt"/>
        <s v="India"/>
        <s v="Democratic Republic of the Congo"/>
        <s v="Republic of the Congo"/>
        <s v="Comoros"/>
        <s v="France"/>
        <s v="Rwanda"/>
        <s v="Cote d'Ivoire"/>
        <s v="Spain"/>
        <s v="Israel"/>
        <s v="Costa Rica"/>
        <s v="Honduras"/>
        <s v="Sweden"/>
        <s v="Indonesia"/>
        <s v="Yemen"/>
        <s v="Macedonia"/>
        <s v="Greece"/>
        <s v="Cambodia"/>
        <s v="Italy"/>
        <s v="New Zealand"/>
        <s v="Tajikistan"/>
        <s v="Botswana"/>
        <s v="Dominican Republic"/>
        <s v="Vietnam"/>
        <s v="Germany"/>
        <s v="Togo"/>
        <s v="Kenya"/>
        <s v="Tunisia"/>
        <s v="Andorra"/>
        <s v="Iceland"/>
        <s v="Sao Tome and Principe"/>
        <s v="Brunei"/>
        <s v="Nauru"/>
        <s v="Croatia"/>
        <s v="Marshall Islands"/>
        <s v="Slovakia"/>
        <s v="Papua New Guinea"/>
        <s v="Ghana"/>
        <s v="Niger"/>
        <s v="Bahrain"/>
        <s v="Nepal"/>
        <s v="Maldives"/>
        <s v="Guinea-Bissau"/>
        <s v="Vatican City"/>
        <s v="Belarus"/>
        <s v="Ireland"/>
        <s v="Bangladesh"/>
        <s v="Greenland"/>
        <s v="El Salvador"/>
        <s v="Palau"/>
        <s v="Sierra Leone"/>
        <s v="Lesotho"/>
        <s v="Fiji"/>
        <s v="Zimbabwe"/>
        <s v="Romania"/>
        <s v="Georgia"/>
        <s v="Canada"/>
        <s v="Belize"/>
        <s v="Cape Verde"/>
        <s v="Burkina Faso"/>
        <s v="Syria"/>
      </sharedItems>
    </cacheField>
    <cacheField name="Item Type" numFmtId="0">
      <sharedItems>
        <s v="Baby Food"/>
        <s v="Snacks"/>
        <s v="Beverages"/>
        <s v="Cereal"/>
        <s v="Personal Care"/>
        <s v="Clothes"/>
        <s v="Office Supplies"/>
        <s v="Cosmetics"/>
        <s v="Meat"/>
        <s v="Fruits"/>
        <s v="Vegetables"/>
        <s v="Household"/>
      </sharedItems>
    </cacheField>
    <cacheField name="Sales Channel" numFmtId="0">
      <sharedItems>
        <s v="Online"/>
        <s v="Offline"/>
      </sharedItems>
    </cacheField>
    <cacheField name="Order Priority" numFmtId="0">
      <sharedItems>
        <s v="M"/>
        <s v="C"/>
        <s v="L"/>
        <s v="H"/>
      </sharedItems>
    </cacheField>
    <cacheField name="Order Date" numFmtId="167">
      <sharedItems containsSemiMixedTypes="0" containsDate="1" containsString="0">
        <d v="2013-12-20T00:00:00Z"/>
        <d v="2010-07-05T00:00:00Z"/>
        <d v="2011-09-12T00:00:00Z"/>
        <d v="2010-05-13T00:00:00Z"/>
        <d v="2015-07-20T00:00:00Z"/>
        <d v="2010-11-08T00:00:00Z"/>
        <d v="2011-03-28T00:00:00Z"/>
        <d v="2013-10-14T00:00:00Z"/>
        <d v="2016-08-27T00:00:00Z"/>
        <d v="2015-04-13T00:00:00Z"/>
        <d v="2013-09-25T00:00:00Z"/>
        <d v="2013-05-12T00:00:00Z"/>
        <d v="2016-07-31T00:00:00Z"/>
        <d v="2015-07-06T00:00:00Z"/>
        <d v="2010-11-28T00:00:00Z"/>
        <d v="2015-12-17T00:00:00Z"/>
        <d v="2014-08-13T00:00:00Z"/>
        <d v="2010-10-31T00:00:00Z"/>
        <d v="2017-03-13T00:00:00Z"/>
        <d v="2013-04-16T00:00:00Z"/>
        <d v="2010-01-18T00:00:00Z"/>
        <d v="2015-09-05T00:00:00Z"/>
        <d v="2016-09-28T00:00:00Z"/>
        <d v="2012-03-22T00:00:00Z"/>
        <d v="2017-04-25T00:00:00Z"/>
        <d v="2014-03-13T00:00:00Z"/>
        <d v="2016-05-29T00:00:00Z"/>
        <d v="2012-01-17T00:00:00Z"/>
        <d v="2012-12-27T00:00:00Z"/>
        <d v="2013-04-01T00:00:00Z"/>
        <d v="2015-06-26T00:00:00Z"/>
        <d v="2011-07-03T00:00:00Z"/>
        <d v="2012-02-17T00:00:00Z"/>
        <d v="2013-04-05T00:00:00Z"/>
        <d v="2011-07-08T00:00:00Z"/>
        <d v="2012-02-24T00:00:00Z"/>
        <d v="2010-02-13T00:00:00Z"/>
        <d v="2016-08-07T00:00:00Z"/>
        <d v="2017-04-26T00:00:00Z"/>
        <d v="2014-03-21T00:00:00Z"/>
        <d v="2014-02-02T00:00:00Z"/>
        <d v="2017-03-21T00:00:00Z"/>
        <d v="2013-08-06T00:00:00Z"/>
        <d v="2016-12-30T00:00:00Z"/>
        <d v="2015-10-03T00:00:00Z"/>
        <d v="2014-05-30T00:00:00Z"/>
        <d v="2014-10-15T00:00:00Z"/>
        <d v="2012-03-16T00:00:00Z"/>
        <d v="2014-05-27T00:00:00Z"/>
        <d v="2015-01-12T00:00:00Z"/>
        <d v="2012-08-10T00:00:00Z"/>
        <d v="2014-04-13T00:00:00Z"/>
        <d v="2016-11-23T00:00:00Z"/>
        <d v="2010-10-22T00:00:00Z"/>
        <d v="2013-12-03T00:00:00Z"/>
        <d v="2014-12-08T00:00:00Z"/>
        <d v="2014-12-16T00:00:00Z"/>
        <d v="2016-03-02T00:00:00Z"/>
        <d v="2010-06-12T00:00:00Z"/>
        <d v="2013-06-18T00:00:00Z"/>
        <d v="2015-06-12T00:00:00Z"/>
        <d v="2015-04-04T00:00:00Z"/>
        <d v="2016-08-12T00:00:00Z"/>
        <d v="2016-09-22T00:00:00Z"/>
        <d v="2010-01-29T00:00:00Z"/>
        <d v="2014-12-10T00:00:00Z"/>
        <d v="2016-07-28T00:00:00Z"/>
        <d v="2016-06-10T00:00:00Z"/>
        <d v="2014-07-05T00:00:00Z"/>
        <d v="2017-03-08T00:00:00Z"/>
        <d v="2011-11-24T00:00:00Z"/>
        <d v="2016-10-20T00:00:00Z"/>
        <d v="2010-03-01T00:00:00Z"/>
        <d v="2017-07-13T00:00:00Z"/>
        <d v="2012-04-29T00:00:00Z"/>
        <d v="2010-06-16T00:00:00Z"/>
        <d v="2017-07-10T00:00:00Z"/>
        <d v="2017-06-28T00:00:00Z"/>
        <d v="2014-04-21T00:00:00Z"/>
        <d v="2012-12-26T00:00:00Z"/>
        <d v="2015-11-01T00:00:00Z"/>
        <d v="2011-01-22T00:00:00Z"/>
        <d v="2014-06-13T00:00:00Z"/>
        <d v="2012-07-24T00:00:00Z"/>
        <d v="2011-12-15T00:00:00Z"/>
        <d v="2012-09-03T00:00:00Z"/>
        <d v="2012-01-19T00:00:00Z"/>
        <d v="2016-01-17T00:00:00Z"/>
        <d v="2012-10-02T00:00:00Z"/>
        <d v="2014-01-21T00:00:00Z"/>
        <d v="2013-12-21T00:00:00Z"/>
        <d v="2015-02-24T00:00:00Z"/>
        <d v="2017-07-07T00:00:00Z"/>
        <d v="2014-06-30T00:00:00Z"/>
        <d v="2011-12-07T00:00:00Z"/>
        <d v="2016-09-27T00:00:00Z"/>
        <d v="2010-05-22T00:00:00Z"/>
        <d v="2013-04-12T00:00:00Z"/>
        <d v="2012-10-17T00:00:00Z"/>
        <d v="2012-07-15T00:00:00Z"/>
        <d v="2013-05-19T00:00:00Z"/>
        <d v="2017-04-08T00:00:00Z"/>
        <d v="2015-11-06T00:00:00Z"/>
        <d v="2016-12-21T00:00:00Z"/>
        <d v="2010-08-21T00:00:00Z"/>
        <d v="2010-08-12T00:00:00Z"/>
        <d v="2012-10-22T00:00:00Z"/>
        <d v="2014-03-11T00:00:00Z"/>
        <d v="2016-08-03T00:00:00Z"/>
        <d v="2015-04-26T00:00:00Z"/>
        <d v="2010-07-16T00:00:00Z"/>
        <d v="2015-05-22T00:00:00Z"/>
        <d v="2015-07-12T00:00:00Z"/>
        <d v="2015-11-27T00:00:00Z"/>
        <d v="2014-06-08T00:00:00Z"/>
        <d v="2013-11-21T00:00:00Z"/>
        <d v="2010-07-14T00:00:00Z"/>
        <d v="2013-01-17T00:00:00Z"/>
        <d v="2016-01-15T00:00:00Z"/>
        <d v="2011-05-23T00:00:00Z"/>
        <d v="2014-10-08T00:00:00Z"/>
        <d v="2016-05-27T00:00:00Z"/>
        <d v="2015-02-27T00:00:00Z"/>
        <d v="2014-10-01T00:00:00Z"/>
        <d v="2012-05-19T00:00:00Z"/>
        <d v="2011-02-01T00:00:00Z"/>
        <d v="2015-09-07T00:00:00Z"/>
        <d v="2010-03-27T00:00:00Z"/>
        <d v="2016-03-15T00:00:00Z"/>
        <d v="2010-09-07T00:00:00Z"/>
        <d v="2013-06-26T00:00:00Z"/>
        <d v="2015-03-09T00:00:00Z"/>
        <d v="2011-03-23T00:00:00Z"/>
        <d v="2013-03-29T00:00:00Z"/>
        <d v="2015-01-05T00:00:00Z"/>
        <d v="2011-05-21T00:00:00Z"/>
        <d v="2017-03-11T00:00:00Z"/>
        <d v="2010-06-23T00:00:00Z"/>
        <d v="2011-12-28T00:00:00Z"/>
        <d v="2013-04-06T00:00:00Z"/>
        <d v="2010-09-05T00:00:00Z"/>
        <d v="2016-10-27T00:00:00Z"/>
        <d v="2011-04-11T00:00:00Z"/>
        <d v="2012-07-17T00:00:00Z"/>
        <d v="2013-09-09T00:00:00Z"/>
        <d v="2016-06-05T00:00:00Z"/>
        <d v="2012-02-28T00:00:00Z"/>
        <d v="2016-01-31T00:00:00Z"/>
        <d v="2010-05-18T00:00:00Z"/>
        <d v="2016-02-25T00:00:00Z"/>
        <d v="2013-12-07T00:00:00Z"/>
        <d v="2015-08-08T00:00:00Z"/>
        <d v="2015-03-03T00:00:00Z"/>
        <d v="2015-04-15T00:00:00Z"/>
        <d v="2015-11-20T00:00:00Z"/>
        <d v="2012-03-18T00:00:00Z"/>
        <d v="2013-02-14T00:00:00Z"/>
        <d v="2017-04-23T00:00:00Z"/>
        <d v="2014-11-18T00:00:00Z"/>
        <d v="2015-12-11T00:00:00Z"/>
        <d v="2016-07-09T00:00:00Z"/>
        <d v="2013-03-22T00:00:00Z"/>
        <d v="2010-07-04T00:00:00Z"/>
        <d v="2017-03-14T00:00:00Z"/>
        <d v="2015-09-21T00:00:00Z"/>
        <d v="2012-04-10T00:00:00Z"/>
        <d v="2010-05-02T00:00:00Z"/>
        <d v="2011-04-18T00:00:00Z"/>
        <d v="2011-05-01T00:00:00Z"/>
        <d v="2014-09-21T00:00:00Z"/>
        <d v="2015-02-17T00:00:00Z"/>
        <d v="2011-01-25T00:00:00Z"/>
        <d v="2017-04-01T00:00:00Z"/>
        <d v="2015-05-21T00:00:00Z"/>
        <d v="2010-12-18T00:00:00Z"/>
        <d v="2014-05-02T00:00:00Z"/>
        <d v="2014-03-06T00:00:00Z"/>
        <d v="2011-08-11T00:00:00Z"/>
        <d v="2016-05-20T00:00:00Z"/>
        <d v="2016-07-20T00:00:00Z"/>
        <d v="2010-04-07T00:00:00Z"/>
        <d v="2015-07-14T00:00:00Z"/>
        <d v="2013-05-10T00:00:00Z"/>
        <d v="2016-02-01T00:00:00Z"/>
        <d v="2010-08-20T00:00:00Z"/>
        <d v="2015-04-12T00:00:00Z"/>
        <d v="2015-04-08T00:00:00Z"/>
        <d v="2012-01-27T00:00:00Z"/>
        <d v="2012-01-06T00:00:00Z"/>
        <d v="2014-11-26T00:00:00Z"/>
        <d v="2010-04-04T00:00:00Z"/>
        <d v="2011-05-17T00:00:00Z"/>
        <d v="2013-09-14T00:00:00Z"/>
        <d v="2012-10-05T00:00:00Z"/>
        <d v="2013-04-13T00:00:00Z"/>
        <d v="2014-12-15T00:00:00Z"/>
        <d v="2010-12-20T00:00:00Z"/>
        <d v="2014-07-02T00:00:00Z"/>
        <d v="2017-01-31T00:00:00Z"/>
        <d v="2015-02-05T00:00:00Z"/>
        <d v="2013-07-23T00:00:00Z"/>
        <d v="2014-10-06T00:00:00Z"/>
        <d v="2013-05-29T00:00:00Z"/>
        <d v="2013-03-11T00:00:00Z"/>
        <d v="2012-11-01T00:00:00Z"/>
        <d v="2012-05-22T00:00:00Z"/>
        <d v="2016-09-30T00:00:00Z"/>
        <d v="2016-09-25T00:00:00Z"/>
        <d v="2015-08-03T00:00:00Z"/>
        <d v="2010-01-16T00:00:00Z"/>
        <d v="2016-11-01T00:00:00Z"/>
        <d v="2015-11-25T00:00:00Z"/>
        <d v="2014-09-24T00:00:00Z"/>
        <d v="2014-04-30T00:00:00Z"/>
        <d v="2012-12-18T00:00:00Z"/>
        <d v="2017-07-20T00:00:00Z"/>
        <d v="2017-02-16T00:00:00Z"/>
        <d v="2016-12-15T00:00:00Z"/>
        <d v="2013-05-28T00:00:00Z"/>
        <d v="2013-03-17T00:00:00Z"/>
        <d v="2010-04-30T00:00:00Z"/>
        <d v="2013-09-16T00:00:00Z"/>
        <d v="2015-11-28T00:00:00Z"/>
        <d v="2015-03-07T00:00:00Z"/>
        <d v="2014-01-15T00:00:00Z"/>
        <d v="2011-10-22T00:00:00Z"/>
        <d v="2012-02-08T00:00:00Z"/>
        <d v="2014-10-16T00:00:00Z"/>
        <d v="2011-11-14T00:00:00Z"/>
        <d v="2015-05-03T00:00:00Z"/>
        <d v="2015-07-16T00:00:00Z"/>
        <d v="2015-04-01T00:00:00Z"/>
        <d v="2010-09-20T00:00:00Z"/>
        <d v="2010-08-24T00:00:00Z"/>
        <d v="2017-03-15T00:00:00Z"/>
        <d v="2014-09-12T00:00:00Z"/>
        <d v="2011-03-25T00:00:00Z"/>
        <d v="2012-03-03T00:00:00Z"/>
        <d v="2016-05-19T00:00:00Z"/>
        <d v="2012-06-08T00:00:00Z"/>
        <d v="2012-09-08T00:00:00Z"/>
        <d v="2011-08-16T00:00:00Z"/>
        <d v="2012-05-14T00:00:00Z"/>
        <d v="2015-04-28T00:00:00Z"/>
        <d v="2014-05-21T00:00:00Z"/>
        <d v="2015-11-15T00:00:00Z"/>
        <d v="2012-01-10T00:00:00Z"/>
        <d v="2015-01-28T00:00:00Z"/>
        <d v="2015-08-11T00:00:00Z"/>
        <d v="2016-08-19T00:00:00Z"/>
        <d v="2014-08-22T00:00:00Z"/>
        <d v="2010-12-26T00:00:00Z"/>
        <d v="2015-08-27T00:00:00Z"/>
        <d v="2011-12-08T00:00:00Z"/>
        <d v="2017-06-27T00:00:00Z"/>
        <d v="2013-10-21T00:00:00Z"/>
        <d v="2012-06-01T00:00:00Z"/>
        <d v="2010-10-08T00:00:00Z"/>
        <d v="2011-02-25T00:00:00Z"/>
        <d v="2016-12-05T00:00:00Z"/>
        <d v="2010-06-07T00:00:00Z"/>
        <d v="2013-12-27T00:00:00Z"/>
        <d v="2016-01-08T00:00:00Z"/>
        <d v="2010-03-20T00:00:00Z"/>
        <d v="2010-02-21T00:00:00Z"/>
        <d v="2012-07-14T00:00:00Z"/>
        <d v="2011-05-29T00:00:00Z"/>
        <d v="2016-12-25T00:00:00Z"/>
        <d v="2014-01-17T00:00:00Z"/>
        <d v="2011-03-02T00:00:00Z"/>
        <d v="2014-03-10T00:00:00Z"/>
        <d v="2014-11-17T00:00:00Z"/>
        <d v="2017-06-03T00:00:00Z"/>
        <d v="2010-10-06T00:00:00Z"/>
        <d v="2011-12-26T00:00:00Z"/>
        <d v="2014-02-12T00:00:00Z"/>
        <d v="2016-05-21T00:00:00Z"/>
        <d v="2011-07-02T00:00:00Z"/>
        <d v="2012-03-02T00:00:00Z"/>
        <d v="2017-01-06T00:00:00Z"/>
        <d v="2014-05-20T00:00:00Z"/>
        <d v="2017-04-06T00:00:00Z"/>
        <d v="2012-05-05T00:00:00Z"/>
        <d v="2016-12-07T00:00:00Z"/>
        <d v="2017-02-14T00:00:00Z"/>
        <d v="2011-06-02T00:00:00Z"/>
        <d v="2014-07-15T00:00:00Z"/>
        <d v="2015-10-06T00:00:00Z"/>
        <d v="2013-01-05T00:00:00Z"/>
        <d v="2015-04-24T00:00:00Z"/>
        <d v="2010-02-26T00:00:00Z"/>
        <d v="2010-12-02T00:00:00Z"/>
        <d v="2017-01-23T00:00:00Z"/>
        <d v="2013-12-15T00:00:00Z"/>
        <d v="2014-07-19T00:00:00Z"/>
        <d v="2010-02-17T00:00:00Z"/>
        <d v="2017-05-03T00:00:00Z"/>
        <d v="2013-01-31T00:00:00Z"/>
        <d v="2017-07-03T00:00:00Z"/>
        <d v="2015-11-08T00:00:00Z"/>
        <d v="2017-03-03T00:00:00Z"/>
        <d v="2012-08-18T00:00:00Z"/>
        <d v="2012-09-29T00:00:00Z"/>
        <d v="2012-06-22T00:00:00Z"/>
        <d v="2016-01-19T00:00:00Z"/>
        <d v="2017-04-03T00:00:00Z"/>
        <d v="2010-12-04T00:00:00Z"/>
        <d v="2011-11-27T00:00:00Z"/>
        <d v="2013-05-16T00:00:00Z"/>
        <d v="2011-01-01T00:00:00Z"/>
        <d v="2010-03-19T00:00:00Z"/>
        <d v="2016-01-09T00:00:00Z"/>
        <d v="2012-04-05T00:00:00Z"/>
        <d v="2014-04-05T00:00:00Z"/>
        <d v="2015-09-19T00:00:00Z"/>
        <d v="2015-08-12T00:00:00Z"/>
        <d v="2013-12-30T00:00:00Z"/>
        <d v="2015-10-08T00:00:00Z"/>
        <d v="2011-09-29T00:00:00Z"/>
        <d v="2012-09-28T00:00:00Z"/>
        <d v="2015-07-01T00:00:00Z"/>
        <d v="2014-01-08T00:00:00Z"/>
        <d v="2013-11-02T00:00:00Z"/>
        <d v="2016-01-20T00:00:00Z"/>
        <d v="2012-09-04T00:00:00Z"/>
        <d v="2010-08-13T00:00:00Z"/>
        <d v="2013-01-29T00:00:00Z"/>
        <d v="2016-03-01T00:00:00Z"/>
        <d v="2017-07-06T00:00:00Z"/>
        <d v="2011-06-29T00:00:00Z"/>
        <d v="2012-06-18T00:00:00Z"/>
        <d v="2013-02-22T00:00:00Z"/>
        <d v="2011-02-06T00:00:00Z"/>
        <d v="2012-07-11T00:00:00Z"/>
        <d v="2013-04-30T00:00:00Z"/>
        <d v="2010-06-26T00:00:00Z"/>
        <d v="2013-05-21T00:00:00Z"/>
        <d v="2017-05-07T00:00:00Z"/>
        <d v="2014-12-19T00:00:00Z"/>
        <d v="2015-01-16T00:00:00Z"/>
        <d v="2016-02-02T00:00:00Z"/>
        <d v="2010-02-07T00:00:00Z"/>
        <d v="2016-08-30T00:00:00Z"/>
        <d v="2010-12-03T00:00:00Z"/>
        <d v="2012-10-19T00:00:00Z"/>
        <d v="2010-02-20T00:00:00Z"/>
        <d v="2012-09-07T00:00:00Z"/>
        <d v="2017-02-26T00:00:00Z"/>
        <d v="2017-05-26T00:00:00Z"/>
        <d v="2011-12-04T00:00:00Z"/>
        <d v="2012-01-07T00:00:00Z"/>
        <d v="2014-11-20T00:00:00Z"/>
        <d v="2015-01-08T00:00:00Z"/>
        <d v="2015-07-18T00:00:00Z"/>
        <d v="2016-11-08T00:00:00Z"/>
        <d v="2012-11-08T00:00:00Z"/>
        <d v="2017-06-08T00:00:00Z"/>
        <d v="2015-04-05T00:00:00Z"/>
        <d v="2010-12-27T00:00:00Z"/>
        <d v="2010-05-10T00:00:00Z"/>
        <d v="2016-05-11T00:00:00Z"/>
        <d v="2010-05-12T00:00:00Z"/>
        <d v="2016-06-03T00:00:00Z"/>
        <d v="2014-03-30T00:00:00Z"/>
        <d v="2017-04-21T00:00:00Z"/>
        <d v="2016-03-29T00:00:00Z"/>
        <d v="2014-03-07T00:00:00Z"/>
        <d v="2012-12-02T00:00:00Z"/>
        <d v="2015-08-22T00:00:00Z"/>
        <d v="2015-05-25T00:00:00Z"/>
        <d v="2013-11-26T00:00:00Z"/>
        <d v="2010-02-19T00:00:00Z"/>
        <d v="2011-09-22T00:00:00Z"/>
        <d v="2015-12-27T00:00:00Z"/>
        <d v="2013-09-29T00:00:00Z"/>
        <d v="2015-10-26T00:00:00Z"/>
        <d v="2011-05-12T00:00:00Z"/>
        <d v="2017-02-09T00:00:00Z"/>
        <d v="2012-12-31T00:00:00Z"/>
        <d v="2014-02-06T00:00:00Z"/>
        <d v="2010-06-27T00:00:00Z"/>
        <d v="2010-12-14T00:00:00Z"/>
        <d v="2011-11-09T00:00:00Z"/>
        <d v="2010-11-16T00:00:00Z"/>
        <d v="2010-07-20T00:00:00Z"/>
        <d v="2014-06-21T00:00:00Z"/>
        <d v="2016-11-28T00:00:00Z"/>
        <d v="2016-01-30T00:00:00Z"/>
        <d v="2012-10-01T00:00:00Z"/>
        <d v="2012-08-19T00:00:00Z"/>
        <d v="2017-07-21T00:00:00Z"/>
        <d v="2015-04-03T00:00:00Z"/>
        <d v="2013-06-20T00:00:00Z"/>
        <d v="2013-06-08T00:00:00Z"/>
        <d v="2013-08-29T00:00:00Z"/>
        <d v="2013-09-19T00:00:00Z"/>
        <d v="2010-06-18T00:00:00Z"/>
        <d v="2016-12-16T00:00:00Z"/>
        <d v="2013-04-04T00:00:00Z"/>
        <d v="2010-08-05T00:00:00Z"/>
        <d v="2014-12-04T00:00:00Z"/>
        <d v="2015-08-21T00:00:00Z"/>
        <d v="2013-04-03T00:00:00Z"/>
        <d v="2013-02-25T00:00:00Z"/>
        <d v="2012-07-08T00:00:00Z"/>
        <d v="2012-11-28T00:00:00Z"/>
        <d v="2017-06-06T00:00:00Z"/>
        <d v="2014-01-20T00:00:00Z"/>
        <d v="2010-10-05T00:00:00Z"/>
        <d v="2015-02-21T00:00:00Z"/>
        <d v="2013-10-19T00:00:00Z"/>
        <d v="2017-03-24T00:00:00Z"/>
        <d v="2016-01-04T00:00:00Z"/>
        <d v="2013-02-23T00:00:00Z"/>
        <d v="2012-09-19T00:00:00Z"/>
        <d v="2016-01-25T00:00:00Z"/>
        <d v="2010-09-29T00:00:00Z"/>
        <d v="2010-02-06T00:00:00Z"/>
        <d v="2014-02-19T00:00:00Z"/>
        <d v="2010-09-24T00:00:00Z"/>
        <d v="2011-12-01T00:00:00Z"/>
        <d v="2017-01-02T00:00:00Z"/>
        <d v="2012-09-16T00:00:00Z"/>
        <d v="2017-06-30T00:00:00Z"/>
        <d v="2016-09-05T00:00:00Z"/>
        <d v="2016-03-21T00:00:00Z"/>
        <d v="2011-10-16T00:00:00Z"/>
        <d v="2015-04-09T00:00:00Z"/>
        <d v="2013-02-05T00:00:00Z"/>
        <d v="2015-07-03T00:00:00Z"/>
        <d v="2014-11-02T00:00:00Z"/>
        <d v="2012-02-06T00:00:00Z"/>
        <d v="2013-02-17T00:00:00Z"/>
        <d v="2017-04-10T00:00:00Z"/>
        <d v="2013-07-27T00:00:00Z"/>
        <d v="2014-11-05T00:00:00Z"/>
        <d v="2016-01-24T00:00:00Z"/>
        <d v="2013-03-31T00:00:00Z"/>
        <d v="2015-03-25T00:00:00Z"/>
        <d v="2013-08-12T00:00:00Z"/>
        <d v="2010-04-15T00:00:00Z"/>
        <d v="2010-05-21T00:00:00Z"/>
        <d v="2012-08-23T00:00:00Z"/>
        <d v="2014-08-16T00:00:00Z"/>
        <d v="2013-08-18T00:00:00Z"/>
        <d v="2012-06-12T00:00:00Z"/>
        <d v="2012-04-20T00:00:00Z"/>
        <d v="2011-09-15T00:00:00Z"/>
        <d v="2010-03-26T00:00:00Z"/>
        <d v="2012-04-23T00:00:00Z"/>
        <d v="2015-11-09T00:00:00Z"/>
        <d v="2016-10-10T00:00:00Z"/>
        <d v="2011-07-11T00:00:00Z"/>
        <d v="2010-01-23T00:00:00Z"/>
        <d v="2011-11-06T00:00:00Z"/>
        <d v="2017-05-27T00:00:00Z"/>
        <d v="2016-12-13T00:00:00Z"/>
        <d v="2013-06-28T00:00:00Z"/>
        <d v="2012-09-26T00:00:00Z"/>
        <d v="2013-01-14T00:00:00Z"/>
        <d v="2013-04-26T00:00:00Z"/>
        <d v="2012-10-24T00:00:00Z"/>
        <d v="2016-05-14T00:00:00Z"/>
        <d v="2014-07-25T00:00:00Z"/>
        <d v="2010-05-30T00:00:00Z"/>
        <d v="2015-07-19T00:00:00Z"/>
        <d v="2016-03-07T00:00:00Z"/>
        <d v="2014-09-23T00:00:00Z"/>
        <d v="2012-12-16T00:00:00Z"/>
        <d v="2011-06-11T00:00:00Z"/>
        <d v="2012-12-30T00:00:00Z"/>
        <d v="2014-01-02T00:00:00Z"/>
        <d v="2011-11-29T00:00:00Z"/>
        <d v="2016-08-01T00:00:00Z"/>
        <d v="2016-03-28T00:00:00Z"/>
        <d v="2011-09-11T00:00:00Z"/>
        <d v="2015-10-02T00:00:00Z"/>
        <d v="2016-03-03T00:00:00Z"/>
        <d v="2010-04-10T00:00:00Z"/>
        <d v="2011-08-06T00:00:00Z"/>
        <d v="2015-10-24T00:00:00Z"/>
        <d v="2012-01-30T00:00:00Z"/>
        <d v="2017-02-18T00:00:00Z"/>
        <d v="2016-01-18T00:00:00Z"/>
        <d v="2016-04-01T00:00:00Z"/>
        <d v="2016-06-29T00:00:00Z"/>
        <d v="2011-09-18T00:00:00Z"/>
        <d v="2014-06-24T00:00:00Z"/>
        <d v="2012-06-30T00:00:00Z"/>
        <d v="2014-03-22T00:00:00Z"/>
        <d v="2014-01-07T00:00:00Z"/>
        <d v="2011-02-10T00:00:00Z"/>
        <d v="2013-05-09T00:00:00Z"/>
        <d v="2010-09-26T00:00:00Z"/>
        <d v="2017-01-13T00:00:00Z"/>
        <d v="2013-01-04T00:00:00Z"/>
        <d v="2010-10-12T00:00:00Z"/>
        <d v="2012-03-01T00:00:00Z"/>
        <d v="2012-06-25T00:00:00Z"/>
        <d v="2011-08-22T00:00:00Z"/>
        <d v="2010-03-23T00:00:00Z"/>
        <d v="2014-10-17T00:00:00Z"/>
        <d v="2014-08-18T00:00:00Z"/>
        <d v="2015-03-23T00:00:00Z"/>
        <d v="2011-10-10T00:00:00Z"/>
        <d v="2015-09-08T00:00:00Z"/>
        <d v="2012-12-04T00:00:00Z"/>
        <d v="2016-02-08T00:00:00Z"/>
        <d v="2013-08-26T00:00:00Z"/>
        <d v="2012-07-29T00:00:00Z"/>
        <d v="2014-12-09T00:00:00Z"/>
        <d v="2010-05-17T00:00:00Z"/>
        <d v="2016-02-04T00:00:00Z"/>
        <d v="2015-02-18T00:00:00Z"/>
        <d v="2011-12-21T00:00:00Z"/>
        <d v="2012-04-19T00:00:00Z"/>
        <d v="2015-12-25T00:00:00Z"/>
        <d v="2013-08-05T00:00:00Z"/>
        <d v="2011-04-12T00:00:00Z"/>
        <d v="2016-10-08T00:00:00Z"/>
        <d v="2011-11-22T00:00:00Z"/>
        <d v="2011-06-25T00:00:00Z"/>
        <d v="2016-04-16T00:00:00Z"/>
        <d v="2016-10-17T00:00:00Z"/>
        <d v="2012-02-01T00:00:00Z"/>
        <d v="2013-09-10T00:00:00Z"/>
        <d v="2011-06-27T00:00:00Z"/>
        <d v="2015-05-04T00:00:00Z"/>
        <d v="2014-01-27T00:00:00Z"/>
        <d v="2011-04-20T00:00:00Z"/>
        <d v="2015-01-07T00:00:00Z"/>
        <d v="2012-09-24T00:00:00Z"/>
        <d v="2016-12-08T00:00:00Z"/>
        <d v="2014-01-26T00:00:00Z"/>
        <d v="2014-05-11T00:00:00Z"/>
        <d v="2010-02-27T00:00:00Z"/>
        <d v="2010-01-14T00:00:00Z"/>
        <d v="2012-04-08T00:00:00Z"/>
        <d v="2016-03-09T00:00:00Z"/>
        <d v="2010-11-04T00:00:00Z"/>
        <d v="2016-08-18T00:00:00Z"/>
        <d v="2013-05-14T00:00:00Z"/>
        <d v="2012-03-21T00:00:00Z"/>
        <d v="2013-04-14T00:00:00Z"/>
        <d v="2016-11-22T00:00:00Z"/>
        <d v="2011-07-25T00:00:00Z"/>
        <d v="2014-06-09T00:00:00Z"/>
        <d v="2013-11-07T00:00:00Z"/>
        <d v="2014-05-08T00:00:00Z"/>
        <d v="2010-03-07T00:00:00Z"/>
        <d v="2011-10-27T00:00:00Z"/>
        <d v="2011-06-15T00:00:00Z"/>
        <d v="2016-10-14T00:00:00Z"/>
        <d v="2012-04-02T00:00:00Z"/>
        <d v="2015-01-24T00:00:00Z"/>
        <d v="2015-01-25T00:00:00Z"/>
        <d v="2014-10-20T00:00:00Z"/>
        <d v="2016-11-26T00:00:00Z"/>
        <d v="2011-12-20T00:00:00Z"/>
        <d v="2010-10-28T00:00:00Z"/>
        <d v="2016-04-06T00:00:00Z"/>
        <d v="2016-11-09T00:00:00Z"/>
        <d v="2017-05-23T00:00:00Z"/>
        <d v="2012-05-07T00:00:00Z"/>
        <d v="2012-06-04T00:00:00Z"/>
        <d v="2015-06-24T00:00:00Z"/>
        <d v="2011-02-04T00:00:00Z"/>
        <d v="2013-02-04T00:00:00Z"/>
        <d v="2013-12-04T00:00:00Z"/>
        <d v="2015-01-20T00:00:00Z"/>
        <d v="2010-04-05T00:00:00Z"/>
        <d v="2017-02-06T00:00:00Z"/>
        <d v="2012-07-22T00:00:00Z"/>
        <d v="2015-01-17T00:00:00Z"/>
        <d v="2011-08-24T00:00:00Z"/>
        <d v="2011-07-15T00:00:00Z"/>
        <d v="2014-07-27T00:00:00Z"/>
        <d v="2011-02-28T00:00:00Z"/>
        <d v="2011-05-18T00:00:00Z"/>
        <d v="2015-09-09T00:00:00Z"/>
        <d v="2014-01-09T00:00:00Z"/>
        <d v="2011-05-04T00:00:00Z"/>
        <d v="2010-02-15T00:00:00Z"/>
        <d v="2014-09-10T00:00:00Z"/>
        <d v="2010-09-17T00:00:00Z"/>
        <d v="2012-04-25T00:00:00Z"/>
        <d v="2017-04-16T00:00:00Z"/>
        <d v="2016-05-01T00:00:00Z"/>
        <d v="2016-05-10T00:00:00Z"/>
        <d v="2013-12-22T00:00:00Z"/>
        <d v="2014-06-12T00:00:00Z"/>
        <d v="2012-09-22T00:00:00Z"/>
        <d v="2014-05-24T00:00:00Z"/>
        <d v="2013-01-09T00:00:00Z"/>
        <d v="2015-02-06T00:00:00Z"/>
        <d v="2013-05-02T00:00:00Z"/>
        <d v="2012-11-11T00:00:00Z"/>
        <d v="2012-04-24T00:00:00Z"/>
        <d v="2015-03-02T00:00:00Z"/>
        <d v="2010-10-26T00:00:00Z"/>
        <d v="2011-08-09T00:00:00Z"/>
        <d v="2012-03-20T00:00:00Z"/>
        <d v="2011-09-27T00:00:00Z"/>
        <d v="2016-04-02T00:00:00Z"/>
        <d v="2010-03-10T00:00:00Z"/>
        <d v="2013-02-11T00:00:00Z"/>
        <d v="2015-05-20T00:00:00Z"/>
        <d v="2012-03-07T00:00:00Z"/>
        <d v="2017-02-24T00:00:00Z"/>
        <d v="2010-11-23T00:00:00Z"/>
        <d v="2017-07-14T00:00:00Z"/>
        <d v="2016-01-16T00:00:00Z"/>
        <d v="2012-11-06T00:00:00Z"/>
        <d v="2011-09-05T00:00:00Z"/>
        <d v="2017-04-22T00:00:00Z"/>
        <d v="2016-08-25T00:00:00Z"/>
        <d v="2012-10-30T00:00:00Z"/>
        <d v="2013-10-29T00:00:00Z"/>
        <d v="2013-07-13T00:00:00Z"/>
        <d v="2010-09-10T00:00:00Z"/>
        <d v="2012-09-10T00:00:00Z"/>
        <d v="2016-08-16T00:00:00Z"/>
        <d v="2013-01-26T00:00:00Z"/>
        <d v="2012-08-09T00:00:00Z"/>
        <d v="2011-09-25T00:00:00Z"/>
        <d v="2011-10-18T00:00:00Z"/>
        <d v="2015-03-20T00:00:00Z"/>
        <d v="2014-02-08T00:00:00Z"/>
        <d v="2016-10-21T00:00:00Z"/>
        <d v="2013-10-09T00:00:00Z"/>
        <d v="2011-09-06T00:00:00Z"/>
        <d v="2014-06-27T00:00:00Z"/>
        <d v="2012-01-22T00:00:00Z"/>
        <d v="2014-04-09T00:00:00Z"/>
        <d v="2013-01-12T00:00:00Z"/>
        <d v="2011-12-06T00:00:00Z"/>
        <d v="2012-07-31T00:00:00Z"/>
        <d v="2016-08-10T00:00:00Z"/>
        <d v="2015-09-16T00:00:00Z"/>
        <d v="2015-07-26T00:00:00Z"/>
        <d v="2012-12-03T00:00:00Z"/>
        <d v="2015-02-09T00:00:00Z"/>
        <d v="2014-12-12T00:00:00Z"/>
        <d v="2017-06-11T00:00:00Z"/>
        <d v="2013-04-19T00:00:00Z"/>
        <d v="2010-01-03T00:00:00Z"/>
        <d v="2012-09-25T00:00:00Z"/>
        <d v="2013-02-01T00:00:00Z"/>
        <d v="2015-03-11T00:00:00Z"/>
        <d v="2013-03-27T00:00:00Z"/>
        <d v="2014-01-06T00:00:00Z"/>
        <d v="2010-03-31T00:00:00Z"/>
        <d v="2014-08-20T00:00:00Z"/>
        <d v="2010-08-30T00:00:00Z"/>
        <d v="2016-12-14T00:00:00Z"/>
        <d v="2015-03-16T00:00:00Z"/>
        <d v="2011-11-16T00:00:00Z"/>
        <d v="2012-07-01T00:00:00Z"/>
        <d v="2016-03-10T00:00:00Z"/>
        <d v="2016-11-18T00:00:00Z"/>
        <d v="2012-05-26T00:00:00Z"/>
        <d v="2010-06-30T00:00:00Z"/>
        <d v="2016-07-27T00:00:00Z"/>
        <d v="2016-01-01T00:00:00Z"/>
        <d v="2014-02-28T00:00:00Z"/>
        <d v="2017-06-26T00:00:00Z"/>
        <d v="2010-02-14T00:00:00Z"/>
        <d v="2010-02-04T00:00:00Z"/>
        <d v="2013-08-08T00:00:00Z"/>
        <d v="2010-02-01T00:00:00Z"/>
        <d v="2013-07-08T00:00:00Z"/>
        <d v="2011-10-05T00:00:00Z"/>
        <d v="2016-06-15T00:00:00Z"/>
        <d v="2016-02-17T00:00:00Z"/>
        <d v="2013-12-26T00:00:00Z"/>
        <d v="2012-12-20T00:00:00Z"/>
        <d v="2012-03-09T00:00:00Z"/>
        <d v="2015-08-05T00:00:00Z"/>
        <d v="2013-01-20T00:00:00Z"/>
        <d v="2014-06-11T00:00:00Z"/>
        <d v="2017-01-03T00:00:00Z"/>
        <d v="2012-12-15T00:00:00Z"/>
        <d v="2017-07-08T00:00:00Z"/>
        <d v="2015-08-07T00:00:00Z"/>
        <d v="2012-02-05T00:00:00Z"/>
        <d v="2012-12-22T00:00:00Z"/>
        <d v="2013-11-27T00:00:00Z"/>
        <d v="2011-08-17T00:00:00Z"/>
        <d v="2015-04-17T00:00:00Z"/>
        <d v="2012-05-28T00:00:00Z"/>
        <d v="2011-07-01T00:00:00Z"/>
        <d v="2012-11-14T00:00:00Z"/>
        <d v="2014-03-26T00:00:00Z"/>
        <d v="2016-06-17T00:00:00Z"/>
        <d v="2013-12-02T00:00:00Z"/>
        <d v="2015-03-17T00:00:00Z"/>
        <d v="2016-11-17T00:00:00Z"/>
        <d v="2017-01-20T00:00:00Z"/>
        <d v="2012-08-14T00:00:00Z"/>
        <d v="2014-06-06T00:00:00Z"/>
        <d v="2013-09-24T00:00:00Z"/>
        <d v="2016-08-08T00:00:00Z"/>
        <d v="2015-01-18T00:00:00Z"/>
        <d v="2013-06-30T00:00:00Z"/>
        <d v="2017-06-07T00:00:00Z"/>
        <d v="2014-06-26T00:00:00Z"/>
        <d v="2016-01-22T00:00:00Z"/>
        <d v="2015-09-12T00:00:00Z"/>
        <d v="2015-07-29T00:00:00Z"/>
        <d v="2010-04-25T00:00:00Z"/>
        <d v="2011-07-12T00:00:00Z"/>
        <d v="2015-01-22T00:00:00Z"/>
        <d v="2014-05-31T00:00:00Z"/>
        <d v="2011-01-21T00:00:00Z"/>
        <d v="2011-04-23T00:00:00Z"/>
        <d v="2014-12-25T00:00:00Z"/>
        <d v="2011-08-05T00:00:00Z"/>
        <d v="2014-06-10T00:00:00Z"/>
        <d v="2011-05-22T00:00:00Z"/>
        <d v="2014-01-29T00:00:00Z"/>
        <d v="2016-04-15T00:00:00Z"/>
        <d v="2012-11-09T00:00:00Z"/>
        <d v="2011-08-21T00:00:00Z"/>
        <d v="2012-08-22T00:00:00Z"/>
        <d v="2013-03-03T00:00:00Z"/>
        <d v="2017-03-04T00:00:00Z"/>
        <d v="2014-07-11T00:00:00Z"/>
        <d v="2015-02-03T00:00:00Z"/>
        <d v="2014-09-01T00:00:00Z"/>
        <d v="2013-11-19T00:00:00Z"/>
        <d v="2014-06-15T00:00:00Z"/>
        <d v="2015-05-10T00:00:00Z"/>
        <d v="2016-08-21T00:00:00Z"/>
        <d v="2015-08-18T00:00:00Z"/>
        <d v="2010-09-19T00:00:00Z"/>
        <d v="2012-09-20T00:00:00Z"/>
        <d v="2010-10-20T00:00:00Z"/>
        <d v="2014-02-13T00:00:00Z"/>
        <d v="2010-03-06T00:00:00Z"/>
        <d v="2016-03-22T00:00:00Z"/>
        <d v="2012-02-16T00:00:00Z"/>
        <d v="2011-01-26T00:00:00Z"/>
        <d v="2010-09-25T00:00:00Z"/>
        <d v="2015-11-07T00:00:00Z"/>
        <d v="2010-08-18T00:00:00Z"/>
        <d v="2015-01-29T00:00:00Z"/>
        <d v="2013-04-09T00:00:00Z"/>
        <d v="2013-01-24T00:00:00Z"/>
        <d v="2016-05-08T00:00:00Z"/>
        <d v="2014-05-17T00:00:00Z"/>
        <d v="2010-08-23T00:00:00Z"/>
        <d v="2014-07-20T00:00:00Z"/>
        <d v="2016-03-31T00:00:00Z"/>
        <d v="2015-06-09T00:00:00Z"/>
        <d v="2010-08-10T00:00:00Z"/>
        <d v="2012-07-23T00:00:00Z"/>
        <d v="2013-07-21T00:00:00Z"/>
        <d v="2014-03-14T00:00:00Z"/>
        <d v="2014-05-10T00:00:00Z"/>
        <d v="2011-10-26T00:00:00Z"/>
        <d v="2013-01-10T00:00:00Z"/>
        <d v="2014-02-15T00:00:00Z"/>
        <d v="2012-04-27T00:00:00Z"/>
        <d v="2011-08-18T00:00:00Z"/>
        <d v="2010-07-12T00:00:00Z"/>
        <d v="2013-07-28T00:00:00Z"/>
        <d v="2015-11-02T00:00:00Z"/>
        <d v="2011-06-28T00:00:00Z"/>
        <d v="2012-03-04T00:00:00Z"/>
        <d v="2011-09-02T00:00:00Z"/>
        <d v="2012-10-14T00:00:00Z"/>
        <d v="2011-08-27T00:00:00Z"/>
        <d v="2016-06-19T00:00:00Z"/>
        <d v="2016-03-19T00:00:00Z"/>
        <d v="2014-04-04T00:00:00Z"/>
        <d v="2011-03-27T00:00:00Z"/>
        <d v="2016-06-04T00:00:00Z"/>
        <d v="2013-09-01T00:00:00Z"/>
        <d v="2010-07-31T00:00:00Z"/>
        <d v="2012-01-23T00:00:00Z"/>
        <d v="2016-07-03T00:00:00Z"/>
        <d v="2012-01-04T00:00:00Z"/>
        <d v="2010-06-15T00:00:00Z"/>
        <d v="2013-06-03T00:00:00Z"/>
        <d v="2015-12-30T00:00:00Z"/>
        <d v="2010-07-13T00:00:00Z"/>
        <d v="2013-03-02T00:00:00Z"/>
        <d v="2014-08-10T00:00:00Z"/>
        <d v="2014-03-09T00:00:00Z"/>
        <d v="2010-06-11T00:00:00Z"/>
        <d v="2014-11-27T00:00:00Z"/>
        <d v="2010-05-14T00:00:00Z"/>
        <d v="2012-11-05T00:00:00Z"/>
        <d v="2016-09-16T00:00:00Z"/>
        <d v="2013-08-11T00:00:00Z"/>
        <d v="2011-05-27T00:00:00Z"/>
        <d v="2015-03-21T00:00:00Z"/>
        <d v="2016-02-13T00:00:00Z"/>
        <d v="2016-07-30T00:00:00Z"/>
        <d v="2014-12-06T00:00:00Z"/>
        <d v="2011-04-10T00:00:00Z"/>
        <d v="2014-03-25T00:00:00Z"/>
        <d v="2013-10-20T00:00:00Z"/>
        <d v="2011-02-09T00:00:00Z"/>
        <d v="2011-07-07T00:00:00Z"/>
        <d v="2016-02-19T00:00:00Z"/>
        <d v="2012-01-02T00:00:00Z"/>
        <d v="2013-09-21T00:00:00Z"/>
        <d v="2014-03-29T00:00:00Z"/>
        <d v="2011-05-11T00:00:00Z"/>
        <d v="2011-07-05T00:00:00Z"/>
        <d v="2010-11-03T00:00:00Z"/>
        <d v="2014-02-17T00:00:00Z"/>
        <d v="2015-11-14T00:00:00Z"/>
        <d v="2011-08-10T00:00:00Z"/>
        <d v="2010-06-22T00:00:00Z"/>
        <d v="2013-10-26T00:00:00Z"/>
        <d v="2011-08-04T00:00:00Z"/>
        <d v="2016-01-10T00:00:00Z"/>
        <d v="2012-01-24T00:00:00Z"/>
        <d v="2012-05-24T00:00:00Z"/>
        <d v="2017-06-20T00:00:00Z"/>
        <d v="2015-12-09T00:00:00Z"/>
        <d v="2014-04-27T00:00:00Z"/>
        <d v="2011-04-19T00:00:00Z"/>
        <d v="2012-06-14T00:00:00Z"/>
        <d v="2012-07-25T00:00:00Z"/>
        <d v="2016-07-16T00:00:00Z"/>
        <d v="2015-03-12T00:00:00Z"/>
        <d v="2011-10-09T00:00:00Z"/>
        <d v="2010-07-30T00:00:00Z"/>
        <d v="2013-03-13T00:00:00Z"/>
        <d v="2014-09-18T00:00:00Z"/>
        <d v="2013-06-19T00:00:00Z"/>
        <d v="2016-09-20T00:00:00Z"/>
        <d v="2010-08-16T00:00:00Z"/>
        <d v="2012-12-06T00:00:00Z"/>
        <d v="2015-07-15T00:00:00Z"/>
        <d v="2011-03-30T00:00:00Z"/>
        <d v="2014-06-03T00:00:00Z"/>
        <d v="2010-03-17T00:00:00Z"/>
        <d v="2011-04-24T00:00:00Z"/>
        <d v="2015-06-01T00:00:00Z"/>
        <d v="2015-10-15T00:00:00Z"/>
        <d v="2013-09-23T00:00:00Z"/>
        <d v="2013-02-07T00:00:00Z"/>
        <d v="2014-07-13T00:00:00Z"/>
        <d v="2016-06-26T00:00:00Z"/>
        <d v="2010-02-16T00:00:00Z"/>
        <d v="2013-09-26T00:00:00Z"/>
        <d v="2013-04-11T00:00:00Z"/>
        <d v="2010-12-06T00:00:00Z"/>
        <d v="2013-09-20T00:00:00Z"/>
        <d v="2014-08-08T00:00:00Z"/>
        <d v="2011-05-15T00:00:00Z"/>
        <d v="2010-06-19T00:00:00Z"/>
        <d v="2016-05-31T00:00:00Z"/>
        <d v="2014-05-18T00:00:00Z"/>
        <d v="2015-01-21T00:00:00Z"/>
        <d v="2010-11-22T00:00:00Z"/>
        <d v="2015-10-13T00:00:00Z"/>
        <d v="2014-05-23T00:00:00Z"/>
        <d v="2013-02-09T00:00:00Z"/>
        <d v="2017-05-12T00:00:00Z"/>
        <d v="2011-06-06T00:00:00Z"/>
        <d v="2013-10-24T00:00:00Z"/>
        <d v="2015-01-04T00:00:00Z"/>
        <d v="2014-07-01T00:00:00Z"/>
        <d v="2011-05-19T00:00:00Z"/>
        <d v="2017-03-07T00:00:00Z"/>
        <d v="2012-04-21T00:00:00Z"/>
        <d v="2014-11-10T00:00:00Z"/>
        <d v="2014-12-05T00:00:00Z"/>
        <d v="2011-09-17T00:00:00Z"/>
        <d v="2015-01-10T00:00:00Z"/>
        <d v="2011-03-04T00:00:00Z"/>
        <d v="2013-06-12T00:00:00Z"/>
        <d v="2012-06-23T00:00:00Z"/>
        <d v="2010-02-28T00:00:00Z"/>
        <d v="2012-10-18T00:00:00Z"/>
        <d v="2012-02-26T00:00:00Z"/>
        <d v="2012-06-03T00:00:00Z"/>
        <d v="2011-04-13T00:00:00Z"/>
        <d v="2011-04-06T00:00:00Z"/>
        <d v="2015-12-20T00:00:00Z"/>
        <d v="2011-02-15T00:00:00Z"/>
        <d v="2013-10-27T00:00:00Z"/>
        <d v="2015-09-15T00:00:00Z"/>
        <d v="2017-01-22T00:00:00Z"/>
        <d v="2015-06-14T00:00:00Z"/>
        <d v="2017-01-27T00:00:00Z"/>
        <d v="2010-04-09T00:00:00Z"/>
        <d v="2014-09-22T00:00:00Z"/>
        <d v="2017-02-11T00:00:00Z"/>
        <d v="2012-10-03T00:00:00Z"/>
        <d v="2016-12-18T00:00:00Z"/>
        <d v="2015-10-27T00:00:00Z"/>
        <d v="2015-05-30T00:00:00Z"/>
        <d v="2015-04-22T00:00:00Z"/>
        <d v="2012-05-11T00:00:00Z"/>
        <d v="2012-01-25T00:00:00Z"/>
        <d v="2017-03-12T00:00:00Z"/>
        <d v="2016-06-07T00:00:00Z"/>
        <d v="2015-06-08T00:00:00Z"/>
        <d v="2017-06-19T00:00:00Z"/>
        <d v="2011-08-07T00:00:00Z"/>
        <d v="2014-07-14T00:00:00Z"/>
        <d v="2011-10-14T00:00:00Z"/>
        <d v="2010-08-25T00:00:00Z"/>
        <d v="2010-02-02T00:00:00Z"/>
        <d v="2014-10-11T00:00:00Z"/>
        <d v="2015-04-16T00:00:00Z"/>
        <d v="2014-08-19T00:00:00Z"/>
        <d v="2016-11-16T00:00:00Z"/>
        <d v="2015-10-21T00:00:00Z"/>
        <d v="2013-10-28T00:00:00Z"/>
        <d v="2010-08-19T00:00:00Z"/>
        <d v="2014-07-22T00:00:00Z"/>
        <d v="2014-04-03T00:00:00Z"/>
        <d v="2017-07-24T00:00:00Z"/>
        <d v="2013-09-12T00:00:00Z"/>
        <d v="2010-01-13T00:00:00Z"/>
        <d v="2011-06-10T00:00:00Z"/>
        <d v="2013-12-28T00:00:00Z"/>
        <d v="2012-09-17T00:00:00Z"/>
        <d v="2012-03-29T00:00:00Z"/>
        <d v="2014-03-03T00:00:00Z"/>
        <d v="2012-08-08T00:00:00Z"/>
        <d v="2012-05-29T00:00:00Z"/>
        <d v="2013-12-08T00:00:00Z"/>
        <d v="2014-10-05T00:00:00Z"/>
        <d v="2016-11-15T00:00:00Z"/>
        <d v="2017-06-18T00:00:00Z"/>
        <d v="2016-10-24T00:00:00Z"/>
        <d v="2012-06-27T00:00:00Z"/>
        <d v="2010-09-09T00:00:00Z"/>
        <d v="2014-11-24T00:00:00Z"/>
        <d v="2014-07-04T00:00:00Z"/>
        <d v="2011-05-06T00:00:00Z"/>
        <d v="2013-02-06T00:00:00Z"/>
        <d v="2011-05-14T00:00:00Z"/>
        <d v="2017-03-01T00:00:00Z"/>
        <d v="2012-01-12T00:00:00Z"/>
        <d v="2016-07-22T00:00:00Z"/>
        <d v="2010-03-14T00:00:00Z"/>
        <d v="2015-02-19T00:00:00Z"/>
        <d v="2017-05-14T00:00:00Z"/>
        <d v="2011-05-25T00:00:00Z"/>
        <d v="2014-10-29T00:00:00Z"/>
        <d v="2014-07-30T00:00:00Z"/>
        <d v="2013-10-07T00:00:00Z"/>
        <d v="2012-10-20T00:00:00Z"/>
        <d v="2013-02-24T00:00:00Z"/>
        <d v="2011-01-28T00:00:00Z"/>
        <d v="2011-01-02T00:00:00Z"/>
        <d v="2016-11-13T00:00:00Z"/>
        <d v="2015-06-30T00:00:00Z"/>
        <d v="2014-07-29T00:00:00Z"/>
        <d v="2010-01-11T00:00:00Z"/>
        <d v="2017-01-10T00:00:00Z"/>
        <d v="2017-05-09T00:00:00Z"/>
        <d v="2012-12-09T00:00:00Z"/>
        <d v="2013-11-25T00:00:00Z"/>
        <d v="2013-10-17T00:00:00Z"/>
        <d v="2010-02-05T00:00:00Z"/>
        <d v="2013-11-22T00:00:00Z"/>
        <d v="2015-05-14T00:00:00Z"/>
        <d v="2016-04-26T00:00:00Z"/>
        <d v="2016-08-14T00:00:00Z"/>
        <d v="2012-11-18T00:00:00Z"/>
        <d v="2014-01-04T00:00:00Z"/>
        <d v="2015-11-21T00:00:00Z"/>
        <d v="2012-10-28T00:00:00Z"/>
        <d v="2012-02-14T00:00:00Z"/>
        <d v="2017-01-15T00:00:00Z"/>
        <d v="2010-01-01T00:00:00Z"/>
        <d v="2012-05-08T00:00:00Z"/>
        <d v="2013-08-14T00:00:00Z"/>
        <d v="2011-11-18T00:00:00Z"/>
        <d v="2017-04-14T00:00:00Z"/>
        <d v="2015-12-02T00:00:00Z"/>
        <d v="2013-11-12T00:00:00Z"/>
        <d v="2010-09-13T00:00:00Z"/>
        <d v="2010-11-05T00:00:00Z"/>
        <d v="2012-03-23T00:00:00Z"/>
        <d v="2010-01-12T00:00:00Z"/>
        <d v="2015-09-04T00:00:00Z"/>
        <d v="2015-02-13T00:00:00Z"/>
        <d v="2010-07-18T00:00:00Z"/>
        <d v="2016-07-21T00:00:00Z"/>
        <d v="2010-12-12T00:00:00Z"/>
        <d v="2014-03-31T00:00:00Z"/>
        <d v="2010-03-03T00:00:00Z"/>
        <d v="2010-12-16T00:00:00Z"/>
        <d v="2012-05-21T00:00:00Z"/>
        <d v="2014-12-28T00:00:00Z"/>
        <d v="2016-12-10T00:00:00Z"/>
        <d v="2015-06-04T00:00:00Z"/>
        <d v="2014-10-07T00:00:00Z"/>
        <d v="2011-07-10T00:00:00Z"/>
        <d v="2017-05-01T00:00:00Z"/>
        <d v="2010-10-30T00:00:00Z"/>
        <d v="2017-02-22T00:00:00Z"/>
        <d v="2015-01-26T00:00:00Z"/>
        <d v="2013-01-15T00:00:00Z"/>
        <d v="2013-11-06T00:00:00Z"/>
        <d v="2013-11-15T00:00:00Z"/>
        <d v="2010-07-24T00:00:00Z"/>
        <d v="2013-10-10T00:00:00Z"/>
        <d v="2012-08-28T00:00:00Z"/>
        <d v="2010-09-01T00:00:00Z"/>
        <d v="2012-04-28T00:00:00Z"/>
        <d v="2016-06-21T00:00:00Z"/>
        <d v="2014-09-06T00:00:00Z"/>
        <d v="2015-10-20T00:00:00Z"/>
        <d v="2017-01-12T00:00:00Z"/>
        <d v="2015-03-01T00:00:00Z"/>
        <d v="2013-08-19T00:00:00Z"/>
        <d v="2016-06-11T00:00:00Z"/>
        <d v="2013-02-18T00:00:00Z"/>
        <d v="2012-10-09T00:00:00Z"/>
        <d v="2015-11-18T00:00:00Z"/>
        <d v="2016-10-28T00:00:00Z"/>
        <d v="2010-03-02T00:00:00Z"/>
        <d v="2015-07-24T00:00:00Z"/>
        <d v="2010-06-04T00:00:00Z"/>
        <d v="2015-06-29T00:00:00Z"/>
        <d v="2014-05-15T00:00:00Z"/>
        <d v="2012-11-21T00:00:00Z"/>
        <d v="2010-01-07T00:00:00Z"/>
        <d v="2012-11-22T00:00:00Z"/>
        <d v="2010-10-19T00:00:00Z"/>
        <d v="2016-10-19T00:00:00Z"/>
        <d v="2014-02-26T00:00:00Z"/>
        <d v="2011-05-13T00:00:00Z"/>
        <d v="2010-11-14T00:00:00Z"/>
        <d v="2013-03-14T00:00:00Z"/>
        <d v="2011-01-06T00:00:00Z"/>
        <d v="2012-06-10T00:00:00Z"/>
        <d v="2017-04-20T00:00:00Z"/>
        <d v="2013-03-24T00:00:00Z"/>
        <d v="2012-09-01T00:00:00Z"/>
        <d v="2014-06-18T00:00:00Z"/>
        <d v="2010-09-11T00:00:00Z"/>
        <d v="2011-12-12T00:00:00Z"/>
        <d v="2016-01-13T00:00:00Z"/>
        <d v="2010-07-28T00:00:00Z"/>
        <d v="2011-03-12T00:00:00Z"/>
        <d v="2015-05-05T00:00:00Z"/>
        <d v="2014-03-02T00:00:00Z"/>
        <d v="2013-06-22T00:00:00Z"/>
        <d v="2015-09-29T00:00:00Z"/>
        <d v="2015-09-26T00:00:00Z"/>
        <d v="2011-08-08T00:00:00Z"/>
        <d v="2015-05-28T00:00:00Z"/>
        <d v="2017-05-25T00:00:00Z"/>
        <d v="2010-10-03T00:00:00Z"/>
        <d v="2011-01-23T00:00:00Z"/>
        <d v="2010-06-06T00:00:00Z"/>
        <d v="2011-05-05T00:00:00Z"/>
        <d v="2017-02-03T00:00:00Z"/>
        <d v="2016-09-11T00:00:00Z"/>
        <d v="2012-11-23T00:00:00Z"/>
        <d v="2010-05-04T00:00:00Z"/>
        <d v="2014-03-20T00:00:00Z"/>
        <d v="2011-03-24T00:00:00Z"/>
        <d v="2014-04-11T00:00:00Z"/>
        <d v="2012-05-02T00:00:00Z"/>
        <d v="2016-10-22T00:00:00Z"/>
        <d v="2013-08-31T00:00:00Z"/>
        <d v="2012-08-27T00:00:00Z"/>
        <d v="2015-12-05T00:00:00Z"/>
        <d v="2012-05-03T00:00:00Z"/>
        <d v="2016-03-17T00:00:00Z"/>
        <d v="2012-03-17T00:00:00Z"/>
        <d v="2017-07-17T00:00:00Z"/>
        <d v="2012-08-12T00:00:00Z"/>
        <d v="2012-12-21T00:00:00Z"/>
        <d v="2012-07-07T00:00:00Z"/>
        <d v="2017-07-23T00:00:00Z"/>
        <d v="2010-04-21T00:00:00Z"/>
        <d v="2015-04-27T00:00:00Z"/>
        <d v="2017-06-22T00:00:00Z"/>
        <d v="2016-07-24T00:00:00Z"/>
        <d v="2014-08-07T00:00:00Z"/>
        <d v="2017-01-26T00:00:00Z"/>
        <d v="2013-07-05T00:00:00Z"/>
        <d v="2011-09-16T00:00:00Z"/>
        <d v="2015-06-28T00:00:00Z"/>
        <d v="2017-04-07T00:00:00Z"/>
        <d v="2012-09-13T00:00:00Z"/>
        <d v="2013-09-06T00:00:00Z"/>
        <d v="2016-12-17T00:00:00Z"/>
        <d v="2014-09-17T00:00:00Z"/>
        <d v="2011-07-29T00:00:00Z"/>
        <d v="2014-01-31T00:00:00Z"/>
        <d v="2014-03-23T00:00:00Z"/>
        <d v="2011-04-27T00:00:00Z"/>
        <d v="2014-01-30T00:00:00Z"/>
        <d v="2012-12-14T00:00:00Z"/>
        <d v="2015-06-02T00:00:00Z"/>
        <d v="2015-09-17T00:00:00Z"/>
        <d v="2010-04-29T00:00:00Z"/>
        <d v="2017-07-12T00:00:00Z"/>
        <d v="2015-10-31T00:00:00Z"/>
        <d v="2011-04-25T00:00:00Z"/>
        <d v="2011-02-16T00:00:00Z"/>
        <d v="2014-04-19T00:00:00Z"/>
        <d v="2013-08-24T00:00:00Z"/>
        <d v="2016-01-27T00:00:00Z"/>
        <d v="2011-07-22T00:00:00Z"/>
        <d v="2013-10-23T00:00:00Z"/>
        <d v="2016-03-27T00:00:00Z"/>
        <d v="2011-11-26T00:00:00Z"/>
        <d v="2010-08-26T00:00:00Z"/>
        <d v="2015-10-10T00:00:00Z"/>
        <d v="2016-02-26T00:00:00Z"/>
        <d v="2014-06-28T00:00:00Z"/>
        <d v="2011-10-25T00:00:00Z"/>
        <d v="2015-11-05T00:00:00Z"/>
        <d v="2013-01-02T00:00:00Z"/>
        <d v="2014-10-30T00:00:00Z"/>
        <d v="2011-03-07T00:00:00Z"/>
        <d v="2012-11-16T00:00:00Z"/>
        <d v="2014-08-24T00:00:00Z"/>
        <d v="2015-10-11T00:00:00Z"/>
        <d v="2017-02-12T00:00:00Z"/>
        <d v="2011-06-03T00:00:00Z"/>
        <d v="2011-02-26T00:00:00Z"/>
        <d v="2017-06-02T00:00:00Z"/>
        <d v="2011-09-10T00:00:00Z"/>
        <d v="2017-04-27T00:00:00Z"/>
        <d v="2016-07-06T00:00:00Z"/>
        <d v="2016-02-27T00:00:00Z"/>
        <d v="2014-11-03T00:00:00Z"/>
        <d v="2012-12-12T00:00:00Z"/>
        <d v="2012-04-22T00:00:00Z"/>
        <d v="2016-01-12T00:00:00Z"/>
        <d v="2016-06-16T00:00:00Z"/>
        <d v="2014-09-28T00:00:00Z"/>
        <d v="2013-07-01T00:00:00Z"/>
        <d v="2016-07-12T00:00:00Z"/>
        <d v="2014-02-07T00:00:00Z"/>
        <d v="2016-08-28T00:00:00Z"/>
        <d v="2011-10-23T00:00:00Z"/>
        <d v="2015-03-24T00:00:00Z"/>
        <d v="2016-05-26T00:00:00Z"/>
        <d v="2016-09-26T00:00:00Z"/>
        <d v="2014-04-24T00:00:00Z"/>
        <d v="2015-06-15T00:00:00Z"/>
        <d v="2014-10-27T00:00:00Z"/>
        <d v="2011-10-29T00:00:00Z"/>
        <d v="2010-12-23T00:00:00Z"/>
        <d v="2016-05-06T00:00:00Z"/>
        <d v="2014-04-29T00:00:00Z"/>
        <d v="2011-02-23T00:00:00Z"/>
        <d v="2013-07-26T00:00:00Z"/>
        <d v="2017-05-20T00:00:00Z"/>
        <d v="2016-04-03T00:00:00Z"/>
        <d v="2012-03-12T00:00:00Z"/>
        <d v="2011-10-01T00:00:00Z"/>
        <d v="2013-06-15T00:00:00Z"/>
        <d v="2013-04-18T00:00:00Z"/>
        <d v="2014-06-23T00:00:00Z"/>
        <d v="2013-12-23T00:00:00Z"/>
        <d v="2017-03-16T00:00:00Z"/>
        <d v="2016-03-23T00:00:00Z"/>
        <d v="2014-10-31T00:00:00Z"/>
        <d v="2012-03-27T00:00:00Z"/>
        <d v="2012-08-11T00:00:00Z"/>
        <d v="2014-09-25T00:00:00Z"/>
        <d v="2015-07-28T00:00:00Z"/>
        <d v="2016-12-12T00:00:00Z"/>
        <d v="2014-03-08T00:00:00Z"/>
        <d v="2014-07-03T00:00:00Z"/>
        <d v="2011-04-04T00:00:00Z"/>
        <d v="2015-05-06T00:00:00Z"/>
        <d v="2011-10-07T00:00:00Z"/>
        <d v="2011-10-20T00:00:00Z"/>
        <d v="2011-07-27T00:00:00Z"/>
        <d v="2015-09-20T00:00:00Z"/>
        <d v="2016-02-20T00:00:00Z"/>
        <d v="2010-09-03T00:00:00Z"/>
        <d v="2013-12-17T00:00:00Z"/>
        <d v="2010-05-20T00:00:00Z"/>
        <d v="2014-04-01T00:00:00Z"/>
        <d v="2011-01-07T00:00:00Z"/>
        <d v="2016-10-01T00:00:00Z"/>
        <d v="2017-05-02T00:00:00Z"/>
        <d v="2012-10-12T00:00:00Z"/>
        <d v="2015-08-06T00:00:00Z"/>
        <d v="2013-06-23T00:00:00Z"/>
        <d v="2010-10-07T00:00:00Z"/>
        <d v="2015-03-29T00:00:00Z"/>
        <d v="2013-11-18T00:00:00Z"/>
        <d v="2017-07-26T00:00:00Z"/>
        <d v="2015-10-09T00:00:00Z"/>
        <d v="2016-11-25T00:00:00Z"/>
        <d v="2016-06-24T00:00:00Z"/>
        <d v="2016-12-01T00:00:00Z"/>
        <d v="2016-08-29T00:00:00Z"/>
        <d v="2015-08-15T00:00:00Z"/>
        <d v="2011-11-12T00:00:00Z"/>
        <d v="2013-08-16T00:00:00Z"/>
        <d v="2013-03-12T00:00:00Z"/>
        <d v="2012-08-03T00:00:00Z"/>
        <d v="2014-06-29T00:00:00Z"/>
        <d v="2014-06-17T00:00:00Z"/>
        <d v="2012-06-05T00:00:00Z"/>
        <d v="2013-01-08T00:00:00Z"/>
        <d v="2010-02-03T00:00:00Z"/>
        <d v="2016-06-08T00:00:00Z"/>
        <d v="2012-04-11T00:00:00Z"/>
        <d v="2016-06-02T00:00:00Z"/>
        <d v="2010-01-22T00:00:00Z"/>
        <d v="2014-10-13T00:00:00Z"/>
        <d v="2011-08-02T00:00:00Z"/>
        <d v="2012-10-26T00:00:00Z"/>
        <d v="2015-03-06T00:00:00Z"/>
        <d v="2013-03-30T00:00:00Z"/>
        <d v="2016-11-24T00:00:00Z"/>
        <d v="2013-07-19T00:00:00Z"/>
        <d v="2017-05-10T00:00:00Z"/>
        <d v="2015-05-02T00:00:00Z"/>
        <d v="2012-06-20T00:00:00Z"/>
        <d v="2016-01-23T00:00:00Z"/>
        <d v="2014-05-09T00:00:00Z"/>
        <d v="2013-04-28T00:00:00Z"/>
        <d v="2011-03-09T00:00:00Z"/>
        <d v="2011-08-20T00:00:00Z"/>
        <d v="2012-09-09T00:00:00Z"/>
        <d v="2015-02-14T00:00:00Z"/>
        <d v="2014-04-08T00:00:00Z"/>
        <d v="2010-08-04T00:00:00Z"/>
        <d v="2016-04-08T00:00:00Z"/>
        <d v="2012-12-08T00:00:00Z"/>
        <d v="2015-01-31T00:00:00Z"/>
        <d v="2015-10-05T00:00:00Z"/>
        <d v="2011-08-03T00:00:00Z"/>
        <d v="2012-11-20T00:00:00Z"/>
        <d v="2010-09-12T00:00:00Z"/>
        <d v="2013-06-01T00:00:00Z"/>
        <d v="2014-07-08T00:00:00Z"/>
        <d v="2015-12-10T00:00:00Z"/>
        <d v="2014-08-31T00:00:00Z"/>
        <d v="2012-07-04T00:00:00Z"/>
        <d v="2012-05-10T00:00:00Z"/>
        <d v="2012-03-28T00:00:00Z"/>
        <d v="2012-11-19T00:00:00Z"/>
        <d v="2016-04-29T00:00:00Z"/>
        <d v="2016-07-25T00:00:00Z"/>
        <d v="2010-09-27T00:00:00Z"/>
        <d v="2013-12-09T00:00:00Z"/>
        <d v="2014-10-21T00:00:00Z"/>
        <d v="2010-11-24T00:00:00Z"/>
        <d v="2013-07-03T00:00:00Z"/>
        <d v="2012-04-06T00:00:00Z"/>
        <d v="2011-10-03T00:00:00Z"/>
        <d v="2013-05-24T00:00:00Z"/>
        <d v="2010-11-10T00:00:00Z"/>
        <d v="2013-08-02T00:00:00Z"/>
        <d v="2015-12-26T00:00:00Z"/>
        <d v="2012-08-17T00:00:00Z"/>
        <d v="2016-02-10T00:00:00Z"/>
        <d v="2013-07-31T00:00:00Z"/>
        <d v="2015-12-21T00:00:00Z"/>
        <d v="2015-03-05T00:00:00Z"/>
        <d v="2012-08-25T00:00:00Z"/>
        <d v="2013-09-30T00:00:00Z"/>
        <d v="2016-11-10T00:00:00Z"/>
        <d v="2010-01-31T00:00:00Z"/>
        <d v="2011-09-04T00:00:00Z"/>
        <d v="2016-09-14T00:00:00Z"/>
        <d v="2012-09-30T00:00:00Z"/>
        <d v="2015-12-13T00:00:00Z"/>
        <d v="2017-01-01T00:00:00Z"/>
        <d v="2015-04-02T00:00:00Z"/>
        <d v="2013-07-30T00:00:00Z"/>
        <d v="2013-11-14T00:00:00Z"/>
        <d v="2016-09-18T00:00:00Z"/>
        <d v="2013-03-05T00:00:00Z"/>
        <d v="2011-02-18T00:00:00Z"/>
        <d v="2010-12-30T00:00:00Z"/>
        <d v="2014-10-12T00:00:00Z"/>
        <d v="2011-06-24T00:00:00Z"/>
        <d v="2011-03-19T00:00:00Z"/>
        <d v="2016-08-22T00:00:00Z"/>
        <d v="2015-03-14T00:00:00Z"/>
        <d v="2012-06-13T00:00:00Z"/>
        <d v="2015-11-24T00:00:00Z"/>
        <d v="2012-03-06T00:00:00Z"/>
        <d v="2016-06-13T00:00:00Z"/>
        <d v="2010-06-08T00:00:00Z"/>
        <d v="2015-05-11T00:00:00Z"/>
        <d v="2011-07-04T00:00:00Z"/>
        <d v="2013-05-01T00:00:00Z"/>
        <d v="2016-01-07T00:00:00Z"/>
        <d v="2014-02-21T00:00:00Z"/>
        <d v="2012-04-13T00:00:00Z"/>
        <d v="2016-12-23T00:00:00Z"/>
        <d v="2013-08-27T00:00:00Z"/>
        <d v="2017-02-17T00:00:00Z"/>
        <d v="2013-07-12T00:00:00Z"/>
        <d v="2015-05-19T00:00:00Z"/>
        <d v="2016-02-06T00:00:00Z"/>
        <d v="2013-12-19T00:00:00Z"/>
        <d v="2015-11-22T00:00:00Z"/>
        <d v="2010-11-30T00:00:00Z"/>
        <d v="2011-11-13T00:00:00Z"/>
        <d v="2012-06-15T00:00:00Z"/>
        <d v="2012-11-02T00:00:00Z"/>
        <d v="2015-08-20T00:00:00Z"/>
        <d v="2016-06-27T00:00:00Z"/>
        <d v="2011-06-21T00:00:00Z"/>
        <d v="2015-08-26T00:00:00Z"/>
        <d v="2012-04-26T00:00:00Z"/>
        <d v="2016-10-02T00:00:00Z"/>
        <d v="2015-11-29T00:00:00Z"/>
        <d v="2012-03-25T00:00:00Z"/>
        <d v="2010-05-26T00:00:00Z"/>
        <d v="2010-07-27T00:00:00Z"/>
        <d v="2012-02-13T00:00:00Z"/>
        <d v="2012-07-26T00:00:00Z"/>
        <d v="2016-05-22T00:00:00Z"/>
        <d v="2014-12-22T00:00:00Z"/>
        <d v="2015-09-11T00:00:00Z"/>
        <d v="2016-10-03T00:00:00Z"/>
        <d v="2017-02-28T00:00:00Z"/>
        <d v="2012-07-05T00:00:00Z"/>
        <d v="2011-11-15T00:00:00Z"/>
        <d v="2010-07-06T00:00:00Z"/>
        <d v="2016-07-11T00:00:00Z"/>
        <d v="2010-01-21T00:00:00Z"/>
        <d v="2013-06-16T00:00:00Z"/>
        <d v="2016-04-04T00:00:00Z"/>
        <d v="2013-04-23T00:00:00Z"/>
        <d v="2013-11-13T00:00:00Z"/>
        <d v="2015-06-27T00:00:00Z"/>
        <d v="2014-12-29T00:00:00Z"/>
        <d v="2014-01-05T00:00:00Z"/>
        <d v="2013-08-07T00:00:00Z"/>
        <d v="2013-07-11T00:00:00Z"/>
        <d v="2015-01-09T00:00:00Z"/>
        <d v="2016-12-28T00:00:00Z"/>
        <d v="2011-10-30T00:00:00Z"/>
        <d v="2011-02-13T00:00:00Z"/>
        <d v="2010-03-08T00:00:00Z"/>
        <d v="2017-07-22T00:00:00Z"/>
        <d v="2011-04-28T00:00:00Z"/>
        <d v="2016-11-29T00:00:00Z"/>
        <d v="2013-06-06T00:00:00Z"/>
        <d v="2011-07-14T00:00:00Z"/>
        <d v="2010-07-25T00:00:00Z"/>
        <d v="2016-10-15T00:00:00Z"/>
        <d v="2010-02-18T00:00:00Z"/>
        <d v="2016-12-06T00:00:00Z"/>
        <d v="2015-09-27T00:00:00Z"/>
        <d v="2011-03-08T00:00:00Z"/>
        <d v="2017-07-04T00:00:00Z"/>
        <d v="2014-11-04T00:00:00Z"/>
        <d v="2015-05-09T00:00:00Z"/>
        <d v="2012-09-06T00:00:00Z"/>
        <d v="2016-07-23T00:00:00Z"/>
        <d v="2014-04-26T00:00:00Z"/>
        <d v="2016-03-04T00:00:00Z"/>
        <d v="2010-04-03T00:00:00Z"/>
        <d v="2016-11-21T00:00:00Z"/>
        <d v="2011-01-08T00:00:00Z"/>
        <d v="2011-12-22T00:00:00Z"/>
        <d v="2017-06-09T00:00:00Z"/>
        <d v="2014-09-07T00:00:00Z"/>
        <d v="2014-11-21T00:00:00Z"/>
        <d v="2012-11-27T00:00:00Z"/>
        <d v="2013-11-17T00:00:00Z"/>
        <d v="2016-06-18T00:00:00Z"/>
        <d v="2010-12-15T00:00:00Z"/>
        <d v="2014-05-22T00:00:00Z"/>
        <d v="2015-06-05T00:00:00Z"/>
        <d v="2013-08-23T00:00:00Z"/>
        <d v="2015-05-27T00:00:00Z"/>
        <d v="2010-05-16T00:00:00Z"/>
        <d v="2015-03-27T00:00:00Z"/>
        <d v="2010-10-09T00:00:00Z"/>
        <d v="2016-04-27T00:00:00Z"/>
        <d v="2011-03-01T00:00:00Z"/>
        <d v="2012-04-30T00:00:00Z"/>
        <d v="2011-04-30T00:00:00Z"/>
        <d v="2011-06-30T00:00:00Z"/>
        <d v="2015-11-12T00:00:00Z"/>
        <d v="2014-06-02T00:00:00Z"/>
        <d v="2015-04-11T00:00:00Z"/>
        <d v="2016-12-31T00:00:00Z"/>
        <d v="2016-04-25T00:00:00Z"/>
        <d v="2016-03-12T00:00:00Z"/>
        <d v="2017-04-04T00:00:00Z"/>
        <d v="2011-03-26T00:00:00Z"/>
        <d v="2014-05-19T00:00:00Z"/>
        <d v="2013-09-27T00:00:00Z"/>
        <d v="2016-03-18T00:00:00Z"/>
        <d v="2016-07-29T00:00:00Z"/>
        <d v="2014-04-16T00:00:00Z"/>
        <d v="2013-05-23T00:00:00Z"/>
        <d v="2011-03-05T00:00:00Z"/>
        <d v="2014-09-29T00:00:00Z"/>
        <d v="2013-08-13T00:00:00Z"/>
        <d v="2013-07-10T00:00:00Z"/>
        <d v="2014-05-16T00:00:00Z"/>
        <d v="2013-03-01T00:00:00Z"/>
        <d v="2013-04-25T00:00:00Z"/>
        <d v="2015-11-19T00:00:00Z"/>
        <d v="2011-07-24T00:00:00Z"/>
        <d v="2011-12-09T00:00:00Z"/>
        <d v="2010-04-11T00:00:00Z"/>
        <d v="2013-02-21T00:00:00Z"/>
        <d v="2011-09-24T00:00:00Z"/>
        <d v="2014-02-18T00:00:00Z"/>
        <d v="2015-08-13T00:00:00Z"/>
        <d v="2017-04-30T00:00:00Z"/>
        <d v="2010-03-16T00:00:00Z"/>
        <d v="2016-11-30T00:00:00Z"/>
        <d v="2010-11-06T00:00:00Z"/>
        <d v="2016-01-14T00:00:00Z"/>
        <d v="2016-06-09T00:00:00Z"/>
        <d v="2015-10-12T00:00:00Z"/>
        <d v="2015-09-23T00:00:00Z"/>
        <d v="2010-09-02T00:00:00Z"/>
        <d v="2013-06-25T00:00:00Z"/>
        <d v="2015-11-26T00:00:00Z"/>
        <d v="2015-07-22T00:00:00Z"/>
        <d v="2016-11-11T00:00:00Z"/>
        <d v="2010-03-04T00:00:00Z"/>
        <d v="2013-05-26T00:00:00Z"/>
        <d v="2012-08-30T00:00:00Z"/>
        <d v="2012-09-02T00:00:00Z"/>
        <d v="2012-03-31T00:00:00Z"/>
        <d v="2011-04-15T00:00:00Z"/>
        <d v="2012-03-05T00:00:00Z"/>
        <d v="2013-02-20T00:00:00Z"/>
        <d v="2017-07-18T00:00:00Z"/>
        <d v="2016-07-17T00:00:00Z"/>
        <d v="2010-12-10T00:00:00Z"/>
        <d v="2017-01-24T00:00:00Z"/>
        <d v="2012-02-12T00:00:00Z"/>
        <d v="2011-07-16T00:00:00Z"/>
        <d v="2015-12-16T00:00:00Z"/>
        <d v="2011-03-14T00:00:00Z"/>
        <d v="2011-04-26T00:00:00Z"/>
        <d v="2011-03-13T00:00:00Z"/>
        <d v="2011-12-18T00:00:00Z"/>
        <d v="2016-05-23T00:00:00Z"/>
        <d v="2011-01-18T00:00:00Z"/>
        <d v="2012-07-03T00:00:00Z"/>
        <d v="2013-06-05T00:00:00Z"/>
        <d v="2017-02-25T00:00:00Z"/>
        <d v="2015-01-14T00:00:00Z"/>
        <d v="2016-04-30T00:00:00Z"/>
        <d v="2010-05-11T00:00:00Z"/>
        <d v="2017-05-28T00:00:00Z"/>
        <d v="2017-06-24T00:00:00Z"/>
        <d v="2012-09-23T00:00:00Z"/>
        <d v="2010-10-24T00:00:00Z"/>
        <d v="2014-09-14T00:00:00Z"/>
        <d v="2015-07-30T00:00:00Z"/>
        <d v="2012-05-15T00:00:00Z"/>
        <d v="2011-02-08T00:00:00Z"/>
        <d v="2012-06-17T00:00:00Z"/>
        <d v="2010-02-11T00:00:00Z"/>
        <d v="2016-07-04T00:00:00Z"/>
        <d v="2011-01-31T00:00:00Z"/>
        <d v="2014-07-24T00:00:00Z"/>
        <d v="2013-11-09T00:00:00Z"/>
        <d v="2013-02-08T00:00:00Z"/>
        <d v="2010-12-05T00:00:00Z"/>
        <d v="2015-09-02T00:00:00Z"/>
        <d v="2010-06-05T00:00:00Z"/>
        <d v="2014-05-13T00:00:00Z"/>
        <d v="2011-10-24T00:00:00Z"/>
        <d v="2012-03-14T00:00:00Z"/>
        <d v="2011-07-17T00:00:00Z"/>
        <d v="2015-01-30T00:00:00Z"/>
        <d v="2016-02-21T00:00:00Z"/>
        <d v="2016-06-23T00:00:00Z"/>
        <d v="2014-05-05T00:00:00Z"/>
        <d v="2016-12-26T00:00:00Z"/>
        <d v="2013-09-02T00:00:00Z"/>
        <d v="2015-08-31T00:00:00Z"/>
        <d v="2013-05-31T00:00:00Z"/>
        <d v="2012-06-29T00:00:00Z"/>
        <d v="2011-02-20T00:00:00Z"/>
        <d v="2016-10-18T00:00:00Z"/>
        <d v="2012-01-01T00:00:00Z"/>
        <d v="2017-04-09T00:00:00Z"/>
        <d v="2011-06-17T00:00:00Z"/>
        <d v="2016-06-12T00:00:00Z"/>
        <d v="2016-01-26T00:00:00Z"/>
        <d v="2014-06-16T00:00:00Z"/>
        <d v="2013-10-18T00:00:00Z"/>
        <d v="2011-02-07T00:00:00Z"/>
        <d v="2014-05-14T00:00:00Z"/>
        <d v="2014-08-04T00:00:00Z"/>
        <d v="2012-03-10T00:00:00Z"/>
        <d v="2011-02-17T00:00:00Z"/>
        <d v="2017-05-24T00:00:00Z"/>
        <d v="2012-01-18T00:00:00Z"/>
        <d v="2013-07-20T00:00:00Z"/>
        <d v="2010-11-29T00:00:00Z"/>
        <d v="2011-07-20T00:00:00Z"/>
        <d v="2010-08-27T00:00:00Z"/>
        <d v="2012-06-06T00:00:00Z"/>
        <d v="2014-07-07T00:00:00Z"/>
        <d v="2015-12-12T00:00:00Z"/>
        <d v="2016-09-15T00:00:00Z"/>
        <d v="2016-08-31T00:00:00Z"/>
        <d v="2013-04-21T00:00:00Z"/>
        <d v="2012-04-12T00:00:00Z"/>
        <d v="2012-12-01T00:00:00Z"/>
        <d v="2010-08-28T00:00:00Z"/>
        <d v="2012-05-17T00:00:00Z"/>
        <d v="2017-01-29T00:00:00Z"/>
        <d v="2014-04-20T00:00:00Z"/>
        <d v="2013-08-21T00:00:00Z"/>
        <d v="2013-01-06T00:00:00Z"/>
        <d v="2010-08-01T00:00:00Z"/>
        <d v="2016-12-03T00:00:00Z"/>
        <d v="2016-06-20T00:00:00Z"/>
        <d v="2013-06-09T00:00:00Z"/>
        <d v="2011-07-31T00:00:00Z"/>
        <d v="2012-10-15T00:00:00Z"/>
        <d v="2016-07-19T00:00:00Z"/>
        <d v="2011-11-28T00:00:00Z"/>
        <d v="2015-09-18T00:00:00Z"/>
        <d v="2015-07-04T00:00:00Z"/>
        <d v="2017-03-25T00:00:00Z"/>
        <d v="2012-09-27T00:00:00Z"/>
        <d v="2011-08-23T00:00:00Z"/>
        <d v="2012-02-21T00:00:00Z"/>
        <d v="2017-04-05T00:00:00Z"/>
        <d v="2017-05-31T00:00:00Z"/>
        <d v="2012-07-06T00:00:00Z"/>
        <d v="2015-10-22T00:00:00Z"/>
        <d v="2013-09-05T00:00:00Z"/>
        <d v="2012-10-25T00:00:00Z"/>
        <d v="2013-12-01T00:00:00Z"/>
        <d v="2013-11-01T00:00:00Z"/>
        <d v="2010-06-28T00:00:00Z"/>
        <d v="2013-09-18T00:00:00Z"/>
        <d v="2014-08-14T00:00:00Z"/>
        <d v="2015-03-04T00:00:00Z"/>
        <d v="2013-03-23T00:00:00Z"/>
        <d v="2013-04-20T00:00:00Z"/>
        <d v="2010-01-02T00:00:00Z"/>
        <d v="2012-12-17T00:00:00Z"/>
        <d v="2012-08-24T00:00:00Z"/>
        <d v="2010-08-02T00:00:00Z"/>
        <d v="2010-04-06T00:00:00Z"/>
        <d v="2014-10-26T00:00:00Z"/>
        <d v="2012-04-16T00:00:00Z"/>
        <d v="2014-04-28T00:00:00Z"/>
        <d v="2014-09-09T00:00:00Z"/>
        <d v="2015-10-23T00:00:00Z"/>
        <d v="2017-05-16T00:00:00Z"/>
        <d v="2014-07-26T00:00:00Z"/>
        <d v="2014-11-28T00:00:00Z"/>
        <d v="2015-06-20T00:00:00Z"/>
        <d v="2013-09-07T00:00:00Z"/>
        <d v="2016-06-22T00:00:00Z"/>
        <d v="2011-10-19T00:00:00Z"/>
        <d v="2014-11-29T00:00:00Z"/>
        <d v="2016-01-21T00:00:00Z"/>
        <d v="2012-08-31T00:00:00Z"/>
        <d v="2011-08-30T00:00:00Z"/>
        <d v="2010-03-12T00:00:00Z"/>
        <d v="2013-04-29T00:00:00Z"/>
        <d v="2017-01-04T00:00:00Z"/>
        <d v="2017-01-05T00:00:00Z"/>
        <d v="2014-04-06T00:00:00Z"/>
        <d v="2015-08-10T00:00:00Z"/>
        <d v="2016-12-24T00:00:00Z"/>
        <d v="2014-07-18T00:00:00Z"/>
        <d v="2014-08-27T00:00:00Z"/>
        <d v="2014-06-04T00:00:00Z"/>
        <d v="2015-04-18T00:00:00Z"/>
        <d v="2015-06-07T00:00:00Z"/>
        <d v="2014-12-01T00:00:00Z"/>
        <d v="2015-09-25T00:00:00Z"/>
        <d v="2011-01-30T00:00:00Z"/>
        <d v="2014-01-01T00:00:00Z"/>
        <d v="2010-06-14T00:00:00Z"/>
        <d v="2012-02-07T00:00:00Z"/>
        <d v="2010-01-10T00:00:00Z"/>
        <d v="2014-04-23T00:00:00Z"/>
        <d v="2012-10-04T00:00:00Z"/>
        <d v="2010-08-31T00:00:00Z"/>
        <d v="2014-08-02T00:00:00Z"/>
        <d v="2015-03-19T00:00:00Z"/>
        <d v="2012-08-29T00:00:00Z"/>
        <d v="2013-05-15T00:00:00Z"/>
        <d v="2017-03-23T00:00:00Z"/>
        <d v="2010-06-20T00:00:00Z"/>
        <d v="2013-03-20T00:00:00Z"/>
        <d v="2014-11-25T00:00:00Z"/>
        <d v="2012-09-12T00:00:00Z"/>
        <d v="2012-10-29T00:00:00Z"/>
        <d v="2012-09-05T00:00:00Z"/>
        <d v="2017-07-05T00:00:00Z"/>
        <d v="2011-02-11T00:00:00Z"/>
        <d v="2010-11-17T00:00:00Z"/>
        <d v="2016-08-13T00:00:00Z"/>
        <d v="2014-02-11T00:00:00Z"/>
        <d v="2012-02-25T00:00:00Z"/>
        <d v="2015-02-28T00:00:00Z"/>
        <d v="2015-10-18T00:00:00Z"/>
        <d v="2012-03-30T00:00:00Z"/>
        <d v="2010-03-21T00:00:00Z"/>
        <d v="2016-05-04T00:00:00Z"/>
        <d v="2012-03-15T00:00:00Z"/>
        <d v="2013-12-29T00:00:00Z"/>
        <d v="2017-02-19T00:00:00Z"/>
        <d v="2012-01-08T00:00:00Z"/>
        <d v="2014-05-26T00:00:00Z"/>
        <d v="2015-12-01T00:00:00Z"/>
        <d v="2017-05-05T00:00:00Z"/>
        <d v="2013-11-23T00:00:00Z"/>
        <d v="2016-09-06T00:00:00Z"/>
        <d v="2014-09-20T00:00:00Z"/>
        <d v="2017-03-19T00:00:00Z"/>
        <d v="2015-04-21T00:00:00Z"/>
        <d v="2017-07-02T00:00:00Z"/>
        <d v="2016-04-24T00:00:00Z"/>
        <d v="2016-09-17T00:00:00Z"/>
        <d v="2012-10-31T00:00:00Z"/>
        <d v="2013-03-16T00:00:00Z"/>
        <d v="2014-12-13T00:00:00Z"/>
        <d v="2014-03-18T00:00:00Z"/>
        <d v="2016-05-09T00:00:00Z"/>
        <d v="2011-09-08T00:00:00Z"/>
        <d v="2015-10-07T00:00:00Z"/>
        <d v="2016-07-14T00:00:00Z"/>
        <d v="2012-03-24T00:00:00Z"/>
        <d v="2013-10-04T00:00:00Z"/>
        <d v="2010-01-15T00:00:00Z"/>
        <d v="2015-07-23T00:00:00Z"/>
        <d v="2013-07-18T00:00:00Z"/>
        <d v="2011-01-13T00:00:00Z"/>
        <d v="2013-05-20T00:00:00Z"/>
        <d v="2011-11-04T00:00:00Z"/>
        <d v="2012-07-28T00:00:00Z"/>
        <d v="2014-11-07T00:00:00Z"/>
        <d v="2017-06-04T00:00:00Z"/>
        <d v="2012-05-31T00:00:00Z"/>
        <d v="2012-03-13T00:00:00Z"/>
        <d v="2010-08-14T00:00:00Z"/>
        <d v="2014-12-03T00:00:00Z"/>
        <d v="2010-09-23T00:00:00Z"/>
        <d v="2011-03-20T00:00:00Z"/>
        <d v="2013-12-18T00:00:00Z"/>
        <d v="2016-02-15T00:00:00Z"/>
        <d v="2013-06-29T00:00:00Z"/>
        <d v="2012-05-06T00:00:00Z"/>
        <d v="2015-09-14T00:00:00Z"/>
        <d v="2015-01-23T00:00:00Z"/>
        <d v="2010-10-10T00:00:00Z"/>
        <d v="2011-12-25T00:00:00Z"/>
        <d v="2016-11-04T00:00:00Z"/>
        <d v="2011-09-14T00:00:00Z"/>
        <d v="2017-07-28T00:00:00Z"/>
        <d v="2013-11-16T00:00:00Z"/>
        <d v="2010-10-21T00:00:00Z"/>
        <d v="2011-10-08T00:00:00Z"/>
        <d v="2016-04-17T00:00:00Z"/>
        <d v="2014-01-28T00:00:00Z"/>
        <d v="2010-10-29T00:00:00Z"/>
        <d v="2014-07-10T00:00:00Z"/>
        <d v="2011-06-26T00:00:00Z"/>
        <d v="2015-08-09T00:00:00Z"/>
        <d v="2011-07-21T00:00:00Z"/>
        <d v="2013-08-22T00:00:00Z"/>
        <d v="2013-08-03T00:00:00Z"/>
        <d v="2014-02-05T00:00:00Z"/>
        <d v="2011-07-23T00:00:00Z"/>
        <d v="2013-06-27T00:00:00Z"/>
        <d v="2014-08-11T00:00:00Z"/>
        <d v="2010-09-18T00:00:00Z"/>
        <d v="2010-01-06T00:00:00Z"/>
        <d v="2015-09-24T00:00:00Z"/>
        <d v="2017-07-11T00:00:00Z"/>
        <d v="2015-04-29T00:00:00Z"/>
        <d v="2016-10-05T00:00:00Z"/>
        <d v="2013-01-13T00:00:00Z"/>
        <d v="2017-03-10T00:00:00Z"/>
        <d v="2011-05-30T00:00:00Z"/>
        <d v="2016-10-25T00:00:00Z"/>
        <d v="2013-08-01T00:00:00Z"/>
        <d v="2017-01-08T00:00:00Z"/>
        <d v="2016-11-03T00:00:00Z"/>
        <d v="2013-02-16T00:00:00Z"/>
        <d v="2014-01-16T00:00:00Z"/>
        <d v="2016-12-27T00:00:00Z"/>
        <d v="2015-04-07T00:00:00Z"/>
        <d v="2010-04-14T00:00:00Z"/>
        <d v="2016-12-11T00:00:00Z"/>
        <d v="2016-02-29T00:00:00Z"/>
        <d v="2010-12-17T00:00:00Z"/>
        <d v="2012-11-25T00:00:00Z"/>
        <d v="2015-08-29T00:00:00Z"/>
        <d v="2016-12-02T00:00:00Z"/>
        <d v="2013-03-09T00:00:00Z"/>
        <d v="2011-03-31T00:00:00Z"/>
        <d v="2013-01-23T00:00:00Z"/>
        <d v="2013-05-13T00:00:00Z"/>
        <d v="2015-07-07T00:00:00Z"/>
        <d v="2011-03-15T00:00:00Z"/>
        <d v="2011-01-09T00:00:00Z"/>
        <d v="2013-08-09T00:00:00Z"/>
        <d v="2014-11-22T00:00:00Z"/>
        <d v="2016-10-30T00:00:00Z"/>
        <d v="2014-08-05T00:00:00Z"/>
        <d v="2014-12-23T00:00:00Z"/>
        <d v="2014-10-24T00:00:00Z"/>
        <d v="2015-12-03T00:00:00Z"/>
        <d v="2013-03-07T00:00:00Z"/>
        <d v="2010-02-24T00:00:00Z"/>
        <d v="2014-09-15T00:00:00Z"/>
        <d v="2013-09-08T00:00:00Z"/>
        <d v="2013-09-28T00:00:00Z"/>
        <d v="2011-04-03T00:00:00Z"/>
        <d v="2014-09-26T00:00:00Z"/>
        <d v="2012-02-15T00:00:00Z"/>
        <d v="2011-05-28T00:00:00Z"/>
        <d v="2013-02-10T00:00:00Z"/>
        <d v="2012-08-04T00:00:00Z"/>
        <d v="2013-03-18T00:00:00Z"/>
        <d v="2014-08-30T00:00:00Z"/>
        <d v="2014-10-22T00:00:00Z"/>
        <d v="2010-01-17T00:00:00Z"/>
        <d v="2015-02-15T00:00:00Z"/>
        <d v="2014-08-09T00:00:00Z"/>
        <d v="2014-02-22T00:00:00Z"/>
        <d v="2012-09-15T00:00:00Z"/>
        <d v="2012-03-26T00:00:00Z"/>
        <d v="2010-10-04T00:00:00Z"/>
        <d v="2016-07-26T00:00:00Z"/>
        <d v="2011-06-13T00:00:00Z"/>
        <d v="2013-04-27T00:00:00Z"/>
        <d v="2014-04-12T00:00:00Z"/>
        <d v="2011-08-13T00:00:00Z"/>
        <d v="2010-05-01T00:00:00Z"/>
        <d v="2010-05-07T00:00:00Z"/>
        <d v="2016-08-06T00:00:00Z"/>
        <d v="2010-06-01T00:00:00Z"/>
        <d v="2011-10-17T00:00:00Z"/>
        <d v="2012-12-23T00:00:00Z"/>
        <d v="2011-05-31T00:00:00Z"/>
        <d v="2015-07-02T00:00:00Z"/>
        <d v="2015-05-15T00:00:00Z"/>
        <d v="2010-11-07T00:00:00Z"/>
        <d v="2012-01-15T00:00:00Z"/>
        <d v="2013-08-20T00:00:00Z"/>
        <d v="2012-04-17T00:00:00Z"/>
        <d v="2011-07-13T00:00:00Z"/>
        <d v="2014-06-14T00:00:00Z"/>
        <d v="2016-11-12T00:00:00Z"/>
        <d v="2017-04-29T00:00:00Z"/>
        <d v="2011-12-14T00:00:00Z"/>
        <d v="2014-10-04T00:00:00Z"/>
        <d v="2014-08-21T00:00:00Z"/>
        <d v="2014-10-14T00:00:00Z"/>
        <d v="2014-11-06T00:00:00Z"/>
        <d v="2011-10-28T00:00:00Z"/>
        <d v="2012-06-11T00:00:00Z"/>
        <d v="2010-10-25T00:00:00Z"/>
        <d v="2015-12-19T00:00:00Z"/>
        <d v="2010-08-22T00:00:00Z"/>
        <d v="2011-11-05T00:00:00Z"/>
        <d v="2016-06-28T00:00:00Z"/>
        <d v="2014-07-21T00:00:00Z"/>
        <d v="2015-05-31T00:00:00Z"/>
        <d v="2010-04-27T00:00:00Z"/>
        <d v="2013-01-18T00:00:00Z"/>
        <d v="2012-11-04T00:00:00Z"/>
        <d v="2014-08-12T00:00:00Z"/>
        <d v="2010-01-09T00:00:00Z"/>
        <d v="2015-07-05T00:00:00Z"/>
        <d v="2015-07-27T00:00:00Z"/>
        <d v="2012-01-28T00:00:00Z"/>
        <d v="2015-02-26T00:00:00Z"/>
        <d v="2012-12-19T00:00:00Z"/>
        <d v="2017-03-18T00:00:00Z"/>
        <d v="2011-09-20T00:00:00Z"/>
        <d v="2017-02-04T00:00:00Z"/>
        <d v="2011-12-29T00:00:00Z"/>
        <d v="2011-11-11T00:00:00Z"/>
        <d v="2015-11-16T00:00:00Z"/>
        <d v="2012-11-12T00:00:00Z"/>
        <d v="2013-08-25T00:00:00Z"/>
        <d v="2014-08-15T00:00:00Z"/>
        <d v="2012-06-02T00:00:00Z"/>
        <d v="2012-04-07T00:00:00Z"/>
        <d v="2017-04-17T00:00:00Z"/>
        <d v="2013-02-12T00:00:00Z"/>
        <d v="2012-05-20T00:00:00Z"/>
        <d v="2016-12-22T00:00:00Z"/>
        <d v="2015-01-27T00:00:00Z"/>
        <d v="2014-07-06T00:00:00Z"/>
        <d v="2014-12-02T00:00:00Z"/>
        <d v="2016-06-25T00:00:00Z"/>
        <d v="2012-11-17T00:00:00Z"/>
        <d v="2013-05-22T00:00:00Z"/>
        <d v="2014-04-15T00:00:00Z"/>
        <d v="2010-12-24T00:00:00Z"/>
        <d v="2011-04-09T00:00:00Z"/>
        <d v="2010-09-22T00:00:00Z"/>
        <d v="2014-09-03T00:00:00Z"/>
        <d v="2013-06-10T00:00:00Z"/>
        <d v="2016-05-12T00:00:00Z"/>
        <d v="2015-05-17T00:00:00Z"/>
        <d v="2012-07-18T00:00:00Z"/>
        <d v="2010-05-24T00:00:00Z"/>
        <d v="2015-09-22T00:00:00Z"/>
        <d v="2016-10-11T00:00:00Z"/>
        <d v="2016-04-21T00:00:00Z"/>
        <d v="2012-08-21T00:00:00Z"/>
        <d v="2013-07-29T00:00:00Z"/>
        <d v="2011-12-05T00:00:00Z"/>
        <d v="2011-12-23T00:00:00Z"/>
        <d v="2016-04-11T00:00:00Z"/>
        <d v="2016-09-03T00:00:00Z"/>
        <d v="2011-05-08T00:00:00Z"/>
        <d v="2016-04-10T00:00:00Z"/>
        <d v="2011-08-14T00:00:00Z"/>
        <d v="2016-11-14T00:00:00Z"/>
        <d v="2014-04-07T00:00:00Z"/>
        <d v="2016-04-28T00:00:00Z"/>
        <d v="2015-07-31T00:00:00Z"/>
        <d v="2015-06-22T00:00:00Z"/>
        <d v="2010-08-11T00:00:00Z"/>
        <d v="2015-12-04T00:00:00Z"/>
        <d v="2017-03-17T00:00:00Z"/>
        <d v="2016-12-20T00:00:00Z"/>
        <d v="2016-04-23T00:00:00Z"/>
        <d v="2016-02-07T00:00:00Z"/>
        <d v="2011-03-18T00:00:00Z"/>
        <d v="2012-07-19T00:00:00Z"/>
        <d v="2010-01-30T00:00:00Z"/>
        <d v="2016-05-15T00:00:00Z"/>
        <d v="2011-06-04T00:00:00Z"/>
        <d v="2011-02-02T00:00:00Z"/>
        <d v="2011-09-09T00:00:00Z"/>
        <d v="2012-07-12T00:00:00Z"/>
        <d v="2011-05-07T00:00:00Z"/>
        <d v="2011-09-01T00:00:00Z"/>
        <d v="2015-01-06T00:00:00Z"/>
        <d v="2016-07-07T00:00:00Z"/>
        <d v="2010-04-18T00:00:00Z"/>
        <d v="2011-03-22T00:00:00Z"/>
        <d v="2011-06-08T00:00:00Z"/>
        <d v="2016-09-24T00:00:00Z"/>
        <d v="2012-09-21T00:00:00Z"/>
        <d v="2010-12-21T00:00:00Z"/>
        <d v="2011-10-06T00:00:00Z"/>
        <d v="2016-09-23T00:00:00Z"/>
        <d v="2013-02-15T00:00:00Z"/>
        <d v="2011-09-07T00:00:00Z"/>
        <d v="2016-05-05T00:00:00Z"/>
        <d v="2017-01-16T00:00:00Z"/>
        <d v="2010-06-02T00:00:00Z"/>
        <d v="2011-07-30T00:00:00Z"/>
        <d v="2016-11-27T00:00:00Z"/>
        <d v="2010-09-06T00:00:00Z"/>
        <d v="2010-06-13T00:00:00Z"/>
        <d v="2010-04-02T00:00:00Z"/>
        <d v="2015-02-11T00:00:00Z"/>
        <d v="2010-09-30T00:00:00Z"/>
        <d v="2013-05-05T00:00:00Z"/>
        <d v="2014-03-27T00:00:00Z"/>
        <d v="2013-01-11T00:00:00Z"/>
        <d v="2011-08-01T00:00:00Z"/>
        <d v="2014-03-12T00:00:00Z"/>
        <d v="2013-11-10T00:00:00Z"/>
        <d v="2014-08-03T00:00:00Z"/>
        <d v="2014-02-10T00:00:00Z"/>
        <d v="2011-10-21T00:00:00Z"/>
        <d v="2014-04-22T00:00:00Z"/>
        <d v="2016-05-25T00:00:00Z"/>
        <d v="2010-04-16T00:00:00Z"/>
        <d v="2014-10-23T00:00:00Z"/>
        <d v="2010-05-06T00:00:00Z"/>
        <d v="2010-05-31T00:00:00Z"/>
        <d v="2011-03-21T00:00:00Z"/>
        <d v="2017-06-17T00:00:00Z"/>
        <d v="2016-03-08T00:00:00Z"/>
        <d v="2011-03-29T00:00:00Z"/>
        <d v="2013-12-10T00:00:00Z"/>
        <d v="2013-06-04T00:00:00Z"/>
        <d v="2017-07-09T00:00:00Z"/>
        <d v="2013-02-13T00:00:00Z"/>
        <d v="2016-06-30T00:00:00Z"/>
        <d v="2011-01-10T00:00:00Z"/>
        <d v="2014-03-17T00:00:00Z"/>
        <d v="2012-02-22T00:00:00Z"/>
        <d v="2015-11-30T00:00:00Z"/>
        <d v="2012-04-14T00:00:00Z"/>
        <d v="2016-10-13T00:00:00Z"/>
        <d v="2014-07-31T00:00:00Z"/>
        <d v="2015-05-26T00:00:00Z"/>
        <d v="2010-02-25T00:00:00Z"/>
        <d v="2015-10-04T00:00:00Z"/>
        <d v="2017-05-18T00:00:00Z"/>
        <d v="2012-01-13T00:00:00Z"/>
        <d v="2016-09-21T00:00:00Z"/>
        <d v="2013-09-15T00:00:00Z"/>
        <d v="2015-05-23T00:00:00Z"/>
        <d v="2012-12-24T00:00:00Z"/>
        <d v="2017-06-29T00:00:00Z"/>
        <d v="2014-09-30T00:00:00Z"/>
        <d v="2011-02-05T00:00:00Z"/>
        <d v="2014-08-01T00:00:00Z"/>
        <d v="2010-11-13T00:00:00Z"/>
        <d v="2016-06-06T00:00:00Z"/>
        <d v="2015-09-30T00:00:00Z"/>
        <d v="2013-04-02T00:00:00Z"/>
        <d v="2011-08-28T00:00:00Z"/>
        <d v="2016-10-16T00:00:00Z"/>
        <d v="2014-10-02T00:00:00Z"/>
        <d v="2014-12-14T00:00:00Z"/>
        <d v="2011-06-05T00:00:00Z"/>
        <d v="2012-02-19T00:00:00Z"/>
        <d v="2013-03-10T00:00:00Z"/>
        <d v="2015-06-19T00:00:00Z"/>
        <d v="2016-01-11T00:00:00Z"/>
        <d v="2010-04-20T00:00:00Z"/>
        <d v="2014-12-21T00:00:00Z"/>
        <d v="2011-01-24T00:00:00Z"/>
        <d v="2014-08-23T00:00:00Z"/>
        <d v="2016-02-14T00:00:00Z"/>
        <d v="2017-01-14T00:00:00Z"/>
        <d v="2011-12-03T00:00:00Z"/>
        <d v="2014-06-20T00:00:00Z"/>
        <d v="2010-10-16T00:00:00Z"/>
        <d v="2017-02-21T00:00:00Z"/>
        <d v="2013-11-30T00:00:00Z"/>
        <d v="2015-06-06T00:00:00Z"/>
        <d v="2011-09-03T00:00:00Z"/>
        <d v="2016-03-20T00:00:00Z"/>
        <d v="2017-06-13T00:00:00Z"/>
        <d v="2011-08-19T00:00:00Z"/>
        <d v="2014-08-29T00:00:00Z"/>
        <d v="2011-12-30T00:00:00Z"/>
        <d v="2011-12-10T00:00:00Z"/>
        <d v="2013-08-30T00:00:00Z"/>
        <d v="2013-01-28T00:00:00Z"/>
        <d v="2017-04-28T00:00:00Z"/>
        <d v="2016-09-01T00:00:00Z"/>
        <d v="2017-01-18T00:00:00Z"/>
        <d v="2011-11-30T00:00:00Z"/>
        <d v="2017-04-19T00:00:00Z"/>
        <d v="2011-04-22T00:00:00Z"/>
        <d v="2012-04-18T00:00:00Z"/>
        <d v="2010-05-27T00:00:00Z"/>
        <d v="2010-10-11T00:00:00Z"/>
        <d v="2012-04-09T00:00:00Z"/>
        <d v="2013-07-14T00:00:00Z"/>
        <d v="2011-10-15T00:00:00Z"/>
        <d v="2014-12-11T00:00:00Z"/>
        <d v="2012-08-16T00:00:00Z"/>
        <d v="2011-07-19T00:00:00Z"/>
        <d v="2013-02-27T00:00:00Z"/>
        <d v="2010-01-19T00:00:00Z"/>
        <d v="2010-04-28T00:00:00Z"/>
        <d v="2017-04-24T00:00:00Z"/>
        <d v="2013-02-03T00:00:00Z"/>
        <d v="2015-12-29T00:00:00Z"/>
        <d v="2014-03-15T00:00:00Z"/>
        <d v="2010-12-22T00:00:00Z"/>
        <d v="2016-01-05T00:00:00Z"/>
        <d v="2014-01-13T00:00:00Z"/>
        <d v="2017-01-28T00:00:00Z"/>
        <d v="2017-02-23T00:00:00Z"/>
        <d v="2010-08-15T00:00:00Z"/>
        <d v="2014-02-09T00:00:00Z"/>
        <d v="2012-05-18T00:00:00Z"/>
        <d v="2013-11-24T00:00:00Z"/>
        <d v="2017-05-21T00:00:00Z"/>
        <d v="2015-03-18T00:00:00Z"/>
        <d v="2015-11-04T00:00:00Z"/>
        <d v="2013-11-11T00:00:00Z"/>
        <d v="2011-06-12T00:00:00Z"/>
        <d v="2015-10-19T00:00:00Z"/>
        <d v="2011-12-31T00:00:00Z"/>
        <d v="2012-07-21T00:00:00Z"/>
        <d v="2014-06-25T00:00:00Z"/>
        <d v="2012-04-01T00:00:00Z"/>
        <d v="2014-10-03T00:00:00Z"/>
        <d v="2010-01-24T00:00:00Z"/>
        <d v="2015-08-24T00:00:00Z"/>
        <d v="2015-02-20T00:00:00Z"/>
        <d v="2016-04-14T00:00:00Z"/>
        <d v="2011-12-02T00:00:00Z"/>
        <d v="2010-11-21T00:00:00Z"/>
        <d v="2012-10-07T00:00:00Z"/>
        <d v="2016-03-14T00:00:00Z"/>
        <d v="2014-01-10T00:00:00Z"/>
        <d v="2015-04-14T00:00:00Z"/>
        <d v="2013-11-04T00:00:00Z"/>
        <d v="2013-09-11T00:00:00Z"/>
        <d v="2013-10-02T00:00:00Z"/>
        <d v="2013-07-04T00:00:00Z"/>
        <d v="2016-09-19T00:00:00Z"/>
        <d v="2011-04-14T00:00:00Z"/>
        <d v="2010-05-19T00:00:00Z"/>
        <d v="2010-02-12T00:00:00Z"/>
        <d v="2010-11-12T00:00:00Z"/>
        <d v="2013-08-15T00:00:00Z"/>
        <d v="2015-07-11T00:00:00Z"/>
        <d v="2016-11-02T00:00:00Z"/>
        <d v="2017-05-06T00:00:00Z"/>
        <d v="2013-03-06T00:00:00Z"/>
        <d v="2010-11-25T00:00:00Z"/>
        <d v="2010-08-07T00:00:00Z"/>
        <d v="2010-10-14T00:00:00Z"/>
        <d v="2011-07-28T00:00:00Z"/>
        <d v="2012-01-05T00:00:00Z"/>
        <d v="2010-04-17T00:00:00Z"/>
        <d v="2014-04-25T00:00:00Z"/>
        <d v="2014-01-24T00:00:00Z"/>
        <d v="2011-08-12T00:00:00Z"/>
        <d v="2016-03-11T00:00:00Z"/>
        <d v="2013-06-13T00:00:00Z"/>
        <d v="2012-05-30T00:00:00Z"/>
        <d v="2010-01-08T00:00:00Z"/>
        <d v="2011-01-29T00:00:00Z"/>
        <d v="2011-06-16T00:00:00Z"/>
        <d v="2013-07-24T00:00:00Z"/>
        <d v="2013-12-06T00:00:00Z"/>
        <d v="2016-06-01T00:00:00Z"/>
        <d v="2017-02-13T00:00:00Z"/>
        <d v="2014-09-02T00:00:00Z"/>
        <d v="2017-02-27T00:00:00Z"/>
        <d v="2013-06-17T00:00:00Z"/>
        <d v="2013-10-25T00:00:00Z"/>
        <d v="2015-04-30T00:00:00Z"/>
        <d v="2011-12-27T00:00:00Z"/>
        <d v="2010-04-23T00:00:00Z"/>
        <d v="2014-02-24T00:00:00Z"/>
        <d v="2014-12-26T00:00:00Z"/>
        <d v="2010-02-10T00:00:00Z"/>
        <d v="2014-02-23T00:00:00Z"/>
        <d v="2016-10-26T00:00:00Z"/>
        <d v="2016-09-10T00:00:00Z"/>
        <d v="2011-11-03T00:00:00Z"/>
        <d v="2010-07-10T00:00:00Z"/>
        <d v="2011-11-02T00:00:00Z"/>
        <d v="2012-05-16T00:00:00Z"/>
        <d v="2015-08-25T00:00:00Z"/>
        <d v="2012-05-01T00:00:00Z"/>
        <d v="2014-08-25T00:00:00Z"/>
        <d v="2014-06-05T00:00:00Z"/>
        <d v="2012-07-13T00:00:00Z"/>
        <d v="2014-07-23T00:00:00Z"/>
        <d v="2011-11-25T00:00:00Z"/>
        <d v="2014-11-14T00:00:00Z"/>
        <d v="2015-01-15T00:00:00Z"/>
        <d v="2011-01-14T00:00:00Z"/>
        <d v="2016-03-30T00:00:00Z"/>
        <d v="2015-12-28T00:00:00Z"/>
        <d v="2011-03-11T00:00:00Z"/>
        <d v="2011-04-17T00:00:00Z"/>
        <d v="2013-03-15T00:00:00Z"/>
        <d v="2014-11-11T00:00:00Z"/>
        <d v="2015-09-13T00:00:00Z"/>
        <d v="2017-06-16T00:00:00Z"/>
        <d v="2010-05-28T00:00:00Z"/>
        <d v="2010-06-09T00:00:00Z"/>
        <d v="2012-10-27T00:00:00Z"/>
        <d v="2011-01-15T00:00:00Z"/>
        <d v="2011-02-21T00:00:00Z"/>
        <d v="2010-01-20T00:00:00Z"/>
        <d v="2014-11-01T00:00:00Z"/>
        <d v="2012-12-13T00:00:00Z"/>
        <d v="2015-12-23T00:00:00Z"/>
        <d v="2011-04-07T00:00:00Z"/>
        <d v="2015-11-17T00:00:00Z"/>
        <d v="2015-03-30T00:00:00Z"/>
        <d v="2016-04-19T00:00:00Z"/>
        <d v="2014-11-12T00:00:00Z"/>
        <d v="2017-04-15T00:00:00Z"/>
        <d v="2010-05-03T00:00:00Z"/>
        <d v="2014-04-10T00:00:00Z"/>
        <d v="2017-06-05T00:00:00Z"/>
        <d v="2010-07-19T00:00:00Z"/>
        <d v="2015-01-11T00:00:00Z"/>
        <d v="2017-02-15T00:00:00Z"/>
        <d v="2015-07-13T00:00:00Z"/>
        <d v="2013-05-06T00:00:00Z"/>
        <d v="2010-12-13T00:00:00Z"/>
        <d v="2011-12-11T00:00:00Z"/>
        <d v="2013-07-15T00:00:00Z"/>
        <d v="2013-07-02T00:00:00Z"/>
        <d v="2013-12-14T00:00:00Z"/>
        <d v="2014-10-18T00:00:00Z"/>
        <d v="2012-08-07T00:00:00Z"/>
        <d v="2012-12-05T00:00:00Z"/>
        <d v="2014-09-16T00:00:00Z"/>
        <d v="2010-01-04T00:00:00Z"/>
        <d v="2013-01-25T00:00:00Z"/>
        <d v="2010-03-24T00:00:00Z"/>
        <d v="2017-06-23T00:00:00Z"/>
        <d v="2015-05-18T00:00:00Z"/>
        <d v="2012-01-29T00:00:00Z"/>
        <d v="2012-01-31T00:00:00Z"/>
        <d v="2015-06-21T00:00:00Z"/>
        <d v="2010-11-11T00:00:00Z"/>
        <d v="2012-07-20T00:00:00Z"/>
        <d v="2015-12-24T00:00:00Z"/>
        <d v="2012-06-28T00:00:00Z"/>
        <d v="2013-07-17T00:00:00Z"/>
        <d v="2010-05-08T00:00:00Z"/>
        <d v="2011-11-21T00:00:00Z"/>
        <d v="2012-07-30T00:00:00Z"/>
        <d v="2011-04-05T00:00:00Z"/>
        <d v="2010-11-19T00:00:00Z"/>
        <d v="2014-05-03T00:00:00Z"/>
        <d v="2010-01-05T00:00:00Z"/>
        <d v="2013-05-08T00:00:00Z"/>
        <d v="2016-01-03T00:00:00Z"/>
        <d v="2017-05-22T00:00:00Z"/>
        <d v="2010-07-23T00:00:00Z"/>
        <d v="2014-02-03T00:00:00Z"/>
        <d v="2015-10-28T00:00:00Z"/>
        <d v="2013-06-24T00:00:00Z"/>
        <d v="2016-05-17T00:00:00Z"/>
        <d v="2013-08-10T00:00:00Z"/>
        <d v="2016-08-11T00:00:00Z"/>
        <d v="2011-08-25T00:00:00Z"/>
        <d v="2011-03-10T00:00:00Z"/>
        <d v="2013-05-27T00:00:00Z"/>
        <d v="2015-08-04T00:00:00Z"/>
        <d v="2016-08-04T00:00:00Z"/>
        <d v="2013-12-05T00:00:00Z"/>
        <d v="2015-05-13T00:00:00Z"/>
        <d v="2012-09-11T00:00:00Z"/>
        <d v="2016-03-26T00:00:00Z"/>
        <d v="2016-02-18T00:00:00Z"/>
        <d v="2017-02-01T00:00:00Z"/>
        <d v="2016-04-12T00:00:00Z"/>
        <d v="2014-03-04T00:00:00Z"/>
        <d v="2012-10-10T00:00:00Z"/>
        <d v="2014-03-19T00:00:00Z"/>
        <d v="2011-11-19T00:00:00Z"/>
        <d v="2016-05-30T00:00:00Z"/>
        <d v="2015-04-06T00:00:00Z"/>
        <d v="2012-08-20T00:00:00Z"/>
        <d v="2016-07-15T00:00:00Z"/>
        <d v="2015-09-01T00:00:00Z"/>
        <d v="2016-07-08T00:00:00Z"/>
        <d v="2016-03-25T00:00:00Z"/>
        <d v="2010-07-09T00:00:00Z"/>
        <d v="2011-12-24T00:00:00Z"/>
        <d v="2015-02-16T00:00:00Z"/>
        <d v="2017-06-21T00:00:00Z"/>
        <d v="2011-02-03T00:00:00Z"/>
        <d v="2015-05-29T00:00:00Z"/>
        <d v="2016-05-28T00:00:00Z"/>
        <d v="2016-09-12T00:00:00Z"/>
        <d v="2017-05-17T00:00:00Z"/>
        <d v="2017-05-13T00:00:00Z"/>
        <d v="2011-04-29T00:00:00Z"/>
        <d v="2014-09-27T00:00:00Z"/>
        <d v="2016-05-03T00:00:00Z"/>
        <d v="2013-08-04T00:00:00Z"/>
        <d v="2010-10-01T00:00:00Z"/>
        <d v="2012-01-20T00:00:00Z"/>
        <d v="2011-11-01T00:00:00Z"/>
        <d v="2016-07-10T00:00:00Z"/>
        <d v="2014-03-28T00:00:00Z"/>
        <d v="2011-09-26T00:00:00Z"/>
        <d v="2014-05-01T00:00:00Z"/>
        <d v="2015-07-08T00:00:00Z"/>
        <d v="2013-10-08T00:00:00Z"/>
        <d v="2015-12-14T00:00:00Z"/>
        <d v="2016-04-09T00:00:00Z"/>
        <d v="2013-05-11T00:00:00Z"/>
        <d v="2016-12-19T00:00:00Z"/>
        <d v="2012-08-01T00:00:00Z"/>
        <d v="2010-09-16T00:00:00Z"/>
        <d v="2012-08-05T00:00:00Z"/>
        <d v="2010-07-02T00:00:00Z"/>
        <d v="2015-02-01T00:00:00Z"/>
        <d v="2013-04-24T00:00:00Z"/>
        <d v="2015-09-28T00:00:00Z"/>
        <d v="2011-09-19T00:00:00Z"/>
        <d v="2010-03-15T00:00:00Z"/>
        <d v="2010-10-13T00:00:00Z"/>
        <d v="2016-02-05T00:00:00Z"/>
        <d v="2016-07-13T00:00:00Z"/>
        <d v="2015-07-09T00:00:00Z"/>
        <d v="2012-11-13T00:00:00Z"/>
        <d v="2017-01-25T00:00:00Z"/>
        <d v="2013-01-07T00:00:00Z"/>
        <d v="2015-07-10T00:00:00Z"/>
        <d v="2015-02-04T00:00:00Z"/>
        <d v="2014-10-10T00:00:00Z"/>
        <d v="2010-08-06T00:00:00Z"/>
        <d v="2015-06-23T00:00:00Z"/>
        <d v="2013-01-30T00:00:00Z"/>
        <d v="2017-02-02T00:00:00Z"/>
        <d v="2015-02-07T00:00:00Z"/>
        <d v="2013-07-22T00:00:00Z"/>
        <d v="2010-12-28T00:00:00Z"/>
        <d v="2015-10-30T00:00:00Z"/>
        <d v="2015-06-16T00:00:00Z"/>
        <d v="2017-06-25T00:00:00Z"/>
        <d v="2011-05-10T00:00:00Z"/>
        <d v="2010-12-08T00:00:00Z"/>
        <d v="2011-09-28T00:00:00Z"/>
        <d v="2015-02-12T00:00:00Z"/>
        <d v="2010-01-26T00:00:00Z"/>
        <d v="2012-02-20T00:00:00Z"/>
        <d v="2014-06-07T00:00:00Z"/>
        <d v="2016-04-05T00:00:00Z"/>
        <d v="2011-06-18T00:00:00Z"/>
        <d v="2010-11-15T00:00:00Z"/>
        <d v="2016-07-18T00:00:00Z"/>
        <d v="2012-02-29T00:00:00Z"/>
        <d v="2015-08-28T00:00:00Z"/>
        <d v="2015-06-25T00:00:00Z"/>
        <d v="2013-11-20T00:00:00Z"/>
        <d v="2010-05-05T00:00:00Z"/>
        <d v="2016-02-23T00:00:00Z"/>
        <d v="2016-08-02T00:00:00Z"/>
        <d v="2017-04-13T00:00:00Z"/>
        <d v="2010-03-30T00:00:00Z"/>
        <d v="2015-01-13T00:00:00Z"/>
        <d v="2017-01-21T00:00:00Z"/>
        <d v="2015-11-13T00:00:00Z"/>
        <d v="2015-08-02T00:00:00Z"/>
        <d v="2015-08-01T00:00:00Z"/>
        <d v="2013-01-22T00:00:00Z"/>
        <d v="2010-03-22T00:00:00Z"/>
        <d v="2014-01-03T00:00:00Z"/>
        <d v="2015-03-22T00:00:00Z"/>
        <d v="2011-08-29T00:00:00Z"/>
        <d v="2013-03-04T00:00:00Z"/>
        <d v="2015-03-15T00:00:00Z"/>
        <d v="2012-10-06T00:00:00Z"/>
        <d v="2011-06-23T00:00:00Z"/>
        <d v="2017-07-16T00:00:00Z"/>
        <d v="2010-07-29T00:00:00Z"/>
        <d v="2012-01-14T00:00:00Z"/>
        <d v="2014-09-08T00:00:00Z"/>
        <d v="2013-11-05T00:00:00Z"/>
        <d v="2013-10-31T00:00:00Z"/>
        <d v="2012-07-27T00:00:00Z"/>
        <d v="2017-03-31T00:00:00Z"/>
        <d v="2014-11-08T00:00:00Z"/>
        <d v="2015-08-14T00:00:00Z"/>
        <d v="2014-06-19T00:00:00Z"/>
        <d v="2013-06-21T00:00:00Z"/>
        <d v="2012-01-09T00:00:00Z"/>
        <d v="2013-05-04T00:00:00Z"/>
        <d v="2013-10-13T00:00:00Z"/>
        <d v="2012-11-30T00:00:00Z"/>
        <d v="2010-09-14T00:00:00Z"/>
        <d v="2017-07-15T00:00:00Z"/>
        <d v="2015-01-02T00:00:00Z"/>
        <d v="2011-06-09T00:00:00Z"/>
        <d v="2012-08-15T00:00:00Z"/>
        <d v="2013-10-22T00:00:00Z"/>
        <d v="2014-11-23T00:00:00Z"/>
        <d v="2014-04-14T00:00:00Z"/>
        <d v="2012-11-07T00:00:00Z"/>
        <d v="2010-07-11T00:00:00Z"/>
        <d v="2013-03-26T00:00:00Z"/>
        <d v="2010-02-23T00:00:00Z"/>
        <d v="2016-05-13T00:00:00Z"/>
        <d v="2016-09-04T00:00:00Z"/>
        <d v="2016-10-31T00:00:00Z"/>
        <d v="2013-09-03T00:00:00Z"/>
        <d v="2011-03-03T00:00:00Z"/>
        <d v="2011-01-27T00:00:00Z"/>
        <d v="2014-09-13T00:00:00Z"/>
        <d v="2016-03-16T00:00:00Z"/>
        <d v="2015-06-18T00:00:00Z"/>
        <d v="2012-05-04T00:00:00Z"/>
        <d v="2016-01-28T00:00:00Z"/>
        <d v="2017-06-10T00:00:00Z"/>
        <d v="2014-05-28T00:00:00Z"/>
        <d v="2014-07-28T00:00:00Z"/>
        <d v="2014-10-28T00:00:00Z"/>
        <d v="2017-02-08T00:00:00Z"/>
        <d v="2012-08-26T00:00:00Z"/>
        <d v="2010-06-29T00:00:00Z"/>
        <d v="2014-03-16T00:00:00Z"/>
        <d v="2015-02-25T00:00:00Z"/>
        <d v="2010-04-12T00:00:00Z"/>
        <d v="2011-02-22T00:00:00Z"/>
        <d v="2014-07-09T00:00:00Z"/>
        <d v="2015-10-14T00:00:00Z"/>
        <d v="2011-05-09T00:00:00Z"/>
        <d v="2011-01-05T00:00:00Z"/>
        <d v="2013-07-16T00:00:00Z"/>
        <d v="2010-07-03T00:00:00Z"/>
        <d v="2014-01-14T00:00:00Z"/>
        <d v="2012-05-09T00:00:00Z"/>
        <d v="2014-08-17T00:00:00Z"/>
      </sharedItems>
    </cacheField>
    <cacheField name="Order ID" numFmtId="11">
      <sharedItems containsSemiMixedTypes="0" containsString="0" containsNumber="1" containsInteger="1">
        <n v="9.57E8"/>
        <n v="3.02E8"/>
        <n v="4.78E8"/>
        <n v="8.93E8"/>
        <n v="5.72E8"/>
        <n v="4.13E8"/>
        <n v="9.33E8"/>
        <n v="9.19E8"/>
        <n v="5.8E8"/>
        <n v="1.93E8"/>
        <n v="5.57E8"/>
        <n v="7.41E8"/>
        <n v="3.34E8"/>
        <n v="7.95E8"/>
        <n v="5.04E8"/>
        <n v="6.12E8"/>
        <n v="9.87E8"/>
        <n v="6.72E8"/>
        <n v="1.27E8"/>
        <n v="7.84E8"/>
        <n v="9.93E8"/>
        <n v="9.78E8"/>
        <n v="5.79E8"/>
        <n v="6.11E8"/>
        <n v="6.05E8"/>
        <n v="1.65E8"/>
        <n v="3.14E8"/>
        <n v="3.46E8"/>
        <n v="9.75E8"/>
        <n v="2.86E8"/>
        <n v="4.83E8"/>
        <n v="2.42E8"/>
        <n v="6.95E8"/>
        <n v="4.41E8"/>
        <n v="5.52E8"/>
        <n v="7.45E8"/>
        <n v="6.3E8"/>
        <n v="1.69E8"/>
        <n v="6.88E8"/>
        <n v="7.35E8"/>
        <n v="7.27E8"/>
        <n v="7.06E8"/>
        <n v="7.79E8"/>
        <n v="6.77E8"/>
        <n v="1.99E8"/>
        <n v="5.66E8"/>
        <n v="3.7E8"/>
        <n v="5.19E8"/>
        <n v="1.97E8"/>
        <n v="9.05E8"/>
        <n v="6.14E8"/>
        <n v="5.16E8"/>
        <n v="1.73E8"/>
        <n v="8.64E8"/>
        <n v="9.2E8"/>
        <n v="9.86E8"/>
        <n v="4.26E8"/>
        <n v="4.74E8"/>
        <n v="1.84E8"/>
        <n v="1.15E8"/>
        <n v="5.96E8"/>
        <n v="3.62E8"/>
        <n v="6.19E8"/>
        <n v="3.94E8"/>
        <n v="5.84E8"/>
        <n v="8.06E8"/>
        <n v="7.48E8"/>
        <n v="6.17E8"/>
        <n v="6.91E8"/>
        <n v="8.7E8"/>
        <n v="2.22E8"/>
        <n v="1.35E8"/>
        <n v="2.7E8"/>
        <n v="8.07E8"/>
        <n v="1.94E8"/>
        <n v="1.03E8"/>
        <n v="4.75E8"/>
        <n v="8.69E8"/>
        <n v="9.18E8"/>
        <n v="7.74E8"/>
        <n v="6.57E8"/>
        <n v="4.11E8"/>
        <n v="8.47E8"/>
        <n v="6.0E8"/>
        <n v="1.71E8"/>
        <n v="2.34E8"/>
        <n v="7.34E8"/>
        <n v="7.43E8"/>
        <n v="2.32E8"/>
        <n v="5.31E8"/>
        <n v="2.41E8"/>
        <n v="8.32E8"/>
        <n v="2.3E8"/>
        <n v="3.74E8"/>
        <n v="1.22E8"/>
        <n v="2.02E8"/>
        <n v="9.63E8"/>
        <n v="1.24E8"/>
        <n v="4.23E8"/>
        <n v="1.7E8"/>
        <n v="8.95E8"/>
        <n v="5.97E8"/>
        <n v="4.98E8"/>
        <n v="2.77E8"/>
        <n v="2.47E8"/>
        <n v="6.01E8"/>
        <n v="2.08E8"/>
        <n v="2.63E8"/>
        <n v="2.27E8"/>
        <n v="9.84E8"/>
        <n v="7.86E8"/>
        <n v="2.07E8"/>
        <n v="7.9E8"/>
        <n v="1.01E8"/>
        <n v="2.72E8"/>
        <n v="3.6E8"/>
        <n v="3.89E8"/>
        <n v="9.04E8"/>
        <n v="7.22E8"/>
        <n v="9.77E8"/>
        <n v="1.77E8"/>
        <n v="9.48E8"/>
        <n v="5.87E8"/>
        <n v="5.11E8"/>
        <n v="4.08E8"/>
        <n v="4.85E8"/>
        <n v="1.21E8"/>
        <n v="1.14E8"/>
        <n v="4.34E8"/>
        <n v="6.68E8"/>
        <n v="4.77E8"/>
        <n v="9.4E8"/>
        <n v="5.08E8"/>
        <n v="8.5E8"/>
        <n v="1.08E8"/>
        <n v="5.42E8"/>
        <n v="8.84E8"/>
        <n v="3.85E8"/>
        <n v="1.68E8"/>
        <n v="9.73E8"/>
        <n v="9.15E8"/>
        <n v="9.08E8"/>
        <n v="6.86E8"/>
        <n v="8.54E8"/>
        <n v="3.25E8"/>
        <n v="8.35E8"/>
        <n v="9.54E8"/>
        <n v="3.36E8"/>
        <n v="9.46E8"/>
        <n v="7.72E8"/>
        <n v="5.68E8"/>
        <n v="7.12E8"/>
        <n v="7.5E8"/>
        <n v="8.49E8"/>
        <n v="4.48E8"/>
        <n v="1.23E8"/>
        <n v="2.51E8"/>
        <n v="8.71E8"/>
        <n v="2.92E8"/>
        <n v="9.44E8"/>
        <n v="8.27E8"/>
        <n v="2.61E8"/>
        <n v="5.37E8"/>
        <n v="7.66E8"/>
        <n v="1.29E8"/>
        <n v="1.28E8"/>
        <n v="5.34E8"/>
        <n v="2.11E8"/>
        <n v="7.25E8"/>
        <n v="5.39E8"/>
        <n v="2.24E8"/>
        <n v="4.25E8"/>
        <n v="5.07E8"/>
        <n v="8.02E8"/>
        <n v="3.67E8"/>
        <n v="1.26E8"/>
        <n v="6.25E8"/>
        <n v="6.79E8"/>
        <n v="5.24E8"/>
        <n v="4.66E8"/>
        <n v="4.33E8"/>
        <n v="4.21E8"/>
        <n v="9.47E8"/>
        <n v="7.99E8"/>
        <n v="2.82E8"/>
        <n v="9.9E8"/>
        <n v="1.32E8"/>
        <n v="5.15E8"/>
        <n v="6.53E8"/>
        <n v="5.29E8"/>
        <n v="4.73E8"/>
        <n v="6.81E8"/>
        <n v="7.28E8"/>
        <n v="4.09E8"/>
        <n v="4.67E8"/>
        <n v="8.14E8"/>
        <n v="9.83E8"/>
        <n v="5.77E8"/>
        <n v="6.2E8"/>
        <n v="4.05E8"/>
        <n v="6.46E8"/>
        <n v="3.29E8"/>
        <n v="7.58E8"/>
        <n v="6.07E8"/>
        <n v="8.72E8"/>
        <n v="8.19E8"/>
        <n v="7.73E8"/>
        <n v="1.12E8"/>
        <n v="5.0E8"/>
        <n v="2.56E8"/>
        <n v="9.14E8"/>
        <n v="2.1E8"/>
        <n v="2.45E8"/>
        <n v="8.24E8"/>
        <n v="8.87E8"/>
        <n v="7.55E8"/>
        <n v="8.17E8"/>
        <n v="1.85E8"/>
        <n v="3.86E8"/>
        <n v="6.92E8"/>
        <n v="1.51E8"/>
        <n v="9.25E8"/>
        <n v="2.98E8"/>
        <n v="7.92E8"/>
        <n v="7.44E8"/>
        <n v="2.64E8"/>
        <n v="2.06E8"/>
        <n v="5.95E8"/>
        <n v="6.49E8"/>
        <n v="6.15E8"/>
        <n v="2.74E8"/>
        <n v="7.96E8"/>
        <n v="3.51E8"/>
        <n v="3.27E8"/>
        <n v="3.84E8"/>
        <n v="7.01E8"/>
        <n v="6.29E8"/>
        <n v="9.38E8"/>
        <n v="6.69E8"/>
        <n v="3.09E8"/>
        <n v="9.02E8"/>
        <n v="4.82E8"/>
        <n v="5.44E8"/>
        <n v="4.71E8"/>
        <n v="6.87E8"/>
        <n v="6.06E8"/>
        <n v="9.91E8"/>
        <n v="3.39E8"/>
        <n v="5.23E8"/>
        <n v="4.27E8"/>
        <n v="8.09E8"/>
        <n v="2.44E8"/>
        <n v="9.8E8"/>
        <n v="7.67E8"/>
        <n v="4.32E8"/>
        <n v="6.36E8"/>
        <n v="9.0E8"/>
        <n v="3.61E8"/>
        <n v="9.3E8"/>
        <n v="5.36E8"/>
        <n v="1.8E8"/>
        <n v="9.29E8"/>
        <n v="3.37E8"/>
        <n v="2.85E8"/>
        <n v="4.76E8"/>
        <n v="6.8E8"/>
        <n v="2.91E8"/>
        <n v="5.71E8"/>
        <n v="6.02E8"/>
        <n v="4.39E8"/>
        <n v="8.13E8"/>
        <n v="4.56E8"/>
        <n v="7.75E8"/>
        <n v="4.6E8"/>
        <n v="9.11E8"/>
        <n v="6.97E8"/>
        <n v="1.75E8"/>
        <n v="8.77E8"/>
        <n v="9.97E8"/>
        <n v="3.53E8"/>
        <n v="4.37E8"/>
        <n v="2.79E8"/>
        <n v="6.96E8"/>
        <n v="3.49E8"/>
        <n v="9.07E8"/>
        <n v="1.06E8"/>
        <n v="3.08E8"/>
        <n v="8.8E8"/>
        <n v="8.0E8"/>
        <n v="7.14E8"/>
        <n v="3.06E8"/>
        <n v="5.38E8"/>
        <n v="9.58E8"/>
        <n v="4.52E8"/>
        <n v="6.76E8"/>
        <n v="3.92E8"/>
        <n v="3.99E8"/>
        <n v="3.63E8"/>
        <n v="9.45E8"/>
        <n v="1.9E8"/>
        <n v="5.21E8"/>
        <n v="3.03E8"/>
        <n v="5.46E8"/>
        <n v="9.79E8"/>
        <n v="5.02E8"/>
        <n v="3.19E8"/>
        <n v="5.6E8"/>
        <n v="3.97E8"/>
        <n v="7.38E8"/>
        <n v="5.85E8"/>
        <n v="1.64E8"/>
        <n v="1.19E8"/>
        <n v="4.8E8"/>
        <n v="2.76E8"/>
        <n v="5.74E8"/>
        <n v="8.51E8"/>
        <n v="3.21E8"/>
        <n v="5.76E8"/>
        <n v="7.1E8"/>
        <n v="3.42E8"/>
        <n v="9.6E8"/>
        <n v="9.7E8"/>
        <n v="6.52E8"/>
        <n v="8.03E8"/>
        <n v="4.93E8"/>
        <n v="9.76E8"/>
        <n v="5.55E8"/>
        <n v="8.6E8"/>
        <n v="3.98E8"/>
        <n v="7.42E8"/>
        <n v="3.07E8"/>
        <n v="5.99E8"/>
        <n v="6.54E8"/>
        <n v="3.24E8"/>
        <n v="3.75E8"/>
        <n v="6.41E8"/>
        <n v="8.74E8"/>
        <n v="1.33E8"/>
        <n v="6.67E8"/>
        <n v="1.49E8"/>
        <n v="9.66E8"/>
        <n v="7.04E8"/>
        <n v="5.63E8"/>
        <n v="4.07E8"/>
        <n v="8.79E8"/>
        <n v="4.44E8"/>
        <n v="3.35E8"/>
        <n v="9.88E8"/>
        <n v="5.2E8"/>
        <n v="6.22E8"/>
        <n v="8.36E8"/>
        <n v="7.69E8"/>
        <n v="1.38E8"/>
        <n v="1.04E8"/>
        <n v="7.62E8"/>
        <n v="4.46E8"/>
        <n v="2.55E8"/>
        <n v="8.76E8"/>
        <n v="8.82E8"/>
        <n v="4.12E8"/>
        <n v="5.89E8"/>
        <n v="3.55E8"/>
        <n v="5.22E8"/>
        <n v="6.24E8"/>
        <n v="4.65E8"/>
        <n v="2.46E8"/>
        <n v="4.24E8"/>
        <n v="5.61E8"/>
        <n v="2.31E8"/>
        <n v="4.29E8"/>
        <n v="4.22E8"/>
        <n v="8.04E8"/>
        <n v="5.27E8"/>
        <n v="5.1E8"/>
        <n v="8.2E8"/>
        <n v="7.94E8"/>
        <n v="9.42E8"/>
        <n v="5.91E8"/>
        <n v="1.57E8"/>
        <n v="5.81E8"/>
        <n v="1.72E8"/>
        <n v="4.59E8"/>
        <n v="1.43E8"/>
        <n v="6.78E8"/>
        <n v="6.04E8"/>
        <n v="6.32E8"/>
        <n v="2.96E8"/>
        <n v="3.73E8"/>
        <n v="4.81E8"/>
        <n v="9.06E8"/>
        <n v="9.21E8"/>
        <n v="7.81E8"/>
        <n v="2.25E8"/>
        <n v="2.81E8"/>
        <n v="6.59E8"/>
        <n v="2.23E8"/>
        <n v="6.5E8"/>
        <n v="1.36E8"/>
        <n v="8.61E8"/>
        <n v="3.2E8"/>
        <n v="8.73E8"/>
        <n v="8.98E8"/>
        <n v="6.47E8"/>
        <n v="8.89E8"/>
        <n v="6.66E8"/>
        <n v="8.11E8"/>
        <n v="8.05E8"/>
        <n v="3.38E8"/>
        <n v="4.55E8"/>
        <n v="9.26E8"/>
        <n v="5.4E8"/>
        <n v="8.4E8"/>
        <n v="1.66E8"/>
        <n v="3.16E8"/>
        <n v="3.28E8"/>
        <n v="1.59E8"/>
        <n v="9.17E8"/>
        <n v="1.81E8"/>
        <n v="3.96E8"/>
        <n v="6.93E8"/>
        <n v="5.88E8"/>
        <n v="1.54E8"/>
        <n v="7.47E8"/>
        <n v="1.67E8"/>
        <n v="1.31E8"/>
        <n v="9.13E8"/>
        <n v="2.99E8"/>
        <n v="4.06E8"/>
        <n v="5.59E8"/>
        <n v="4.58E8"/>
        <n v="9.99E8"/>
        <n v="3.81E8"/>
        <n v="2.37E8"/>
        <n v="4.03E8"/>
        <n v="7.91E8"/>
        <n v="7.98E8"/>
        <n v="7.51E8"/>
        <n v="7.29E8"/>
        <n v="4.19E8"/>
        <n v="1.41E8"/>
        <n v="1.16E8"/>
        <n v="1.86E8"/>
        <n v="7.83E8"/>
        <n v="4.45E8"/>
        <n v="2.75E8"/>
        <n v="8.33E8"/>
        <n v="3.59E8"/>
        <n v="3.5E8"/>
        <n v="3.8E8"/>
        <n v="5.45E8"/>
        <n v="1.11E8"/>
        <n v="6.63E8"/>
        <n v="2.58E8"/>
        <n v="8.53E8"/>
        <n v="5.67E8"/>
        <n v="8.67E8"/>
        <n v="1.39E8"/>
        <n v="3.17E8"/>
        <n v="9.22E8"/>
        <n v="7.56E8"/>
        <n v="4.92E8"/>
        <n v="3.47E8"/>
        <n v="1.92E8"/>
        <n v="1.53E8"/>
        <n v="7.24E8"/>
        <n v="2.03E8"/>
        <n v="1.74E8"/>
        <n v="2.83E8"/>
        <n v="5.93E8"/>
        <n v="5.53E8"/>
        <n v="5.43E8"/>
        <n v="7.52E8"/>
        <n v="8.52E8"/>
        <n v="7.82E8"/>
        <n v="7.33E8"/>
        <n v="8.91E8"/>
        <n v="6.38E8"/>
        <n v="3.78E8"/>
        <n v="2.01E8"/>
        <n v="8.34E8"/>
        <n v="8.26E8"/>
        <n v="1.82E8"/>
        <n v="1.87E8"/>
        <n v="3.87E8"/>
        <n v="4.0E8"/>
        <n v="3.05E8"/>
        <n v="6.83E8"/>
        <n v="5.9E8"/>
        <n v="9.49E8"/>
        <n v="4.14E8"/>
        <n v="7.21E8"/>
        <n v="2.17E8"/>
        <n v="1.6E8"/>
        <n v="7.05E8"/>
        <n v="8.94E8"/>
        <n v="1.18E8"/>
        <n v="1.46E8"/>
        <n v="1.42E8"/>
        <n v="2.38E8"/>
        <n v="9.16E8"/>
        <n v="9.95E8"/>
        <n v="7.68E8"/>
        <n v="2.66E8"/>
        <n v="3.1E8"/>
        <n v="6.37E8"/>
        <n v="3.64E8"/>
        <n v="8.86E8"/>
        <n v="6.56E8"/>
        <n v="2.35E8"/>
        <n v="4.61E8"/>
        <n v="2.67E8"/>
        <n v="1.05E8"/>
        <n v="9.12E8"/>
        <n v="9.98E8"/>
        <n v="6.98E8"/>
        <n v="4.31E8"/>
        <n v="3.76E8"/>
        <n v="9.37E8"/>
        <n v="9.68E8"/>
        <n v="4.16E8"/>
        <n v="5.49E8"/>
        <n v="8.75E8"/>
        <n v="3.32E8"/>
        <n v="4.36E8"/>
        <n v="3.13E8"/>
        <n v="1.95E8"/>
        <n v="6.65E8"/>
        <n v="6.62E8"/>
        <n v="5.92E8"/>
        <n v="2.6E8"/>
        <n v="7.19E8"/>
        <n v="3.91E8"/>
        <n v="2.04E8"/>
        <n v="8.01E8"/>
        <n v="5.25E8"/>
        <n v="4.69E8"/>
        <n v="6.89E8"/>
        <n v="1.79E8"/>
        <n v="8.23E8"/>
        <n v="1.63E8"/>
        <n v="4.4E8"/>
        <n v="3.45E8"/>
        <n v="3.33E8"/>
        <n v="1.4E8"/>
        <n v="5.18E8"/>
        <n v="4.88E8"/>
        <n v="2.49E8"/>
        <n v="3.77E8"/>
        <n v="4.02E8"/>
        <n v="8.29E8"/>
        <n v="7.09E8"/>
        <n v="4.63E8"/>
        <n v="6.26E8"/>
        <n v="2.73E8"/>
        <n v="6.31E8"/>
        <n v="2.39E8"/>
        <n v="2.09E8"/>
        <n v="5.82E8"/>
        <n v="6.03E8"/>
        <n v="4.54E8"/>
        <n v="7.4E8"/>
        <n v="1.37E8"/>
        <n v="7.36E8"/>
        <n v="3.43E8"/>
        <n v="4.43E8"/>
        <n v="9.64E8"/>
        <n v="2.48E8"/>
        <n v="6.4E8"/>
        <n v="4.04E8"/>
        <n v="1.07E8"/>
        <n v="5.98E8"/>
        <n v="6.1E8"/>
        <n v="7.3E8"/>
        <n v="9.56E8"/>
        <n v="3.82E8"/>
        <n v="6.13E8"/>
        <n v="2.53E8"/>
        <n v="5.48E8"/>
        <n v="9.31E8"/>
        <n v="2.65E8"/>
        <n v="4.7E8"/>
        <n v="9.51E8"/>
        <n v="2.8E8"/>
        <n v="8.88E8"/>
        <n v="2.78E8"/>
        <n v="3.18E8"/>
        <n v="2.88E8"/>
        <n v="9.72E8"/>
        <n v="4.51E8"/>
        <n v="8.43E8"/>
        <n v="1.91E8"/>
        <n v="5.17E8"/>
        <n v="3.48E8"/>
        <n v="3.0E8"/>
        <n v="7.89E8"/>
        <n v="6.74E8"/>
        <n v="8.9E8"/>
        <n v="5.65E8"/>
        <n v="2.16E8"/>
        <n v="4.3E8"/>
        <n v="8.21E8"/>
        <n v="3.83E8"/>
        <n v="1.3E8"/>
        <n v="8.39E8"/>
        <n v="1.56E8"/>
        <n v="7.53E8"/>
        <n v="3.44E8"/>
        <n v="5.28E8"/>
        <n v="4.17E8"/>
        <n v="8.68E8"/>
        <n v="4.57E8"/>
        <n v="5.32E8"/>
        <n v="6.75E8"/>
        <n v="6.39E8"/>
        <n v="8.44E8"/>
        <n v="9.52E8"/>
        <n v="9.24E8"/>
        <n v="6.28E8"/>
        <n v="7.2E8"/>
        <n v="3.3E8"/>
        <n v="2.18E8"/>
        <n v="8.38E8"/>
        <n v="9.1E8"/>
        <n v="2.54E8"/>
        <n v="5.7E8"/>
        <n v="9.81E8"/>
        <n v="9.5E8"/>
        <n v="6.82E8"/>
        <n v="9.71E8"/>
        <n v="8.1E8"/>
        <n v="5.86E8"/>
        <n v="7.87E8"/>
        <n v="7.6E8"/>
        <n v="5.62E8"/>
        <n v="3.41E8"/>
        <n v="2.28E8"/>
        <n v="4.84E8"/>
        <n v="9.89E8"/>
        <n v="8.81E8"/>
        <n v="5.94E8"/>
        <n v="3.57E8"/>
        <n v="9.27E8"/>
        <n v="8.66E8"/>
        <n v="6.99E8"/>
        <n v="9.32E8"/>
        <n v="8.56E8"/>
        <n v="1.02E8"/>
        <n v="7.13E8"/>
        <n v="8.45E8"/>
        <n v="6.85E8"/>
        <n v="8.85E8"/>
        <n v="9.23E8"/>
        <n v="4.72E8"/>
        <n v="7.54E8"/>
        <n v="3.58E8"/>
        <n v="8.16E8"/>
        <n v="6.73E8"/>
        <n v="8.28E8"/>
        <n v="6.48E8"/>
        <n v="4.18E8"/>
        <n v="7.16E8"/>
        <n v="7.93E8"/>
        <n v="8.08E8"/>
        <n v="4.97E8"/>
        <n v="9.41E8"/>
        <n v="3.93E8"/>
        <n v="8.97E8"/>
        <n v="4.47E8"/>
        <n v="5.14E8"/>
        <n v="9.35E8"/>
        <n v="2.13E8"/>
        <n v="6.7E8"/>
        <n v="5.83E8"/>
        <n v="5.47E8"/>
        <n v="4.49E8"/>
        <n v="2.26E8"/>
        <n v="9.01E8"/>
        <n v="1.78E8"/>
        <n v="2.14E8"/>
        <n v="8.99E8"/>
        <n v="2.62E8"/>
        <n v="9.59E8"/>
        <n v="4.91E8"/>
        <n v="6.55E8"/>
        <n v="7.0E8"/>
        <n v="2.43E8"/>
        <n v="8.37E8"/>
        <n v="3.68E8"/>
        <n v="3.71E8"/>
        <n v="9.36E8"/>
        <n v="3.52E8"/>
        <n v="6.35E8"/>
        <n v="5.06E8"/>
        <n v="4.38E8"/>
        <n v="3.26E8"/>
        <n v="7.39E8"/>
        <n v="8.57E8"/>
        <n v="3.65E8"/>
        <n v="2.69E8"/>
        <n v="9.67E8"/>
        <n v="4.35E8"/>
        <n v="3.22E8"/>
        <n v="3.11E8"/>
        <n v="7.26E8"/>
        <n v="6.84E8"/>
        <n v="8.96E8"/>
        <n v="4.1E8"/>
        <n v="4.68E8"/>
        <n v="1.83E8"/>
        <n v="6.71E8"/>
        <n v="5.75E8"/>
        <n v="1.55E8"/>
        <n v="5.41E8"/>
        <n v="3.79E8"/>
        <n v="1.34E8"/>
        <n v="5.26E8"/>
        <n v="2.52E8"/>
        <n v="7.61E8"/>
        <n v="5.78E8"/>
        <n v="6.45E8"/>
        <n v="4.99E8"/>
        <n v="1.17E8"/>
        <n v="5.13E8"/>
        <n v="4.62E8"/>
        <n v="1.61E8"/>
        <n v="9.34E8"/>
        <n v="7.65E8"/>
        <n v="9.85E8"/>
        <n v="6.33E8"/>
        <n v="7.77E8"/>
        <n v="7.97E8"/>
        <n v="8.63E8"/>
        <n v="7.17E8"/>
        <n v="4.79E8"/>
        <n v="6.27E8"/>
        <n v="8.58E8"/>
        <n v="2.0E8"/>
        <n v="7.18E8"/>
        <n v="1.5E8"/>
        <n v="2.93E8"/>
        <n v="1.45E8"/>
        <n v="8.62E8"/>
        <n v="3.23E8"/>
        <n v="3.69E8"/>
        <n v="9.53E8"/>
        <n v="9.55E8"/>
        <n v="2.59E8"/>
        <n v="9.94E8"/>
        <n v="7.08E8"/>
        <n v="5.01E8"/>
        <n v="9.28E8"/>
        <n v="4.28E8"/>
        <n v="6.18E8"/>
        <n v="6.08E8"/>
        <n v="2.19E8"/>
        <n v="1.2E8"/>
        <n v="5.56E8"/>
        <n v="7.37E8"/>
        <n v="7.49E8"/>
        <n v="5.69E8"/>
        <n v="3.12E8"/>
        <n v="2.15E8"/>
        <n v="9.61E8"/>
        <n v="8.46E8"/>
        <n v="2.36E8"/>
        <n v="3.15E8"/>
        <n v="7.03E8"/>
        <n v="6.43E8"/>
        <n v="8.15E8"/>
        <n v="6.09E8"/>
        <n v="9.43E8"/>
        <n v="8.25E8"/>
        <n v="6.44E8"/>
        <n v="1.62E8"/>
        <n v="3.54E8"/>
        <n v="1.44E8"/>
        <n v="4.5E8"/>
        <n v="3.9E8"/>
        <n v="6.6E8"/>
        <n v="7.71E8"/>
        <n v="9.74E8"/>
        <n v="3.4E8"/>
        <n v="8.18E8"/>
        <n v="5.12E8"/>
        <n v="3.01E8"/>
        <n v="2.05E8"/>
        <n v="4.87E8"/>
        <n v="1.76E8"/>
        <n v="5.73E8"/>
        <n v="2.84E8"/>
        <n v="8.12E8"/>
        <n v="9.92E8"/>
        <n v="2.87E8"/>
        <n v="9.69E8"/>
        <n v="1.96E8"/>
        <n v="8.41E8"/>
        <n v="5.51E8"/>
        <n v="7.85E8"/>
        <n v="2.95E8"/>
        <n v="9.65E8"/>
        <n v="1.58E8"/>
        <n v="1.89E8"/>
        <n v="3.66E8"/>
        <n v="1.0E9"/>
        <n v="8.3E8"/>
        <n v="8.48E8"/>
        <n v="4.42E8"/>
        <n v="2.5E8"/>
        <n v="6.64E8"/>
        <n v="2.29E8"/>
        <n v="2.9E8"/>
        <n v="7.7E8"/>
        <n v="4.95E8"/>
        <n v="9.62E8"/>
        <n v="8.83E8"/>
        <n v="8.22E8"/>
        <n v="1.88E8"/>
        <n v="5.09E8"/>
        <n v="2.97E8"/>
        <n v="7.88E8"/>
        <n v="7.15E8"/>
        <n v="7.32E8"/>
        <n v="1.52E8"/>
        <n v="6.9E8"/>
        <n v="6.94E8"/>
        <n v="6.42E8"/>
        <n v="6.21E8"/>
        <n v="1.13E8"/>
        <n v="3.04E8"/>
        <n v="2.94E8"/>
        <n v="1.0E8"/>
        <n v="6.58E8"/>
        <n v="4.15E8"/>
        <n v="1.48E8"/>
        <n v="4.53E8"/>
        <n v="1.98E8"/>
        <n v="8.31E8"/>
        <n v="6.23E8"/>
        <n v="5.54E8"/>
        <n v="3.56E8"/>
        <n v="5.5E8"/>
        <n v="4.86E8"/>
        <n v="4.01E8"/>
        <n v="5.35E8"/>
        <n v="4.96E8"/>
        <n v="4.2E8"/>
        <n v="6.51E8"/>
        <n v="5.33E8"/>
        <n v="8.65E8"/>
        <n v="3.72E8"/>
        <n v="1.25E8"/>
        <n v="1.09E8"/>
        <n v="9.82E8"/>
        <n v="2.4E8"/>
        <n v="9.39E8"/>
        <n v="5.58E8"/>
        <n v="2.71E8"/>
        <n v="7.23E8"/>
        <n v="2.2E8"/>
        <n v="9.96E8"/>
        <n v="7.8E8"/>
        <n v="2.12E8"/>
        <n v="7.64E8"/>
        <n v="7.57E8"/>
        <n v="9.09E8"/>
        <n v="7.31E8"/>
        <n v="7.76E8"/>
        <n v="8.92E8"/>
        <n v="4.9E8"/>
        <n v="7.11E8"/>
        <n v="7.63E8"/>
        <n v="1.1E8"/>
        <n v="5.3E8"/>
        <n v="8.55E8"/>
        <n v="8.78E8"/>
        <n v="5.64E8"/>
        <n v="6.34E8"/>
        <n v="8.42E8"/>
        <n v="2.57E8"/>
        <n v="2.68E8"/>
        <n v="2.21E8"/>
        <n v="2.33E8"/>
        <n v="3.88E8"/>
        <n v="1.47E8"/>
        <n v="8.59E8"/>
        <n v="4.64E8"/>
        <n v="6.61E8"/>
        <n v="7.78E8"/>
        <n v="5.05E8"/>
        <n v="2.89E8"/>
        <n v="7.59E8"/>
        <n v="7.07E8"/>
        <n v="7.02E8"/>
        <n v="9.03E8"/>
        <n v="3.31E8"/>
        <n v="4.94E8"/>
        <n v="4.89E8"/>
        <n v="5.03E8"/>
        <n v="6.16E8"/>
      </sharedItems>
    </cacheField>
    <cacheField name="Ship Date" numFmtId="167">
      <sharedItems containsSemiMixedTypes="0" containsDate="1" containsString="0">
        <d v="2014-01-11T00:00:00Z"/>
        <d v="2010-07-26T00:00:00Z"/>
        <d v="2011-09-29T00:00:00Z"/>
        <d v="2010-06-15T00:00:00Z"/>
        <d v="2015-07-27T00:00:00Z"/>
        <d v="2010-11-22T00:00:00Z"/>
        <d v="2011-05-10T00:00:00Z"/>
        <d v="2013-11-04T00:00:00Z"/>
        <d v="2016-10-05T00:00:00Z"/>
        <d v="2015-05-07T00:00:00Z"/>
        <d v="2013-10-15T00:00:00Z"/>
        <d v="2013-05-17T00:00:00Z"/>
        <d v="2016-08-25T00:00:00Z"/>
        <d v="2015-07-16T00:00:00Z"/>
        <d v="2010-12-03T00:00:00Z"/>
        <d v="2016-01-31T00:00:00Z"/>
        <d v="2014-09-06T00:00:00Z"/>
        <d v="2010-11-29T00:00:00Z"/>
        <d v="2017-03-20T00:00:00Z"/>
        <d v="2013-06-01T00:00:00Z"/>
        <d v="2010-03-03T00:00:00Z"/>
        <d v="2015-10-14T00:00:00Z"/>
        <d v="2016-11-01T00:00:00Z"/>
        <d v="2012-04-07T00:00:00Z"/>
        <d v="2017-06-05T00:00:00Z"/>
        <d v="2014-05-01T00:00:00Z"/>
        <d v="2016-07-10T00:00:00Z"/>
        <d v="2012-02-01T00:00:00Z"/>
        <d v="2013-01-21T00:00:00Z"/>
        <d v="2013-04-15T00:00:00Z"/>
        <d v="2015-08-06T00:00:00Z"/>
        <d v="2012-01-17T00:00:00Z"/>
        <d v="2011-07-05T00:00:00Z"/>
        <d v="2012-04-02T00:00:00Z"/>
        <d v="2013-05-12T00:00:00Z"/>
        <d v="2011-08-05T00:00:00Z"/>
        <d v="2012-03-27T00:00:00Z"/>
        <d v="2010-04-01T00:00:00Z"/>
        <d v="2016-09-15T00:00:00Z"/>
        <d v="2017-05-03T00:00:00Z"/>
        <d v="2014-04-10T00:00:00Z"/>
        <d v="2014-03-04T00:00:00Z"/>
        <d v="2017-03-24T00:00:00Z"/>
        <d v="2013-09-22T00:00:00Z"/>
        <d v="2017-01-25T00:00:00Z"/>
        <d v="2015-10-03T00:00:00Z"/>
        <d v="2014-07-09T00:00:00Z"/>
        <d v="2014-10-16T00:00:00Z"/>
        <d v="2012-03-23T00:00:00Z"/>
        <d v="2014-06-13T00:00:00Z"/>
        <d v="2015-01-17T00:00:00Z"/>
        <d v="2012-09-11T00:00:00Z"/>
        <d v="2014-05-04T00:00:00Z"/>
        <d v="2016-12-31T00:00:00Z"/>
        <d v="2010-10-29T00:00:00Z"/>
        <d v="2014-01-17T00:00:00Z"/>
        <d v="2015-01-03T00:00:00Z"/>
        <d v="2015-01-05T00:00:00Z"/>
        <d v="2016-03-06T00:00:00Z"/>
        <d v="2010-07-30T00:00:00Z"/>
        <d v="2013-07-18T00:00:00Z"/>
        <d v="2015-07-03T00:00:00Z"/>
        <d v="2015-04-07T00:00:00Z"/>
        <d v="2016-09-30T00:00:00Z"/>
        <d v="2010-03-20T00:00:00Z"/>
        <d v="2014-12-23T00:00:00Z"/>
        <d v="2016-08-02T00:00:00Z"/>
        <d v="2016-06-23T00:00:00Z"/>
        <d v="2013-04-28T00:00:00Z"/>
        <d v="2014-08-15T00:00:00Z"/>
        <d v="2017-04-03T00:00:00Z"/>
        <d v="2011-12-03T00:00:00Z"/>
        <d v="2016-11-07T00:00:00Z"/>
        <d v="2013-05-16T00:00:00Z"/>
        <d v="2017-08-17T00:00:00Z"/>
        <d v="2012-05-23T00:00:00Z"/>
        <d v="2010-07-18T00:00:00Z"/>
        <d v="2017-08-20T00:00:00Z"/>
        <d v="2017-08-15T00:00:00Z"/>
        <d v="2014-05-30T00:00:00Z"/>
        <d v="2013-01-05T00:00:00Z"/>
        <d v="2015-12-21T00:00:00Z"/>
        <d v="2011-01-28T00:00:00Z"/>
        <d v="2014-07-02T00:00:00Z"/>
        <d v="2012-09-01T00:00:00Z"/>
        <d v="2011-12-18T00:00:00Z"/>
        <d v="2012-09-21T00:00:00Z"/>
        <d v="2012-02-12T00:00:00Z"/>
        <d v="2016-02-09T00:00:00Z"/>
        <d v="2012-10-12T00:00:00Z"/>
        <d v="2013-12-31T00:00:00Z"/>
        <d v="2015-03-20T00:00:00Z"/>
        <d v="2017-08-04T00:00:00Z"/>
        <d v="2014-08-02T00:00:00Z"/>
        <d v="2012-01-12T00:00:00Z"/>
        <d v="2016-11-13T00:00:00Z"/>
        <d v="2010-06-05T00:00:00Z"/>
        <d v="2013-04-13T00:00:00Z"/>
        <d v="2012-10-26T00:00:00Z"/>
        <d v="2012-07-15T00:00:00Z"/>
        <d v="2013-06-15T00:00:00Z"/>
        <d v="2017-04-12T00:00:00Z"/>
        <d v="2015-12-14T00:00:00Z"/>
        <d v="2017-02-01T00:00:00Z"/>
        <d v="2010-09-13T00:00:00Z"/>
        <d v="2010-08-12T00:00:00Z"/>
        <d v="2012-11-20T00:00:00Z"/>
        <d v="2016-08-14T00:00:00Z"/>
        <d v="2015-06-11T00:00:00Z"/>
        <d v="2010-08-27T00:00:00Z"/>
        <d v="2011-02-13T00:00:00Z"/>
        <d v="2015-07-11T00:00:00Z"/>
        <d v="2015-08-30T00:00:00Z"/>
        <d v="2015-12-29T00:00:00Z"/>
        <d v="2014-07-04T00:00:00Z"/>
        <d v="2014-01-06T00:00:00Z"/>
        <d v="2010-08-01T00:00:00Z"/>
        <d v="2013-01-26T00:00:00Z"/>
        <d v="2016-03-05T00:00:00Z"/>
        <d v="2011-05-29T00:00:00Z"/>
        <d v="2014-10-18T00:00:00Z"/>
        <d v="2016-06-27T00:00:00Z"/>
        <d v="2015-02-27T00:00:00Z"/>
        <d v="2014-11-11T00:00:00Z"/>
        <d v="2012-06-23T00:00:00Z"/>
        <d v="2010-02-17T00:00:00Z"/>
        <d v="2011-03-10T00:00:00Z"/>
        <d v="2015-09-12T00:00:00Z"/>
        <d v="2010-05-14T00:00:00Z"/>
        <d v="2016-04-22T00:00:00Z"/>
        <d v="2010-09-23T00:00:00Z"/>
        <d v="2013-07-05T00:00:00Z"/>
        <d v="2015-03-16T00:00:00Z"/>
        <d v="2011-05-02T00:00:00Z"/>
        <d v="2013-05-15T00:00:00Z"/>
        <d v="2015-01-15T00:00:00Z"/>
        <d v="2011-06-12T00:00:00Z"/>
        <d v="2017-03-27T00:00:00Z"/>
        <d v="2010-07-29T00:00:00Z"/>
        <d v="2013-05-26T00:00:00Z"/>
        <d v="2010-10-01T00:00:00Z"/>
        <d v="2016-12-08T00:00:00Z"/>
        <d v="2011-05-13T00:00:00Z"/>
        <d v="2012-09-03T00:00:00Z"/>
        <d v="2013-10-06T00:00:00Z"/>
        <d v="2016-06-26T00:00:00Z"/>
        <d v="2012-03-18T00:00:00Z"/>
        <d v="2016-02-24T00:00:00Z"/>
        <d v="2010-06-14T00:00:00Z"/>
        <d v="2016-03-29T00:00:00Z"/>
        <d v="2014-01-10T00:00:00Z"/>
        <d v="2015-09-14T00:00:00Z"/>
        <d v="2015-04-06T00:00:00Z"/>
        <d v="2015-05-20T00:00:00Z"/>
        <d v="2015-12-25T00:00:00Z"/>
        <d v="2010-07-04T00:00:00Z"/>
        <d v="2013-03-21T00:00:00Z"/>
        <d v="2017-05-22T00:00:00Z"/>
        <d v="2014-11-18T00:00:00Z"/>
        <d v="2016-01-30T00:00:00Z"/>
        <d v="2016-08-18T00:00:00Z"/>
        <d v="2017-07-22T00:00:00Z"/>
        <d v="2013-04-08T00:00:00Z"/>
        <d v="2010-07-27T00:00:00Z"/>
        <d v="2017-03-22T00:00:00Z"/>
        <d v="2015-10-20T00:00:00Z"/>
        <d v="2012-04-11T00:00:00Z"/>
        <d v="2010-06-06T00:00:00Z"/>
        <d v="2014-08-01T00:00:00Z"/>
        <d v="2011-04-18T00:00:00Z"/>
        <d v="2011-05-12T00:00:00Z"/>
        <d v="2014-11-03T00:00:00Z"/>
        <d v="2015-03-06T00:00:00Z"/>
        <d v="2011-03-13T00:00:00Z"/>
        <d v="2017-04-05T00:00:00Z"/>
        <d v="2015-05-25T00:00:00Z"/>
        <d v="2011-01-10T00:00:00Z"/>
        <d v="2014-05-27T00:00:00Z"/>
        <d v="2014-04-13T00:00:00Z"/>
        <d v="2011-09-07T00:00:00Z"/>
        <d v="2016-06-12T00:00:00Z"/>
        <d v="2012-12-05T00:00:00Z"/>
        <d v="2016-08-08T00:00:00Z"/>
        <d v="2010-04-26T00:00:00Z"/>
        <d v="2015-08-09T00:00:00Z"/>
        <d v="2013-05-21T00:00:00Z"/>
        <d v="2016-02-08T00:00:00Z"/>
        <d v="2010-09-28T00:00:00Z"/>
        <d v="2015-05-22T00:00:00Z"/>
        <d v="2015-05-12T00:00:00Z"/>
        <d v="2012-02-06T00:00:00Z"/>
        <d v="2012-02-18T00:00:00Z"/>
        <d v="2014-12-16T00:00:00Z"/>
        <d v="2010-04-25T00:00:00Z"/>
        <d v="2011-06-20T00:00:00Z"/>
        <d v="2013-10-18T00:00:00Z"/>
        <d v="2013-10-11T00:00:00Z"/>
        <d v="2012-11-03T00:00:00Z"/>
        <d v="2013-05-22T00:00:00Z"/>
        <d v="2015-01-21T00:00:00Z"/>
        <d v="2011-01-07T00:00:00Z"/>
        <d v="2014-07-19T00:00:00Z"/>
        <d v="2017-03-02T00:00:00Z"/>
        <d v="2015-03-19T00:00:00Z"/>
        <d v="2013-07-23T00:00:00Z"/>
        <d v="2013-06-11T00:00:00Z"/>
        <d v="2013-04-12T00:00:00Z"/>
        <d v="2012-11-13T00:00:00Z"/>
        <d v="2012-05-29T00:00:00Z"/>
        <d v="2016-10-09T00:00:00Z"/>
        <d v="2016-10-16T00:00:00Z"/>
        <d v="2015-09-08T00:00:00Z"/>
        <d v="2010-01-25T00:00:00Z"/>
        <d v="2015-12-19T00:00:00Z"/>
        <d v="2014-10-13T00:00:00Z"/>
        <d v="2012-12-21T00:00:00Z"/>
        <d v="2017-07-20T00:00:00Z"/>
        <d v="2017-03-09T00:00:00Z"/>
        <d v="2017-01-11T00:00:00Z"/>
        <d v="2012-01-14T00:00:00Z"/>
        <d v="2013-06-05T00:00:00Z"/>
        <d v="2014-08-21T00:00:00Z"/>
        <d v="2017-03-29T00:00:00Z"/>
        <d v="2013-04-23T00:00:00Z"/>
        <d v="2010-05-03T00:00:00Z"/>
        <d v="2013-09-28T00:00:00Z"/>
        <d v="2014-07-01T00:00:00Z"/>
        <d v="2015-12-17T00:00:00Z"/>
        <d v="2015-04-21T00:00:00Z"/>
        <d v="2014-01-31T00:00:00Z"/>
        <d v="2015-05-27T00:00:00Z"/>
        <d v="2011-11-14T00:00:00Z"/>
        <d v="2012-03-20T00:00:00Z"/>
        <d v="2014-11-05T00:00:00Z"/>
        <d v="2011-12-22T00:00:00Z"/>
        <d v="2015-09-02T00:00:00Z"/>
        <d v="2015-05-03T00:00:00Z"/>
        <d v="2010-10-25T00:00:00Z"/>
        <d v="2010-09-16T00:00:00Z"/>
        <d v="2017-04-09T00:00:00Z"/>
        <d v="2014-09-21T00:00:00Z"/>
        <d v="2011-03-31T00:00:00Z"/>
        <d v="2012-04-08T00:00:00Z"/>
        <d v="2016-06-18T00:00:00Z"/>
        <d v="2012-06-17T00:00:00Z"/>
        <d v="2012-09-16T00:00:00Z"/>
        <d v="2011-08-16T00:00:00Z"/>
        <d v="2012-06-02T00:00:00Z"/>
        <d v="2015-06-08T00:00:00Z"/>
        <d v="2014-05-21T00:00:00Z"/>
        <d v="2015-12-10T00:00:00Z"/>
        <d v="2015-02-07T00:00:00Z"/>
        <d v="2015-09-19T00:00:00Z"/>
        <d v="2016-09-05T00:00:00Z"/>
        <d v="2014-09-27T00:00:00Z"/>
        <d v="2011-01-22T00:00:00Z"/>
        <d v="2015-09-29T00:00:00Z"/>
        <d v="2012-01-06T00:00:00Z"/>
        <d v="2017-08-14T00:00:00Z"/>
        <d v="2013-11-29T00:00:00Z"/>
        <d v="2012-07-07T00:00:00Z"/>
        <d v="2010-11-15T00:00:00Z"/>
        <d v="2011-03-28T00:00:00Z"/>
        <d v="2016-12-20T00:00:00Z"/>
        <d v="2013-09-03T00:00:00Z"/>
        <d v="2010-06-28T00:00:00Z"/>
        <d v="2014-01-30T00:00:00Z"/>
        <d v="2016-10-17T00:00:00Z"/>
        <d v="2016-01-27T00:00:00Z"/>
        <d v="2010-03-08T00:00:00Z"/>
        <d v="2012-07-24T00:00:00Z"/>
        <d v="2011-06-15T00:00:00Z"/>
        <d v="2017-02-05T00:00:00Z"/>
        <d v="2014-02-18T00:00:00Z"/>
        <d v="2011-04-16T00:00:00Z"/>
        <d v="2014-04-08T00:00:00Z"/>
        <d v="2015-01-02T00:00:00Z"/>
        <d v="2017-07-15T00:00:00Z"/>
        <d v="2012-01-07T00:00:00Z"/>
        <d v="2016-02-15T00:00:00Z"/>
        <d v="2010-10-10T00:00:00Z"/>
        <d v="2011-12-29T00:00:00Z"/>
        <d v="2014-03-11T00:00:00Z"/>
        <d v="2016-06-19T00:00:00Z"/>
        <d v="2011-07-28T00:00:00Z"/>
        <d v="2012-03-26T00:00:00Z"/>
        <d v="2017-02-15T00:00:00Z"/>
        <d v="2014-06-21T00:00:00Z"/>
        <d v="2016-06-07T00:00:00Z"/>
        <d v="2017-04-17T00:00:00Z"/>
        <d v="2017-01-07T00:00:00Z"/>
        <d v="2017-03-28T00:00:00Z"/>
        <d v="2011-06-25T00:00:00Z"/>
        <d v="2014-09-03T00:00:00Z"/>
        <d v="2015-11-08T00:00:00Z"/>
        <d v="2013-01-06T00:00:00Z"/>
        <d v="2016-09-06T00:00:00Z"/>
        <d v="2015-05-05T00:00:00Z"/>
        <d v="2010-04-14T00:00:00Z"/>
        <d v="2010-12-07T00:00:00Z"/>
        <d v="2014-01-05T00:00:00Z"/>
        <d v="2014-08-18T00:00:00Z"/>
        <d v="2010-02-28T00:00:00Z"/>
        <d v="2012-02-02T00:00:00Z"/>
        <d v="2017-06-10T00:00:00Z"/>
        <d v="2013-03-13T00:00:00Z"/>
        <d v="2017-07-31T00:00:00Z"/>
        <d v="2015-12-03T00:00:00Z"/>
        <d v="2012-09-22T00:00:00Z"/>
        <d v="2017-03-23T00:00:00Z"/>
        <d v="2012-11-14T00:00:00Z"/>
        <d v="2012-10-21T00:00:00Z"/>
        <d v="2016-02-11T00:00:00Z"/>
        <d v="2010-12-08T00:00:00Z"/>
        <d v="2011-12-08T00:00:00Z"/>
        <d v="2013-06-02T00:00:00Z"/>
        <d v="2011-01-26T00:00:00Z"/>
        <d v="2010-03-26T00:00:00Z"/>
        <d v="2016-01-12T00:00:00Z"/>
        <d v="2015-09-20T00:00:00Z"/>
        <d v="2012-05-16T00:00:00Z"/>
        <d v="2014-04-25T00:00:00Z"/>
        <d v="2015-10-27T00:00:00Z"/>
        <d v="2015-09-15T00:00:00Z"/>
        <d v="2014-01-08T00:00:00Z"/>
        <d v="2015-10-15T00:00:00Z"/>
        <d v="2011-10-30T00:00:00Z"/>
        <d v="2015-08-10T00:00:00Z"/>
        <d v="2014-02-02T00:00:00Z"/>
        <d v="2011-01-27T00:00:00Z"/>
        <d v="2013-11-24T00:00:00Z"/>
        <d v="2016-02-28T00:00:00Z"/>
        <d v="2015-12-23T00:00:00Z"/>
        <d v="2014-12-29T00:00:00Z"/>
        <d v="2013-03-09T00:00:00Z"/>
        <d v="2017-08-10T00:00:00Z"/>
        <d v="2011-07-23T00:00:00Z"/>
        <d v="2012-08-07T00:00:00Z"/>
        <d v="2011-02-19T00:00:00Z"/>
        <d v="2012-08-06T00:00:00Z"/>
        <d v="2013-06-24T00:00:00Z"/>
        <d v="2015-02-06T00:00:00Z"/>
        <d v="2016-02-05T00:00:00Z"/>
        <d v="2010-03-18T00:00:00Z"/>
        <d v="2011-01-20T00:00:00Z"/>
        <d v="2011-01-04T00:00:00Z"/>
        <d v="2010-04-11T00:00:00Z"/>
        <d v="2012-09-20T00:00:00Z"/>
        <d v="2012-05-24T00:00:00Z"/>
        <d v="2017-03-12T00:00:00Z"/>
        <d v="2017-05-28T00:00:00Z"/>
        <d v="2011-12-25T00:00:00Z"/>
        <d v="2012-02-17T00:00:00Z"/>
        <d v="2015-01-16T00:00:00Z"/>
        <d v="2015-08-01T00:00:00Z"/>
        <d v="2016-12-16T00:00:00Z"/>
        <d v="2012-11-24T00:00:00Z"/>
        <d v="2017-07-02T00:00:00Z"/>
        <d v="2015-04-05T00:00:00Z"/>
        <d v="2010-06-12T00:00:00Z"/>
        <d v="2016-05-18T00:00:00Z"/>
        <d v="2010-06-19T00:00:00Z"/>
        <d v="2016-06-09T00:00:00Z"/>
        <d v="2014-04-03T00:00:00Z"/>
        <d v="2011-02-17T00:00:00Z"/>
        <d v="2015-05-19T00:00:00Z"/>
        <d v="2017-06-03T00:00:00Z"/>
        <d v="2016-05-08T00:00:00Z"/>
        <d v="2016-01-28T00:00:00Z"/>
        <d v="2014-04-23T00:00:00Z"/>
        <d v="2013-01-14T00:00:00Z"/>
        <d v="2015-10-06T00:00:00Z"/>
        <d v="2015-07-05T00:00:00Z"/>
        <d v="2013-12-30T00:00:00Z"/>
        <d v="2010-03-02T00:00:00Z"/>
        <d v="2011-10-20T00:00:00Z"/>
        <d v="2016-01-19T00:00:00Z"/>
        <d v="2013-10-01T00:00:00Z"/>
        <d v="2015-11-03T00:00:00Z"/>
        <d v="2011-06-28T00:00:00Z"/>
        <d v="2017-02-21T00:00:00Z"/>
        <d v="2013-01-11T00:00:00Z"/>
        <d v="2014-03-19T00:00:00Z"/>
        <d v="2013-11-12T00:00:00Z"/>
        <d v="2010-07-12T00:00:00Z"/>
        <d v="2011-01-01T00:00:00Z"/>
        <d v="2011-11-26T00:00:00Z"/>
        <d v="2010-12-11T00:00:00Z"/>
        <d v="2010-08-31T00:00:00Z"/>
        <d v="2014-07-22T00:00:00Z"/>
        <d v="2016-01-25T00:00:00Z"/>
        <d v="2017-01-16T00:00:00Z"/>
        <d v="2016-09-20T00:00:00Z"/>
        <d v="2015-04-14T00:00:00Z"/>
        <d v="2010-08-04T00:00:00Z"/>
        <d v="2016-03-11T00:00:00Z"/>
        <d v="2012-11-12T00:00:00Z"/>
        <d v="2012-08-22T00:00:00Z"/>
        <d v="2017-08-25T00:00:00Z"/>
        <d v="2015-04-10T00:00:00Z"/>
        <d v="2013-07-21T00:00:00Z"/>
        <d v="2013-07-07T00:00:00Z"/>
        <d v="2013-09-10T00:00:00Z"/>
        <d v="2013-09-25T00:00:00Z"/>
        <d v="2017-01-27T00:00:00Z"/>
        <d v="2013-04-27T00:00:00Z"/>
        <d v="2010-11-23T00:00:00Z"/>
        <d v="2010-09-03T00:00:00Z"/>
        <d v="2015-01-23T00:00:00Z"/>
        <d v="2013-05-09T00:00:00Z"/>
        <d v="2013-02-28T00:00:00Z"/>
        <d v="2014-03-20T00:00:00Z"/>
        <d v="2012-08-01T00:00:00Z"/>
        <d v="2012-12-29T00:00:00Z"/>
        <d v="2010-11-03T00:00:00Z"/>
        <d v="2016-09-13T00:00:00Z"/>
        <d v="2015-04-03T00:00:00Z"/>
        <d v="2013-11-05T00:00:00Z"/>
        <d v="2017-05-11T00:00:00Z"/>
        <d v="2016-01-26T00:00:00Z"/>
        <d v="2013-03-14T00:00:00Z"/>
        <d v="2012-10-20T00:00:00Z"/>
        <d v="2016-03-03T00:00:00Z"/>
        <d v="2010-07-21T00:00:00Z"/>
        <d v="2010-11-17T00:00:00Z"/>
        <d v="2010-03-07T00:00:00Z"/>
        <d v="2014-02-27T00:00:00Z"/>
        <d v="2014-11-21T00:00:00Z"/>
        <d v="2012-11-09T00:00:00Z"/>
        <d v="2010-10-09T00:00:00Z"/>
        <d v="2011-12-27T00:00:00Z"/>
        <d v="2017-02-11T00:00:00Z"/>
        <d v="2012-07-31T00:00:00Z"/>
        <d v="2012-10-03T00:00:00Z"/>
        <d v="2017-07-24T00:00:00Z"/>
        <d v="2016-09-22T00:00:00Z"/>
        <d v="2016-03-23T00:00:00Z"/>
        <d v="2011-11-07T00:00:00Z"/>
        <d v="2015-05-11T00:00:00Z"/>
        <d v="2013-03-04T00:00:00Z"/>
        <d v="2014-12-10T00:00:00Z"/>
        <d v="2012-02-15T00:00:00Z"/>
        <d v="2013-03-15T00:00:00Z"/>
        <d v="2017-05-27T00:00:00Z"/>
        <d v="2013-08-18T00:00:00Z"/>
        <d v="2013-04-11T00:00:00Z"/>
        <d v="2014-12-08T00:00:00Z"/>
        <d v="2015-03-27T00:00:00Z"/>
        <d v="2013-09-04T00:00:00Z"/>
        <d v="2010-04-28T00:00:00Z"/>
        <d v="2010-06-17T00:00:00Z"/>
        <d v="2012-08-16T00:00:00Z"/>
        <d v="2012-09-30T00:00:00Z"/>
        <d v="2015-04-16T00:00:00Z"/>
        <d v="2014-08-29T00:00:00Z"/>
        <d v="2013-09-01T00:00:00Z"/>
        <d v="2012-07-05T00:00:00Z"/>
        <d v="2012-05-05T00:00:00Z"/>
        <d v="2011-11-04T00:00:00Z"/>
        <d v="2010-03-28T00:00:00Z"/>
        <d v="2012-05-30T00:00:00Z"/>
        <d v="2015-12-08T00:00:00Z"/>
        <d v="2016-03-08T00:00:00Z"/>
        <d v="2011-08-18T00:00:00Z"/>
        <d v="2010-02-05T00:00:00Z"/>
        <d v="2011-11-08T00:00:00Z"/>
        <d v="2017-01-14T00:00:00Z"/>
        <d v="2017-01-01T00:00:00Z"/>
        <d v="2013-08-02T00:00:00Z"/>
        <d v="2011-07-13T00:00:00Z"/>
        <d v="2012-10-25T00:00:00Z"/>
        <d v="2013-02-05T00:00:00Z"/>
        <d v="2013-05-05T00:00:00Z"/>
        <d v="2012-11-04T00:00:00Z"/>
        <d v="2016-07-03T00:00:00Z"/>
        <d v="2010-06-08T00:00:00Z"/>
        <d v="2015-07-21T00:00:00Z"/>
        <d v="2016-04-25T00:00:00Z"/>
        <d v="2014-11-02T00:00:00Z"/>
        <d v="2010-11-25T00:00:00Z"/>
        <d v="2012-12-18T00:00:00Z"/>
        <d v="2013-01-01T00:00:00Z"/>
        <d v="2014-02-14T00:00:00Z"/>
        <d v="2011-12-17T00:00:00Z"/>
        <d v="2016-08-17T00:00:00Z"/>
        <d v="2016-05-04T00:00:00Z"/>
        <d v="2011-07-25T00:00:00Z"/>
        <d v="2011-09-19T00:00:00Z"/>
        <d v="2016-04-21T00:00:00Z"/>
        <d v="2010-05-20T00:00:00Z"/>
        <d v="2011-09-06T00:00:00Z"/>
        <d v="2015-11-07T00:00:00Z"/>
        <d v="2012-03-16T00:00:00Z"/>
        <d v="2017-03-10T00:00:00Z"/>
        <d v="2011-01-11T00:00:00Z"/>
        <d v="2016-04-15T00:00:00Z"/>
        <d v="2016-07-02T00:00:00Z"/>
        <d v="2015-10-08T00:00:00Z"/>
        <d v="2011-10-19T00:00:00Z"/>
        <d v="2014-07-25T00:00:00Z"/>
        <d v="2012-07-19T00:00:00Z"/>
        <d v="2014-05-10T00:00:00Z"/>
        <d v="2014-02-10T00:00:00Z"/>
        <d v="2013-06-27T00:00:00Z"/>
        <d v="2010-09-27T00:00:00Z"/>
        <d v="2013-01-17T00:00:00Z"/>
        <d v="2010-12-01T00:00:00Z"/>
        <d v="2012-03-22T00:00:00Z"/>
        <d v="2012-08-13T00:00:00Z"/>
        <d v="2011-09-20T00:00:00Z"/>
        <d v="2010-04-07T00:00:00Z"/>
        <d v="2014-11-13T00:00:00Z"/>
        <d v="2014-09-15T00:00:00Z"/>
        <d v="2011-11-21T00:00:00Z"/>
        <d v="2015-10-24T00:00:00Z"/>
        <d v="2012-12-28T00:00:00Z"/>
        <d v="2013-04-05T00:00:00Z"/>
        <d v="2016-02-16T00:00:00Z"/>
        <d v="2014-06-26T00:00:00Z"/>
        <d v="2013-10-05T00:00:00Z"/>
        <d v="2012-08-17T00:00:00Z"/>
        <d v="2010-06-23T00:00:00Z"/>
        <d v="2016-03-07T00:00:00Z"/>
        <d v="2012-08-12T00:00:00Z"/>
        <d v="2015-04-04T00:00:00Z"/>
        <d v="2010-05-25T00:00:00Z"/>
        <d v="2016-01-24T00:00:00Z"/>
        <d v="2013-09-09T00:00:00Z"/>
        <d v="2015-10-17T00:00:00Z"/>
        <d v="2011-04-14T00:00:00Z"/>
        <d v="2011-12-16T00:00:00Z"/>
        <d v="2011-08-13T00:00:00Z"/>
        <d v="2016-04-19T00:00:00Z"/>
        <d v="2016-11-08T00:00:00Z"/>
        <d v="2013-10-07T00:00:00Z"/>
        <d v="2011-08-12T00:00:00Z"/>
        <d v="2015-06-19T00:00:00Z"/>
        <d v="2013-07-13T00:00:00Z"/>
        <d v="2011-05-28T00:00:00Z"/>
        <d v="2011-09-25T00:00:00Z"/>
        <d v="2015-04-26T00:00:00Z"/>
        <d v="2012-01-09T00:00:00Z"/>
        <d v="2015-02-14T00:00:00Z"/>
        <d v="2012-10-29T00:00:00Z"/>
        <d v="2017-01-15T00:00:00Z"/>
        <d v="2014-03-08T00:00:00Z"/>
        <d v="2014-05-12T00:00:00Z"/>
        <d v="2010-03-15T00:00:00Z"/>
        <d v="2010-02-27T00:00:00Z"/>
        <d v="2012-05-09T00:00:00Z"/>
        <d v="2016-04-17T00:00:00Z"/>
        <d v="2010-11-20T00:00:00Z"/>
        <d v="2014-03-10T00:00:00Z"/>
        <d v="2013-05-27T00:00:00Z"/>
        <d v="2016-12-04T00:00:00Z"/>
        <d v="2014-06-11T00:00:00Z"/>
        <d v="2013-11-23T00:00:00Z"/>
        <d v="2014-05-22T00:00:00Z"/>
        <d v="2010-03-12T00:00:00Z"/>
        <d v="2011-11-03T00:00:00Z"/>
        <d v="2011-12-09T00:00:00Z"/>
        <d v="2016-10-22T00:00:00Z"/>
        <d v="2012-05-01T00:00:00Z"/>
        <d v="2017-07-21T00:00:00Z"/>
        <d v="2015-03-04T00:00:00Z"/>
        <d v="2015-07-29T00:00:00Z"/>
        <d v="2014-11-28T00:00:00Z"/>
        <d v="2016-12-22T00:00:00Z"/>
        <d v="2013-05-19T00:00:00Z"/>
        <d v="2012-01-08T00:00:00Z"/>
        <d v="2010-11-21T00:00:00Z"/>
        <d v="2017-05-30T00:00:00Z"/>
        <d v="2012-05-19T00:00:00Z"/>
        <d v="2012-07-16T00:00:00Z"/>
        <d v="2010-07-06T00:00:00Z"/>
        <d v="2015-07-28T00:00:00Z"/>
        <d v="2012-05-10T00:00:00Z"/>
        <d v="2013-02-12T00:00:00Z"/>
        <d v="2013-12-29T00:00:00Z"/>
        <d v="2015-02-19T00:00:00Z"/>
        <d v="2017-03-16T00:00:00Z"/>
        <d v="2011-09-22T00:00:00Z"/>
        <d v="2013-12-17T00:00:00Z"/>
        <d v="2011-07-17T00:00:00Z"/>
        <d v="2014-07-29T00:00:00Z"/>
        <d v="2011-04-10T00:00:00Z"/>
        <d v="2017-02-10T00:00:00Z"/>
        <d v="2011-07-03T00:00:00Z"/>
        <d v="2015-01-09T00:00:00Z"/>
        <d v="2014-01-28T00:00:00Z"/>
        <d v="2011-05-26T00:00:00Z"/>
        <d v="2014-09-17T00:00:00Z"/>
        <d v="2011-08-04T00:00:00Z"/>
        <d v="2012-06-12T00:00:00Z"/>
        <d v="2017-05-14T00:00:00Z"/>
        <d v="2016-05-26T00:00:00Z"/>
        <d v="2016-05-11T00:00:00Z"/>
        <d v="2013-12-27T00:00:00Z"/>
        <d v="2012-06-22T00:00:00Z"/>
        <d v="2014-06-08T00:00:00Z"/>
        <d v="2013-02-09T00:00:00Z"/>
        <d v="2012-12-15T00:00:00Z"/>
        <d v="2015-04-19T00:00:00Z"/>
        <d v="2010-11-02T00:00:00Z"/>
        <d v="2011-08-11T00:00:00Z"/>
        <d v="2016-05-01T00:00:00Z"/>
        <d v="2010-03-19T00:00:00Z"/>
        <d v="2013-03-28T00:00:00Z"/>
        <d v="2015-05-30T00:00:00Z"/>
        <d v="2012-03-29T00:00:00Z"/>
        <d v="2014-12-11T00:00:00Z"/>
        <d v="2010-11-28T00:00:00Z"/>
        <d v="2017-07-16T00:00:00Z"/>
        <d v="2016-02-23T00:00:00Z"/>
        <d v="2011-10-11T00:00:00Z"/>
        <d v="2017-04-27T00:00:00Z"/>
        <d v="2012-11-18T00:00:00Z"/>
        <d v="2013-11-21T00:00:00Z"/>
        <d v="2013-08-03T00:00:00Z"/>
        <d v="2010-10-19T00:00:00Z"/>
        <d v="2012-09-24T00:00:00Z"/>
        <d v="2016-09-09T00:00:00Z"/>
        <d v="2012-09-28T00:00:00Z"/>
        <d v="2011-12-04T00:00:00Z"/>
        <d v="2015-04-17T00:00:00Z"/>
        <d v="2014-02-19T00:00:00Z"/>
        <d v="2016-11-30T00:00:00Z"/>
        <d v="2013-11-27T00:00:00Z"/>
        <d v="2011-10-10T00:00:00Z"/>
        <d v="2014-07-28T00:00:00Z"/>
        <d v="2012-02-28T00:00:00Z"/>
        <d v="2014-05-17T00:00:00Z"/>
        <d v="2013-01-28T00:00:00Z"/>
        <d v="2015-02-21T00:00:00Z"/>
        <d v="2015-10-21T00:00:00Z"/>
        <d v="2015-08-04T00:00:00Z"/>
        <d v="2012-12-08T00:00:00Z"/>
        <d v="2016-12-24T00:00:00Z"/>
        <d v="2015-02-11T00:00:00Z"/>
        <d v="2014-12-19T00:00:00Z"/>
        <d v="2013-06-07T00:00:00Z"/>
        <d v="2010-01-26T00:00:00Z"/>
        <d v="2012-09-25T00:00:00Z"/>
        <d v="2012-08-20T00:00:00Z"/>
        <d v="2013-02-15T00:00:00Z"/>
        <d v="2015-03-26T00:00:00Z"/>
        <d v="2013-05-13T00:00:00Z"/>
        <d v="2014-01-16T00:00:00Z"/>
        <d v="2010-04-24T00:00:00Z"/>
        <d v="2014-10-01T00:00:00Z"/>
        <d v="2010-10-03T00:00:00Z"/>
        <d v="2015-06-01T00:00:00Z"/>
        <d v="2013-02-25T00:00:00Z"/>
        <d v="2012-08-09T00:00:00Z"/>
        <d v="2016-04-08T00:00:00Z"/>
        <d v="2016-03-20T00:00:00Z"/>
        <d v="2016-11-28T00:00:00Z"/>
        <d v="2016-03-13T00:00:00Z"/>
        <d v="2016-11-22T00:00:00Z"/>
        <d v="2015-05-04T00:00:00Z"/>
        <d v="2012-05-28T00:00:00Z"/>
        <d v="2010-07-01T00:00:00Z"/>
        <d v="2016-09-11T00:00:00Z"/>
        <d v="2016-01-16T00:00:00Z"/>
        <d v="2014-03-29T00:00:00Z"/>
        <d v="2010-03-17T00:00:00Z"/>
        <d v="2013-11-14T00:00:00Z"/>
        <d v="2013-10-10T00:00:00Z"/>
        <d v="2010-02-08T00:00:00Z"/>
        <d v="2013-08-29T00:00:00Z"/>
        <d v="2013-08-17T00:00:00Z"/>
        <d v="2011-10-07T00:00:00Z"/>
        <d v="2016-07-04T00:00:00Z"/>
        <d v="2013-11-09T00:00:00Z"/>
        <d v="2013-12-06T00:00:00Z"/>
        <d v="2016-03-22T00:00:00Z"/>
        <d v="2014-01-21T00:00:00Z"/>
        <d v="2012-12-24T00:00:00Z"/>
        <d v="2015-09-24T00:00:00Z"/>
        <d v="2013-03-10T00:00:00Z"/>
        <d v="2014-06-12T00:00:00Z"/>
        <d v="2017-01-08T00:00:00Z"/>
        <d v="2013-01-30T00:00:00Z"/>
        <d v="2017-07-27T00:00:00Z"/>
        <d v="2015-09-03T00:00:00Z"/>
        <d v="2013-12-11T00:00:00Z"/>
        <d v="2011-09-18T00:00:00Z"/>
        <d v="2015-05-10T00:00:00Z"/>
        <d v="2012-07-12T00:00:00Z"/>
        <d v="2010-08-07T00:00:00Z"/>
        <d v="2010-07-28T00:00:00Z"/>
        <d v="2014-02-21T00:00:00Z"/>
        <d v="2011-07-31T00:00:00Z"/>
        <d v="2014-04-30T00:00:00Z"/>
        <d v="2016-08-01T00:00:00Z"/>
        <d v="2013-06-25T00:00:00Z"/>
        <d v="2017-02-06T00:00:00Z"/>
        <d v="2011-10-05T00:00:00Z"/>
        <d v="2012-10-30T00:00:00Z"/>
        <d v="2012-09-02T00:00:00Z"/>
        <d v="2013-10-09T00:00:00Z"/>
        <d v="2015-01-22T00:00:00Z"/>
        <d v="2014-07-11T00:00:00Z"/>
        <d v="2016-02-22T00:00:00Z"/>
        <d v="2015-09-13T00:00:00Z"/>
        <d v="2015-03-10T00:00:00Z"/>
        <d v="2014-12-15T00:00:00Z"/>
        <d v="2015-02-04T00:00:00Z"/>
        <d v="2010-05-06T00:00:00Z"/>
        <d v="2011-02-01T00:00:00Z"/>
        <d v="2015-01-29T00:00:00Z"/>
        <d v="2014-06-14T00:00:00Z"/>
        <d v="2011-02-21T00:00:00Z"/>
        <d v="2011-05-25T00:00:00Z"/>
        <d v="2014-12-31T00:00:00Z"/>
        <d v="2014-03-01T00:00:00Z"/>
        <d v="2016-05-05T00:00:00Z"/>
        <d v="2011-02-26T00:00:00Z"/>
        <d v="2012-09-29T00:00:00Z"/>
        <d v="2013-04-01T00:00:00Z"/>
        <d v="2017-04-20T00:00:00Z"/>
        <d v="2014-08-19T00:00:00Z"/>
        <d v="2014-09-09T00:00:00Z"/>
        <d v="2013-12-12T00:00:00Z"/>
        <d v="2014-07-23T00:00:00Z"/>
        <d v="2015-06-23T00:00:00Z"/>
        <d v="2016-10-02T00:00:00Z"/>
        <d v="2015-09-11T00:00:00Z"/>
        <d v="2012-11-06T00:00:00Z"/>
        <d v="2010-03-22T00:00:00Z"/>
        <d v="2011-09-24T00:00:00Z"/>
        <d v="2012-02-25T00:00:00Z"/>
        <d v="2013-10-13T00:00:00Z"/>
        <d v="2015-12-12T00:00:00Z"/>
        <d v="2010-08-18T00:00:00Z"/>
        <d v="2015-02-10T00:00:00Z"/>
        <d v="2013-05-01T00:00:00Z"/>
        <d v="2012-02-23T00:00:00Z"/>
        <d v="2016-06-06T00:00:00Z"/>
        <d v="2014-05-26T00:00:00Z"/>
        <d v="2010-08-29T00:00:00Z"/>
        <d v="2014-08-17T00:00:00Z"/>
        <d v="2016-04-18T00:00:00Z"/>
        <d v="2015-06-29T00:00:00Z"/>
        <d v="2017-07-09T00:00:00Z"/>
        <d v="2014-06-15T00:00:00Z"/>
        <d v="2010-08-14T00:00:00Z"/>
        <d v="2012-07-26T00:00:00Z"/>
        <d v="2017-05-12T00:00:00Z"/>
        <d v="2011-12-20T00:00:00Z"/>
        <d v="2013-08-30T00:00:00Z"/>
        <d v="2014-03-25T00:00:00Z"/>
        <d v="2014-06-02T00:00:00Z"/>
        <d v="2011-12-11T00:00:00Z"/>
        <d v="2014-03-28T00:00:00Z"/>
        <d v="2012-05-15T00:00:00Z"/>
        <d v="2016-12-07T00:00:00Z"/>
        <d v="2011-08-20T00:00:00Z"/>
        <d v="2010-07-14T00:00:00Z"/>
        <d v="2012-06-14T00:00:00Z"/>
        <d v="2016-11-20T00:00:00Z"/>
        <d v="2013-07-30T00:00:00Z"/>
        <d v="2015-12-06T00:00:00Z"/>
        <d v="2011-08-10T00:00:00Z"/>
        <d v="2012-03-25T00:00:00Z"/>
        <d v="2011-10-21T00:00:00Z"/>
        <d v="2012-06-11T00:00:00Z"/>
        <d v="2014-01-24T00:00:00Z"/>
        <d v="2012-12-03T00:00:00Z"/>
        <d v="2011-09-17T00:00:00Z"/>
        <d v="2016-04-01T00:00:00Z"/>
        <d v="2011-04-15T00:00:00Z"/>
        <d v="2010-09-04T00:00:00Z"/>
        <d v="2012-02-07T00:00:00Z"/>
        <d v="2012-01-11T00:00:00Z"/>
        <d v="2010-07-03T00:00:00Z"/>
        <d v="2013-06-21T00:00:00Z"/>
        <d v="2016-01-13T00:00:00Z"/>
        <d v="2010-07-17T00:00:00Z"/>
        <d v="2013-04-16T00:00:00Z"/>
        <d v="2014-04-14T00:00:00Z"/>
        <d v="2010-07-05T00:00:00Z"/>
        <d v="2014-12-22T00:00:00Z"/>
        <d v="2012-12-11T00:00:00Z"/>
        <d v="2016-09-28T00:00:00Z"/>
        <d v="2013-09-26T00:00:00Z"/>
        <d v="2016-03-02T00:00:00Z"/>
        <d v="2010-01-06T00:00:00Z"/>
        <d v="2016-08-11T00:00:00Z"/>
        <d v="2014-12-09T00:00:00Z"/>
        <d v="2010-12-25T00:00:00Z"/>
        <d v="2010-01-18T00:00:00Z"/>
        <d v="2014-04-06T00:00:00Z"/>
        <d v="2015-10-22T00:00:00Z"/>
        <d v="2013-11-18T00:00:00Z"/>
        <d v="2011-03-02T00:00:00Z"/>
        <d v="2016-03-24T00:00:00Z"/>
        <d v="2012-01-02T00:00:00Z"/>
        <d v="2013-10-27T00:00:00Z"/>
        <d v="2014-04-17T00:00:00Z"/>
        <d v="2011-06-02T00:00:00Z"/>
        <d v="2011-07-30T00:00:00Z"/>
        <d v="2010-12-22T00:00:00Z"/>
        <d v="2014-03-18T00:00:00Z"/>
        <d v="2016-12-10T00:00:00Z"/>
        <d v="2010-06-24T00:00:00Z"/>
        <d v="2013-12-02T00:00:00Z"/>
        <d v="2011-08-15T00:00:00Z"/>
        <d v="2016-01-11T00:00:00Z"/>
        <d v="2010-04-06T00:00:00Z"/>
        <d v="2010-11-07T00:00:00Z"/>
        <d v="2012-06-16T00:00:00Z"/>
        <d v="2017-07-13T00:00:00Z"/>
        <d v="2015-12-09T00:00:00Z"/>
        <d v="2014-04-01T00:00:00Z"/>
        <d v="2011-04-27T00:00:00Z"/>
        <d v="2011-04-26T00:00:00Z"/>
        <d v="2012-07-11T00:00:00Z"/>
        <d v="2012-07-30T00:00:00Z"/>
        <d v="2016-08-19T00:00:00Z"/>
        <d v="2015-03-29T00:00:00Z"/>
        <d v="2011-11-25T00:00:00Z"/>
        <d v="2013-03-20T00:00:00Z"/>
        <d v="2014-10-30T00:00:00Z"/>
        <d v="2015-02-15T00:00:00Z"/>
        <d v="2015-04-09T00:00:00Z"/>
        <d v="2013-07-10T00:00:00Z"/>
        <d v="2016-10-29T00:00:00Z"/>
        <d v="2014-02-01T00:00:00Z"/>
        <d v="2016-09-19T00:00:00Z"/>
        <d v="2012-12-23T00:00:00Z"/>
        <d v="2014-07-20T00:00:00Z"/>
        <d v="2010-04-20T00:00:00Z"/>
        <d v="2011-05-01T00:00:00Z"/>
        <d v="2016-06-16T00:00:00Z"/>
        <d v="2013-10-04T00:00:00Z"/>
        <d v="2015-07-18T00:00:00Z"/>
        <d v="2013-10-17T00:00:00Z"/>
        <d v="2012-09-23T00:00:00Z"/>
        <d v="2013-02-14T00:00:00Z"/>
        <d v="2013-10-31T00:00:00Z"/>
        <d v="2016-08-07T00:00:00Z"/>
        <d v="2013-09-27T00:00:00Z"/>
        <d v="2011-01-15T00:00:00Z"/>
        <d v="2013-10-29T00:00:00Z"/>
        <d v="2011-06-10T00:00:00Z"/>
        <d v="2015-01-25T00:00:00Z"/>
        <d v="2015-02-02T00:00:00Z"/>
        <d v="2010-12-23T00:00:00Z"/>
        <d v="2014-06-23T00:00:00Z"/>
        <d v="2013-03-27T00:00:00Z"/>
        <d v="2017-06-17T00:00:00Z"/>
        <d v="2013-11-02T00:00:00Z"/>
        <d v="2015-02-22T00:00:00Z"/>
        <d v="2014-07-08T00:00:00Z"/>
        <d v="2017-03-13T00:00:00Z"/>
        <d v="2014-04-12T00:00:00Z"/>
        <d v="2015-01-19T00:00:00Z"/>
        <d v="2014-04-24T00:00:00Z"/>
        <d v="2011-10-23T00:00:00Z"/>
        <d v="2014-01-03T00:00:00Z"/>
        <d v="2012-01-15T00:00:00Z"/>
        <d v="2011-03-21T00:00:00Z"/>
        <d v="2013-07-08T00:00:00Z"/>
        <d v="2014-01-13T00:00:00Z"/>
        <d v="2010-03-23T00:00:00Z"/>
        <d v="2012-11-21T00:00:00Z"/>
        <d v="2011-04-21T00:00:00Z"/>
        <d v="2015-12-20T00:00:00Z"/>
        <d v="2011-03-27T00:00:00Z"/>
        <d v="2013-12-13T00:00:00Z"/>
        <d v="2015-10-11T00:00:00Z"/>
        <d v="2017-03-07T00:00:00Z"/>
        <d v="2015-06-20T00:00:00Z"/>
        <d v="2017-02-27T00:00:00Z"/>
        <d v="2010-05-04T00:00:00Z"/>
        <d v="2014-09-30T00:00:00Z"/>
        <d v="2015-10-29T00:00:00Z"/>
        <d v="2015-07-17T00:00:00Z"/>
        <d v="2012-02-26T00:00:00Z"/>
        <d v="2016-06-22T00:00:00Z"/>
        <d v="2010-12-21T00:00:00Z"/>
        <d v="2010-05-07T00:00:00Z"/>
        <d v="2014-03-31T00:00:00Z"/>
        <d v="2015-07-25T00:00:00Z"/>
        <d v="2011-11-16T00:00:00Z"/>
        <d v="2013-05-24T00:00:00Z"/>
        <d v="2011-09-11T00:00:00Z"/>
        <d v="2010-02-09T00:00:00Z"/>
        <d v="2013-10-14T00:00:00Z"/>
        <d v="2011-11-20T00:00:00Z"/>
        <d v="2010-08-30T00:00:00Z"/>
        <d v="2016-11-25T00:00:00Z"/>
        <d v="2013-11-11T00:00:00Z"/>
        <d v="2010-09-11T00:00:00Z"/>
        <d v="2014-08-16T00:00:00Z"/>
        <d v="2013-02-13T00:00:00Z"/>
        <d v="2015-12-27T00:00:00Z"/>
        <d v="2010-02-20T00:00:00Z"/>
        <d v="2011-10-17T00:00:00Z"/>
        <d v="2012-05-02T00:00:00Z"/>
        <d v="2013-08-26T00:00:00Z"/>
        <d v="2010-05-21T00:00:00Z"/>
        <d v="2015-09-21T00:00:00Z"/>
        <d v="2011-05-06T00:00:00Z"/>
        <d v="2014-01-04T00:00:00Z"/>
        <d v="2016-11-26T00:00:00Z"/>
        <d v="2014-11-27T00:00:00Z"/>
        <d v="2014-08-22T00:00:00Z"/>
        <d v="2013-03-22T00:00:00Z"/>
        <d v="2016-07-29T00:00:00Z"/>
        <d v="2017-04-10T00:00:00Z"/>
        <d v="2012-01-18T00:00:00Z"/>
        <d v="2016-08-09T00:00:00Z"/>
        <d v="2010-03-16T00:00:00Z"/>
        <d v="2016-10-25T00:00:00Z"/>
        <d v="2012-11-10T00:00:00Z"/>
        <d v="2017-06-15T00:00:00Z"/>
        <d v="2011-07-06T00:00:00Z"/>
        <d v="2013-03-17T00:00:00Z"/>
        <d v="2013-08-23T00:00:00Z"/>
        <d v="2016-08-26T00:00:00Z"/>
        <d v="2015-07-15T00:00:00Z"/>
        <d v="2014-08-27T00:00:00Z"/>
        <d v="2010-08-09T00:00:00Z"/>
        <d v="2017-01-13T00:00:00Z"/>
        <d v="2013-11-10T00:00:00Z"/>
        <d v="2010-05-08T00:00:00Z"/>
        <d v="2017-06-12T00:00:00Z"/>
        <d v="2013-12-16T00:00:00Z"/>
        <d v="2011-10-02T00:00:00Z"/>
        <d v="2010-02-16T00:00:00Z"/>
        <d v="2014-02-17T00:00:00Z"/>
        <d v="2013-12-24T00:00:00Z"/>
        <d v="2016-05-06T00:00:00Z"/>
        <d v="2013-01-03T00:00:00Z"/>
        <d v="2012-01-26T00:00:00Z"/>
        <d v="2010-09-25T00:00:00Z"/>
        <d v="2014-02-22T00:00:00Z"/>
        <d v="2017-02-17T00:00:00Z"/>
        <d v="2015-11-23T00:00:00Z"/>
        <d v="2011-04-25T00:00:00Z"/>
        <d v="2012-03-04T00:00:00Z"/>
        <d v="2017-03-06T00:00:00Z"/>
        <d v="2012-05-14T00:00:00Z"/>
        <d v="2012-06-13T00:00:00Z"/>
        <d v="2014-10-23T00:00:00Z"/>
        <d v="2013-09-21T00:00:00Z"/>
        <d v="2015-12-16T00:00:00Z"/>
        <d v="2010-12-10T00:00:00Z"/>
        <d v="2010-01-31T00:00:00Z"/>
        <d v="2015-09-30T00:00:00Z"/>
        <d v="2015-03-21T00:00:00Z"/>
        <d v="2010-08-13T00:00:00Z"/>
        <d v="2016-08-06T00:00:00Z"/>
        <d v="2011-01-18T00:00:00Z"/>
        <d v="2014-04-05T00:00:00Z"/>
        <d v="2010-03-10T00:00:00Z"/>
        <d v="2010-01-12T00:00:00Z"/>
        <d v="2010-12-18T00:00:00Z"/>
        <d v="2010-07-09T00:00:00Z"/>
        <d v="2012-06-03T00:00:00Z"/>
        <d v="2015-01-30T00:00:00Z"/>
        <d v="2015-07-02T00:00:00Z"/>
        <d v="2014-11-12T00:00:00Z"/>
        <d v="2011-07-20T00:00:00Z"/>
        <d v="2017-06-13T00:00:00Z"/>
        <d v="2010-11-13T00:00:00Z"/>
        <d v="2013-05-10T00:00:00Z"/>
        <d v="2013-12-14T00:00:00Z"/>
        <d v="2013-12-04T00:00:00Z"/>
        <d v="2010-08-15T00:00:00Z"/>
        <d v="2013-11-13T00:00:00Z"/>
        <d v="2011-09-30T00:00:00Z"/>
        <d v="2016-08-03T00:00:00Z"/>
        <d v="2014-10-25T00:00:00Z"/>
        <d v="2015-08-21T00:00:00Z"/>
        <d v="2017-03-01T00:00:00Z"/>
        <d v="2014-05-28T00:00:00Z"/>
        <d v="2015-04-15T00:00:00Z"/>
        <d v="2016-07-16T00:00:00Z"/>
        <d v="2010-07-13T00:00:00Z"/>
        <d v="2016-02-26T00:00:00Z"/>
        <d v="2013-03-26T00:00:00Z"/>
        <d v="2016-12-02T00:00:00Z"/>
        <d v="2014-12-01T00:00:00Z"/>
        <d v="2010-04-15T00:00:00Z"/>
        <d v="2015-08-15T00:00:00Z"/>
        <d v="2014-08-03T00:00:00Z"/>
        <d v="2015-07-12T00:00:00Z"/>
        <d v="2016-01-17T00:00:00Z"/>
        <d v="2014-06-09T00:00:00Z"/>
        <d v="2010-02-13T00:00:00Z"/>
        <d v="2013-01-10T00:00:00Z"/>
        <d v="2016-11-11T00:00:00Z"/>
        <d v="2011-01-08T00:00:00Z"/>
        <d v="2012-04-13T00:00:00Z"/>
        <d v="2014-03-30T00:00:00Z"/>
        <d v="2010-12-16T00:00:00Z"/>
        <d v="2013-04-06T00:00:00Z"/>
        <d v="2016-03-18T00:00:00Z"/>
        <d v="2011-01-17T00:00:00Z"/>
        <d v="2016-02-14T00:00:00Z"/>
        <d v="2015-02-16T00:00:00Z"/>
        <d v="2012-06-29T00:00:00Z"/>
        <d v="2012-09-18T00:00:00Z"/>
        <d v="2014-07-26T00:00:00Z"/>
        <d v="2010-09-12T00:00:00Z"/>
        <d v="2016-08-28T00:00:00Z"/>
        <d v="2011-12-24T00:00:00Z"/>
        <d v="2016-02-04T00:00:00Z"/>
        <d v="2016-01-21T00:00:00Z"/>
        <d v="2011-03-25T00:00:00Z"/>
        <d v="2015-05-14T00:00:00Z"/>
        <d v="2014-03-02T00:00:00Z"/>
        <d v="2015-10-01T00:00:00Z"/>
        <d v="2015-10-10T00:00:00Z"/>
        <d v="2010-02-18T00:00:00Z"/>
        <d v="2010-09-22T00:00:00Z"/>
        <d v="2017-06-09T00:00:00Z"/>
        <d v="2014-11-29T00:00:00Z"/>
        <d v="2013-11-08T00:00:00Z"/>
        <d v="2010-11-18T00:00:00Z"/>
        <d v="2011-02-22T00:00:00Z"/>
        <d v="2017-04-25T00:00:00Z"/>
        <d v="2010-03-05T00:00:00Z"/>
        <d v="2013-06-16T00:00:00Z"/>
        <d v="2013-09-24T00:00:00Z"/>
        <d v="2011-05-22T00:00:00Z"/>
        <d v="2016-10-19T00:00:00Z"/>
        <d v="2012-12-04T00:00:00Z"/>
        <d v="2014-04-29T00:00:00Z"/>
        <d v="2015-08-03T00:00:00Z"/>
        <d v="2011-04-06T00:00:00Z"/>
        <d v="2014-05-07T00:00:00Z"/>
        <d v="2013-09-05T00:00:00Z"/>
        <d v="2012-09-04T00:00:00Z"/>
        <d v="2013-04-21T00:00:00Z"/>
        <d v="2011-01-02T00:00:00Z"/>
        <d v="2012-06-15T00:00:00Z"/>
        <d v="2016-04-23T00:00:00Z"/>
        <d v="2012-04-20T00:00:00Z"/>
        <d v="2012-08-19T00:00:00Z"/>
        <d v="2012-11-28T00:00:00Z"/>
        <d v="2010-06-26T00:00:00Z"/>
        <d v="2010-06-04T00:00:00Z"/>
        <d v="2015-06-04T00:00:00Z"/>
        <d v="2014-11-19T00:00:00Z"/>
        <d v="2010-03-27T00:00:00Z"/>
        <d v="2017-07-03T00:00:00Z"/>
        <d v="2015-06-06T00:00:00Z"/>
        <d v="2013-02-03T00:00:00Z"/>
        <d v="2013-07-31T00:00:00Z"/>
        <d v="2013-04-18T00:00:00Z"/>
        <d v="2015-02-09T00:00:00Z"/>
        <d v="2011-10-09T00:00:00Z"/>
        <d v="2015-08-08T00:00:00Z"/>
        <d v="2017-04-15T00:00:00Z"/>
        <d v="2013-10-08T00:00:00Z"/>
        <d v="2014-04-27T00:00:00Z"/>
        <d v="2017-01-30T00:00:00Z"/>
        <d v="2014-09-25T00:00:00Z"/>
        <d v="2011-08-24T00:00:00Z"/>
        <d v="2014-02-12T00:00:00Z"/>
        <d v="2015-08-24T00:00:00Z"/>
        <d v="2011-05-14T00:00:00Z"/>
        <d v="2011-02-04T00:00:00Z"/>
        <d v="2014-03-16T00:00:00Z"/>
        <d v="2013-01-13T00:00:00Z"/>
        <d v="2012-09-08T00:00:00Z"/>
        <d v="2015-07-19T00:00:00Z"/>
        <d v="2015-10-09T00:00:00Z"/>
        <d v="2010-05-10T00:00:00Z"/>
        <d v="2015-11-18T00:00:00Z"/>
        <d v="2011-05-15T00:00:00Z"/>
        <d v="2011-04-07T00:00:00Z"/>
        <d v="2012-03-07T00:00:00Z"/>
        <d v="2012-03-30T00:00:00Z"/>
        <d v="2013-08-31T00:00:00Z"/>
        <d v="2014-06-19T00:00:00Z"/>
        <d v="2016-03-15T00:00:00Z"/>
        <d v="2011-08-23T00:00:00Z"/>
        <d v="2017-06-11T00:00:00Z"/>
        <d v="2011-12-19T00:00:00Z"/>
        <d v="2010-09-19T00:00:00Z"/>
        <d v="2014-01-07T00:00:00Z"/>
        <d v="2010-12-12T00:00:00Z"/>
        <d v="2016-03-28T00:00:00Z"/>
        <d v="2013-11-03T00:00:00Z"/>
        <d v="2014-08-09T00:00:00Z"/>
        <d v="2017-01-02T00:00:00Z"/>
        <d v="2011-11-22T00:00:00Z"/>
        <d v="2015-11-11T00:00:00Z"/>
        <d v="2013-02-19T00:00:00Z"/>
        <d v="2014-12-04T00:00:00Z"/>
        <d v="2012-12-16T00:00:00Z"/>
        <d v="2014-10-10T00:00:00Z"/>
        <d v="2011-06-21T00:00:00Z"/>
        <d v="2017-04-13T00:00:00Z"/>
        <d v="2017-02-14T00:00:00Z"/>
        <d v="2015-09-23T00:00:00Z"/>
        <d v="2011-10-12T00:00:00Z"/>
        <d v="2017-05-16T00:00:00Z"/>
        <d v="2014-07-31T00:00:00Z"/>
        <d v="2011-03-03T00:00:00Z"/>
        <d v="2017-06-04T00:00:00Z"/>
        <d v="2013-12-15T00:00:00Z"/>
        <d v="2017-05-24T00:00:00Z"/>
        <d v="2016-07-31T00:00:00Z"/>
        <d v="2010-10-02T00:00:00Z"/>
        <d v="2015-03-28T00:00:00Z"/>
        <d v="2016-04-13T00:00:00Z"/>
        <d v="2015-11-30T00:00:00Z"/>
        <d v="2016-07-15T00:00:00Z"/>
        <d v="2010-09-10T00:00:00Z"/>
        <d v="2016-07-30T00:00:00Z"/>
        <d v="2012-05-11T00:00:00Z"/>
        <d v="2014-03-17T00:00:00Z"/>
        <d v="2016-08-30T00:00:00Z"/>
        <d v="2017-03-30T00:00:00Z"/>
        <d v="2016-07-05T00:00:00Z"/>
        <d v="2016-10-20T00:00:00Z"/>
        <d v="2014-05-13T00:00:00Z"/>
        <d v="2016-11-03T00:00:00Z"/>
        <d v="2015-06-22T00:00:00Z"/>
        <d v="2011-12-21T00:00:00Z"/>
        <d v="2012-08-03T00:00:00Z"/>
        <d v="2016-12-18T00:00:00Z"/>
        <d v="2014-10-31T00:00:00Z"/>
        <d v="2011-02-02T00:00:00Z"/>
        <d v="2014-03-12T00:00:00Z"/>
        <d v="2016-10-01T00:00:00Z"/>
        <d v="2011-04-04T00:00:00Z"/>
        <d v="2013-08-08T00:00:00Z"/>
        <d v="2017-06-29T00:00:00Z"/>
        <d v="2017-05-01T00:00:00Z"/>
        <d v="2016-10-04T00:00:00Z"/>
        <d v="2016-05-19T00:00:00Z"/>
        <d v="2010-01-20T00:00:00Z"/>
        <d v="2012-04-18T00:00:00Z"/>
        <d v="2015-04-24T00:00:00Z"/>
        <d v="2013-07-09T00:00:00Z"/>
        <d v="2015-04-22T00:00:00Z"/>
        <d v="2016-04-02T00:00:00Z"/>
        <d v="2016-04-06T00:00:00Z"/>
        <d v="2015-04-13T00:00:00Z"/>
        <d v="2012-05-03T00:00:00Z"/>
        <d v="2014-10-07T00:00:00Z"/>
        <d v="2015-08-28T00:00:00Z"/>
        <d v="2016-12-13T00:00:00Z"/>
        <d v="2011-04-17T00:00:00Z"/>
        <d v="2015-05-23T00:00:00Z"/>
        <d v="2010-10-30T00:00:00Z"/>
        <d v="2015-02-28T00:00:00Z"/>
        <d v="2011-10-22T00:00:00Z"/>
        <d v="2013-05-31T00:00:00Z"/>
        <d v="2011-08-02T00:00:00Z"/>
        <d v="2017-06-23T00:00:00Z"/>
        <d v="2013-12-23T00:00:00Z"/>
        <d v="2010-06-30T00:00:00Z"/>
        <d v="2015-11-24T00:00:00Z"/>
        <d v="2011-08-26T00:00:00Z"/>
        <d v="2012-11-01T00:00:00Z"/>
        <d v="2016-08-05T00:00:00Z"/>
        <d v="2015-08-13T00:00:00Z"/>
        <d v="2013-07-15T00:00:00Z"/>
        <d v="2013-11-30T00:00:00Z"/>
        <d v="2017-08-18T00:00:00Z"/>
        <d v="2017-02-20T00:00:00Z"/>
        <d v="2010-05-15T00:00:00Z"/>
        <d v="2017-06-01T00:00:00Z"/>
        <d v="2016-09-07T00:00:00Z"/>
        <d v="2010-12-04T00:00:00Z"/>
        <d v="2011-12-14T00:00:00Z"/>
        <d v="2012-10-16T00:00:00Z"/>
        <d v="2012-08-14T00:00:00Z"/>
        <d v="2017-02-19T00:00:00Z"/>
        <d v="2015-03-15T00:00:00Z"/>
        <d v="2014-07-07T00:00:00Z"/>
        <d v="2012-06-30T00:00:00Z"/>
        <d v="2013-02-08T00:00:00Z"/>
        <d v="2010-02-11T00:00:00Z"/>
        <d v="2016-07-11T00:00:00Z"/>
        <d v="2012-05-12T00:00:00Z"/>
        <d v="2012-11-27T00:00:00Z"/>
        <d v="2013-02-07T00:00:00Z"/>
        <d v="2015-03-08T00:00:00Z"/>
        <d v="2012-04-26T00:00:00Z"/>
        <d v="2013-05-18T00:00:00Z"/>
        <d v="2015-07-07T00:00:00Z"/>
        <d v="2013-09-07T00:00:00Z"/>
        <d v="2014-12-14T00:00:00Z"/>
        <d v="2014-11-23T00:00:00Z"/>
        <d v="2015-10-07T00:00:00Z"/>
        <d v="2017-06-27T00:00:00Z"/>
        <d v="2012-12-12T00:00:00Z"/>
        <d v="2015-06-07T00:00:00Z"/>
        <d v="2012-06-24T00:00:00Z"/>
        <d v="2016-02-10T00:00:00Z"/>
        <d v="2013-05-25T00:00:00Z"/>
        <d v="2016-06-13T00:00:00Z"/>
        <d v="2011-04-11T00:00:00Z"/>
        <d v="2013-01-24T00:00:00Z"/>
        <d v="2011-09-13T00:00:00Z"/>
        <d v="2013-01-02T00:00:00Z"/>
        <d v="2012-10-11T00:00:00Z"/>
        <d v="2010-09-15T00:00:00Z"/>
        <d v="2015-02-23T00:00:00Z"/>
        <d v="2014-08-10T00:00:00Z"/>
        <d v="2011-08-22T00:00:00Z"/>
        <d v="2015-07-09T00:00:00Z"/>
        <d v="2012-12-09T00:00:00Z"/>
        <d v="2010-09-18T00:00:00Z"/>
        <d v="2016-09-27T00:00:00Z"/>
        <d v="2013-06-14T00:00:00Z"/>
        <d v="2014-07-15T00:00:00Z"/>
        <d v="2014-10-03T00:00:00Z"/>
        <d v="2012-04-14T00:00:00Z"/>
        <d v="2012-01-30T00:00:00Z"/>
        <d v="2012-12-17T00:00:00Z"/>
        <d v="2016-05-12T00:00:00Z"/>
        <d v="2011-04-05T00:00:00Z"/>
        <d v="2016-07-26T00:00:00Z"/>
        <d v="2010-11-14T00:00:00Z"/>
        <d v="2011-02-23T00:00:00Z"/>
        <d v="2017-01-18T00:00:00Z"/>
        <d v="2014-01-14T00:00:00Z"/>
        <d v="2014-11-01T00:00:00Z"/>
        <d v="2013-08-14T00:00:00Z"/>
        <d v="2016-11-16T00:00:00Z"/>
        <d v="2010-11-04T00:00:00Z"/>
        <d v="2015-06-24T00:00:00Z"/>
        <d v="2011-11-18T00:00:00Z"/>
        <d v="2011-03-26T00:00:00Z"/>
        <d v="2016-01-02T00:00:00Z"/>
        <d v="2013-06-10T00:00:00Z"/>
        <d v="2013-09-06T00:00:00Z"/>
        <d v="2016-02-01T00:00:00Z"/>
        <d v="2013-09-13T00:00:00Z"/>
        <d v="2016-07-20T00:00:00Z"/>
        <d v="2012-10-09T00:00:00Z"/>
        <d v="2013-10-02T00:00:00Z"/>
        <d v="2016-11-10T00:00:00Z"/>
        <d v="2011-09-05T00:00:00Z"/>
        <d v="2012-10-23T00:00:00Z"/>
        <d v="2015-05-08T00:00:00Z"/>
        <d v="2013-09-16T00:00:00Z"/>
        <d v="2013-11-15T00:00:00Z"/>
        <d v="2011-11-17T00:00:00Z"/>
        <d v="2015-11-27T00:00:00Z"/>
        <d v="2012-08-24T00:00:00Z"/>
        <d v="2013-04-19T00:00:00Z"/>
        <d v="2012-06-25T00:00:00Z"/>
        <d v="2017-04-24T00:00:00Z"/>
        <d v="2011-03-16T00:00:00Z"/>
        <d v="2011-01-06T00:00:00Z"/>
        <d v="2012-08-18T00:00:00Z"/>
        <d v="2011-08-09T00:00:00Z"/>
        <d v="2011-04-08T00:00:00Z"/>
        <d v="2016-03-21T00:00:00Z"/>
        <d v="2015-07-01T00:00:00Z"/>
        <d v="2016-07-19T00:00:00Z"/>
        <d v="2015-04-11T00:00:00Z"/>
        <d v="2014-09-19T00:00:00Z"/>
        <d v="2015-12-31T00:00:00Z"/>
        <d v="2012-03-06T00:00:00Z"/>
        <d v="2010-12-14T00:00:00Z"/>
        <d v="2016-07-28T00:00:00Z"/>
        <d v="2015-09-16T00:00:00Z"/>
        <d v="2014-04-21T00:00:00Z"/>
        <d v="2016-06-28T00:00:00Z"/>
        <d v="2010-06-29T00:00:00Z"/>
        <d v="2017-07-10T00:00:00Z"/>
        <d v="2011-07-11T00:00:00Z"/>
        <d v="2012-06-08T00:00:00Z"/>
        <d v="2013-06-04T00:00:00Z"/>
        <d v="2016-02-18T00:00:00Z"/>
        <d v="2016-08-27T00:00:00Z"/>
        <d v="2014-03-14T00:00:00Z"/>
        <d v="2012-05-04T00:00:00Z"/>
        <d v="2017-01-24T00:00:00Z"/>
        <d v="2012-10-01T00:00:00Z"/>
        <d v="2016-05-10T00:00:00Z"/>
        <d v="2011-03-29T00:00:00Z"/>
        <d v="2017-03-18T00:00:00Z"/>
        <d v="2013-07-20T00:00:00Z"/>
        <d v="2015-06-21T00:00:00Z"/>
        <d v="2014-01-26T00:00:00Z"/>
        <d v="2010-12-27T00:00:00Z"/>
        <d v="2012-11-25T00:00:00Z"/>
        <d v="2015-08-26T00:00:00Z"/>
        <d v="2010-02-15T00:00:00Z"/>
        <d v="2016-06-29T00:00:00Z"/>
        <d v="2010-11-05T00:00:00Z"/>
        <d v="2011-07-22T00:00:00Z"/>
        <d v="2015-10-13T00:00:00Z"/>
        <d v="2017-08-31T00:00:00Z"/>
        <d v="2013-05-20T00:00:00Z"/>
        <d v="2017-07-12T00:00:00Z"/>
        <d v="2016-10-21T00:00:00Z"/>
        <d v="2012-10-17T00:00:00Z"/>
        <d v="2010-06-27T00:00:00Z"/>
        <d v="2010-08-11T00:00:00Z"/>
        <d v="2012-02-14T00:00:00Z"/>
        <d v="2011-03-22T00:00:00Z"/>
        <d v="2010-10-17T00:00:00Z"/>
        <d v="2016-06-25T00:00:00Z"/>
        <d v="2015-01-01T00:00:00Z"/>
        <d v="2016-10-11T00:00:00Z"/>
        <d v="2015-05-18T00:00:00Z"/>
        <d v="2017-01-09T00:00:00Z"/>
        <d v="2011-11-19T00:00:00Z"/>
        <d v="2010-03-01T00:00:00Z"/>
        <d v="2014-07-12T00:00:00Z"/>
        <d v="2010-07-25T00:00:00Z"/>
        <d v="2010-02-10T00:00:00Z"/>
        <d v="2013-07-29T00:00:00Z"/>
        <d v="2010-07-22T00:00:00Z"/>
        <d v="2017-02-08T00:00:00Z"/>
        <d v="2013-06-03T00:00:00Z"/>
        <d v="2015-07-31T00:00:00Z"/>
        <d v="2010-10-31T00:00:00Z"/>
        <d v="2011-07-07T00:00:00Z"/>
        <d v="2017-02-18T00:00:00Z"/>
        <d v="2015-01-20T00:00:00Z"/>
        <d v="2013-07-28T00:00:00Z"/>
        <d v="2015-02-01T00:00:00Z"/>
        <d v="2017-01-05T00:00:00Z"/>
        <d v="2013-03-05T00:00:00Z"/>
        <d v="2017-01-06T00:00:00Z"/>
        <d v="2011-08-29T00:00:00Z"/>
        <d v="2017-05-02T00:00:00Z"/>
        <d v="2011-06-04T00:00:00Z"/>
        <d v="2016-12-21T00:00:00Z"/>
        <d v="2016-10-30T00:00:00Z"/>
        <d v="2017-04-01T00:00:00Z"/>
        <d v="2011-08-27T00:00:00Z"/>
        <d v="2013-12-26T00:00:00Z"/>
        <d v="2010-09-07T00:00:00Z"/>
        <d v="2014-05-14T00:00:00Z"/>
        <d v="2016-10-14T00:00:00Z"/>
        <d v="2017-01-10T00:00:00Z"/>
        <d v="2015-10-30T00:00:00Z"/>
        <d v="2011-03-09T00:00:00Z"/>
        <d v="2016-01-06T00:00:00Z"/>
        <d v="2014-03-15T00:00:00Z"/>
        <d v="2013-03-19T00:00:00Z"/>
        <d v="2012-01-13T00:00:00Z"/>
        <d v="2014-11-17T00:00:00Z"/>
        <d v="2015-05-16T00:00:00Z"/>
        <d v="2016-08-20T00:00:00Z"/>
        <d v="2016-03-26T00:00:00Z"/>
        <d v="2010-04-22T00:00:00Z"/>
        <d v="2016-12-09T00:00:00Z"/>
        <d v="2013-01-04T00:00:00Z"/>
        <d v="2013-11-20T00:00:00Z"/>
        <d v="2016-07-08T00:00:00Z"/>
        <d v="2016-07-22T00:00:00Z"/>
        <d v="2011-01-09T00:00:00Z"/>
        <d v="2016-12-01T00:00:00Z"/>
        <d v="2016-04-07T00:00:00Z"/>
        <d v="2012-10-15T00:00:00Z"/>
        <d v="2015-05-28T00:00:00Z"/>
        <d v="2015-11-22T00:00:00Z"/>
        <d v="2015-05-09T00:00:00Z"/>
        <d v="2014-10-20T00:00:00Z"/>
        <d v="2012-01-25T00:00:00Z"/>
        <d v="2016-05-28T00:00:00Z"/>
        <d v="2011-10-01T00:00:00Z"/>
        <d v="2015-11-26T00:00:00Z"/>
        <d v="2016-05-22T00:00:00Z"/>
        <d v="2013-12-07T00:00:00Z"/>
        <d v="2011-06-17T00:00:00Z"/>
        <d v="2013-07-19T00:00:00Z"/>
        <d v="2010-07-20T00:00:00Z"/>
        <d v="2013-12-03T00:00:00Z"/>
        <d v="2013-03-12T00:00:00Z"/>
        <d v="2011-12-02T00:00:00Z"/>
        <d v="2014-07-05T00:00:00Z"/>
        <d v="2016-03-27T00:00:00Z"/>
        <d v="2011-11-13T00:00:00Z"/>
        <d v="2015-05-06T00:00:00Z"/>
        <d v="2013-02-18T00:00:00Z"/>
        <d v="2014-04-09T00:00:00Z"/>
        <d v="2016-06-03T00:00:00Z"/>
        <d v="2011-05-11T00:00:00Z"/>
        <d v="2017-03-14T00:00:00Z"/>
        <d v="2016-04-03T00:00:00Z"/>
        <d v="2012-03-03T00:00:00Z"/>
        <d v="2016-03-01T00:00:00Z"/>
        <d v="2010-12-19T00:00:00Z"/>
        <d v="2014-02-07T00:00:00Z"/>
        <d v="2015-01-28T00:00:00Z"/>
        <d v="2014-06-03T00:00:00Z"/>
        <d v="2013-01-09T00:00:00Z"/>
        <d v="2012-03-09T00:00:00Z"/>
        <d v="2013-09-30T00:00:00Z"/>
        <d v="2017-06-28T00:00:00Z"/>
        <d v="2016-04-24T00:00:00Z"/>
        <d v="2015-05-13T00:00:00Z"/>
        <d v="2015-03-13T00:00:00Z"/>
        <d v="2016-08-22T00:00:00Z"/>
        <d v="2013-06-18T00:00:00Z"/>
        <d v="2013-08-21T00:00:00Z"/>
        <d v="2017-06-19T00:00:00Z"/>
        <d v="2014-05-20T00:00:00Z"/>
        <d v="2015-10-31T00:00:00Z"/>
        <d v="2012-08-02T00:00:00Z"/>
        <d v="2013-06-08T00:00:00Z"/>
        <d v="2015-12-15T00:00:00Z"/>
        <d v="2016-01-05T00:00:00Z"/>
        <d v="2010-05-01T00:00:00Z"/>
        <d v="2013-04-07T00:00:00Z"/>
        <d v="2016-05-21T00:00:00Z"/>
        <d v="2013-06-12T00:00:00Z"/>
        <d v="2015-06-28T00:00:00Z"/>
        <d v="2014-02-28T00:00:00Z"/>
        <d v="2015-09-05T00:00:00Z"/>
        <d v="2013-03-18T00:00:00Z"/>
        <d v="2015-12-01T00:00:00Z"/>
        <d v="2016-05-13T00:00:00Z"/>
        <d v="2016-12-14T00:00:00Z"/>
        <d v="2017-07-01T00:00:00Z"/>
        <d v="2015-05-21T00:00:00Z"/>
        <d v="2012-10-19T00:00:00Z"/>
        <d v="2012-05-06T00:00:00Z"/>
        <d v="2011-04-28T00:00:00Z"/>
        <d v="2012-04-15T00:00:00Z"/>
        <d v="2013-10-26T00:00:00Z"/>
        <d v="2017-08-05T00:00:00Z"/>
        <d v="2016-08-21T00:00:00Z"/>
        <d v="2015-12-24T00:00:00Z"/>
        <d v="2010-12-26T00:00:00Z"/>
        <d v="2012-02-20T00:00:00Z"/>
        <d v="2011-08-28T00:00:00Z"/>
        <d v="2013-02-04T00:00:00Z"/>
        <d v="2011-03-14T00:00:00Z"/>
        <d v="2011-05-24T00:00:00Z"/>
        <d v="2011-10-14T00:00:00Z"/>
        <d v="2011-03-18T00:00:00Z"/>
        <d v="2012-06-09T00:00:00Z"/>
        <d v="2011-12-28T00:00:00Z"/>
        <d v="2013-09-29T00:00:00Z"/>
        <d v="2012-11-29T00:00:00Z"/>
        <d v="2011-01-23T00:00:00Z"/>
        <d v="2012-07-25T00:00:00Z"/>
        <d v="2013-06-28T00:00:00Z"/>
        <d v="2017-05-19T00:00:00Z"/>
        <d v="2016-12-30T00:00:00Z"/>
        <d v="2017-05-06T00:00:00Z"/>
        <d v="2017-04-02T00:00:00Z"/>
        <d v="2015-07-13T00:00:00Z"/>
        <d v="2013-05-07T00:00:00Z"/>
        <d v="2012-12-26T00:00:00Z"/>
        <d v="2014-07-03T00:00:00Z"/>
        <d v="2010-06-25T00:00:00Z"/>
        <d v="2012-02-22T00:00:00Z"/>
        <d v="2017-08-13T00:00:00Z"/>
        <d v="2011-07-01T00:00:00Z"/>
        <d v="2010-11-06T00:00:00Z"/>
        <d v="2014-09-24T00:00:00Z"/>
        <d v="2013-04-14T00:00:00Z"/>
        <d v="2011-02-20T00:00:00Z"/>
        <d v="2012-06-26T00:00:00Z"/>
        <d v="2012-12-31T00:00:00Z"/>
        <d v="2014-08-25T00:00:00Z"/>
        <d v="2014-07-27T00:00:00Z"/>
        <d v="2013-03-08T00:00:00Z"/>
        <d v="2015-10-19T00:00:00Z"/>
        <d v="2013-04-24T00:00:00Z"/>
        <d v="2012-04-05T00:00:00Z"/>
        <d v="2011-09-04T00:00:00Z"/>
        <d v="2011-05-05T00:00:00Z"/>
        <d v="2016-06-30T00:00:00Z"/>
        <d v="2011-08-03T00:00:00Z"/>
        <d v="2014-06-18T00:00:00Z"/>
        <d v="2017-01-22T00:00:00Z"/>
        <d v="2015-10-16T00:00:00Z"/>
        <d v="2013-07-03T00:00:00Z"/>
        <d v="2010-01-21T00:00:00Z"/>
        <d v="2013-08-27T00:00:00Z"/>
        <d v="2011-12-13T00:00:00Z"/>
        <d v="2011-04-24T00:00:00Z"/>
        <d v="2017-05-04T00:00:00Z"/>
        <d v="2011-07-21T00:00:00Z"/>
        <d v="2016-06-17T00:00:00Z"/>
        <d v="2010-12-24T00:00:00Z"/>
        <d v="2014-07-18T00:00:00Z"/>
        <d v="2013-11-01T00:00:00Z"/>
        <d v="2016-10-03T00:00:00Z"/>
        <d v="2014-05-29T00:00:00Z"/>
        <d v="2015-11-21T00:00:00Z"/>
        <d v="2010-12-02T00:00:00Z"/>
        <d v="2016-11-29T00:00:00Z"/>
        <d v="2014-08-24T00:00:00Z"/>
        <d v="2012-04-17T00:00:00Z"/>
        <d v="2011-06-08T00:00:00Z"/>
        <d v="2011-02-25T00:00:00Z"/>
        <d v="2017-07-08T00:00:00Z"/>
        <d v="2012-01-10T00:00:00Z"/>
        <d v="2016-11-06T00:00:00Z"/>
        <d v="2013-08-24T00:00:00Z"/>
        <d v="2013-04-09T00:00:00Z"/>
        <d v="2016-12-28T00:00:00Z"/>
        <d v="2016-01-07T00:00:00Z"/>
        <d v="2012-07-03T00:00:00Z"/>
        <d v="2016-09-26T00:00:00Z"/>
        <d v="2016-09-29T00:00:00Z"/>
        <d v="2011-10-18T00:00:00Z"/>
        <d v="2013-05-04T00:00:00Z"/>
        <d v="2017-03-19T00:00:00Z"/>
        <d v="2011-03-07T00:00:00Z"/>
        <d v="2012-10-31T00:00:00Z"/>
        <d v="2013-01-31T00:00:00Z"/>
        <d v="2014-05-18T00:00:00Z"/>
        <d v="2013-02-10T00:00:00Z"/>
        <d v="2017-01-03T00:00:00Z"/>
        <d v="2013-05-29T00:00:00Z"/>
        <d v="2013-07-27T00:00:00Z"/>
        <d v="2011-10-24T00:00:00Z"/>
        <d v="2015-06-26T00:00:00Z"/>
        <d v="2012-09-13T00:00:00Z"/>
        <d v="2014-02-08T00:00:00Z"/>
        <d v="2011-09-12T00:00:00Z"/>
        <d v="2014-05-24T00:00:00Z"/>
        <d v="2011-06-13T00:00:00Z"/>
        <d v="2017-04-18T00:00:00Z"/>
        <d v="2016-07-09T00:00:00Z"/>
        <d v="2010-02-07T00:00:00Z"/>
        <d v="2014-09-04T00:00:00Z"/>
        <d v="2016-07-18T00:00:00Z"/>
        <d v="2012-10-28T00:00:00Z"/>
        <d v="2013-12-10T00:00:00Z"/>
        <d v="2013-11-16T00:00:00Z"/>
        <d v="2014-04-11T00:00:00Z"/>
        <d v="2013-04-30T00:00:00Z"/>
        <d v="2010-02-21T00:00:00Z"/>
        <d v="2013-01-16T00:00:00Z"/>
        <d v="2010-04-05T00:00:00Z"/>
        <d v="2017-04-08T00:00:00Z"/>
        <d v="2010-11-01T00:00:00Z"/>
        <d v="2010-04-30T00:00:00Z"/>
        <d v="2014-12-07T00:00:00Z"/>
        <d v="2012-04-25T00:00:00Z"/>
        <d v="2014-05-15T00:00:00Z"/>
        <d v="2014-10-26T00:00:00Z"/>
        <d v="2015-12-04T00:00:00Z"/>
        <d v="2017-06-18T00:00:00Z"/>
        <d v="2014-12-02T00:00:00Z"/>
        <d v="2017-08-27T00:00:00Z"/>
        <d v="2012-06-05T00:00:00Z"/>
        <d v="2012-03-15T00:00:00Z"/>
        <d v="2013-01-08T00:00:00Z"/>
        <d v="2015-07-26T00:00:00Z"/>
        <d v="2013-10-20T00:00:00Z"/>
        <d v="2010-02-01T00:00:00Z"/>
        <d v="2011-11-28T00:00:00Z"/>
        <d v="2015-07-20T00:00:00Z"/>
        <d v="2012-09-14T00:00:00Z"/>
        <d v="2010-04-09T00:00:00Z"/>
        <d v="2017-02-24T00:00:00Z"/>
        <d v="2014-10-15T00:00:00Z"/>
        <d v="2011-03-15T00:00:00Z"/>
        <d v="2017-04-23T00:00:00Z"/>
        <d v="2013-07-26T00:00:00Z"/>
        <d v="2011-03-23T00:00:00Z"/>
        <d v="2015-08-16T00:00:00Z"/>
        <d v="2014-12-13T00:00:00Z"/>
        <d v="2014-08-11T00:00:00Z"/>
        <d v="2014-06-24T00:00:00Z"/>
        <d v="2013-06-13T00:00:00Z"/>
        <d v="2012-03-19T00:00:00Z"/>
        <d v="2015-05-15T00:00:00Z"/>
        <d v="2010-02-26T00:00:00Z"/>
        <d v="2014-05-05T00:00:00Z"/>
        <d v="2010-10-08T00:00:00Z"/>
        <d v="2017-02-04T00:00:00Z"/>
        <d v="2015-04-12T00:00:00Z"/>
        <d v="2015-04-25T00:00:00Z"/>
        <d v="2011-12-07T00:00:00Z"/>
        <d v="2014-10-08T00:00:00Z"/>
        <d v="2013-03-30T00:00:00Z"/>
        <d v="2015-10-23T00:00:00Z"/>
        <d v="2014-11-24T00:00:00Z"/>
        <d v="2017-07-26T00:00:00Z"/>
        <d v="2010-12-31T00:00:00Z"/>
        <d v="2012-07-29T00:00:00Z"/>
        <d v="2016-03-16T00:00:00Z"/>
        <d v="2012-04-19T00:00:00Z"/>
        <d v="2010-04-16T00:00:00Z"/>
        <d v="2012-12-30T00:00:00Z"/>
        <d v="2013-11-07T00:00:00Z"/>
        <d v="2012-02-27T00:00:00Z"/>
        <d v="2010-02-04T00:00:00Z"/>
        <d v="2015-12-22T00:00:00Z"/>
        <d v="2017-05-09T00:00:00Z"/>
        <d v="2013-08-20T00:00:00Z"/>
        <d v="2015-11-13T00:00:00Z"/>
        <d v="2017-08-07T00:00:00Z"/>
        <d v="2017-06-24T00:00:00Z"/>
        <d v="2015-01-31T00:00:00Z"/>
        <d v="2016-05-31T00:00:00Z"/>
        <d v="2016-10-08T00:00:00Z"/>
        <d v="2011-02-24T00:00:00Z"/>
        <d v="2016-05-16T00:00:00Z"/>
        <d v="2014-08-30T00:00:00Z"/>
        <d v="2016-06-01T00:00:00Z"/>
        <d v="2015-01-27T00:00:00Z"/>
        <d v="2015-11-05T00:00:00Z"/>
        <d v="2015-08-11T00:00:00Z"/>
        <d v="2011-02-03T00:00:00Z"/>
        <d v="2017-06-30T00:00:00Z"/>
        <d v="2012-08-25T00:00:00Z"/>
        <d v="2016-05-30T00:00:00Z"/>
        <d v="2012-06-07T00:00:00Z"/>
        <d v="2012-03-21T00:00:00Z"/>
        <d v="2010-09-26T00:00:00Z"/>
        <d v="2014-06-01T00:00:00Z"/>
        <d v="2014-02-05T00:00:00Z"/>
        <d v="2015-07-04T00:00:00Z"/>
        <d v="2012-12-02T00:00:00Z"/>
        <d v="2012-02-21T00:00:00Z"/>
        <d v="2011-10-03T00:00:00Z"/>
        <d v="2013-06-29T00:00:00Z"/>
        <d v="2012-06-01T00:00:00Z"/>
        <d v="2016-12-26T00:00:00Z"/>
        <d v="2015-06-18T00:00:00Z"/>
        <d v="2016-11-19T00:00:00Z"/>
        <d v="2014-03-22T00:00:00Z"/>
        <d v="2012-10-22T00:00:00Z"/>
        <d v="2016-12-03T00:00:00Z"/>
        <d v="2016-01-09T00:00:00Z"/>
        <d v="2017-05-23T00:00:00Z"/>
        <d v="2012-05-07T00:00:00Z"/>
        <d v="2010-11-19T00:00:00Z"/>
        <d v="2013-08-01T00:00:00Z"/>
        <d v="2017-05-10T00:00:00Z"/>
        <d v="2013-11-17T00:00:00Z"/>
        <d v="2016-05-23T00:00:00Z"/>
        <d v="2010-12-09T00:00:00Z"/>
        <d v="2011-08-06T00:00:00Z"/>
        <d v="2015-04-28T00:00:00Z"/>
        <d v="2015-01-07T00:00:00Z"/>
        <d v="2013-09-12T00:00:00Z"/>
        <d v="2014-02-23T00:00:00Z"/>
        <d v="2011-09-09T00:00:00Z"/>
        <d v="2014-09-29T00:00:00Z"/>
        <d v="2010-02-03T00:00:00Z"/>
        <d v="2011-08-31T00:00:00Z"/>
        <d v="2015-03-02T00:00:00Z"/>
        <d v="2017-08-23T00:00:00Z"/>
        <d v="2015-10-18T00:00:00Z"/>
        <d v="2010-02-19T00:00:00Z"/>
        <d v="2017-08-08T00:00:00Z"/>
        <d v="2014-05-25T00:00:00Z"/>
        <d v="2017-03-21T00:00:00Z"/>
        <d v="2016-12-11T00:00:00Z"/>
        <d v="2013-08-15T00:00:00Z"/>
        <d v="2017-02-26T00:00:00Z"/>
        <d v="2010-04-18T00:00:00Z"/>
        <d v="2011-03-05T00:00:00Z"/>
        <d v="2010-12-13T00:00:00Z"/>
        <d v="2017-01-28T00:00:00Z"/>
        <d v="2015-11-15T00:00:00Z"/>
        <d v="2011-06-07T00:00:00Z"/>
        <d v="2011-01-19T00:00:00Z"/>
        <d v="2012-12-01T00:00:00Z"/>
        <d v="2017-01-12T00:00:00Z"/>
        <d v="2015-08-23T00:00:00Z"/>
        <d v="2012-08-30T00:00:00Z"/>
        <d v="2010-10-26T00:00:00Z"/>
        <d v="2011-05-18T00:00:00Z"/>
        <d v="2011-01-13T00:00:00Z"/>
        <d v="2013-08-19T00:00:00Z"/>
        <d v="2015-08-29T00:00:00Z"/>
        <d v="2016-11-05T00:00:00Z"/>
        <d v="2015-05-01T00:00:00Z"/>
        <d v="2014-12-24T00:00:00Z"/>
        <d v="2014-04-20T00:00:00Z"/>
        <d v="2015-12-11T00:00:00Z"/>
        <d v="2010-02-14T00:00:00Z"/>
        <d v="2010-08-08T00:00:00Z"/>
        <d v="2015-12-02T00:00:00Z"/>
        <d v="2011-05-07T00:00:00Z"/>
        <d v="2010-04-08T00:00:00Z"/>
        <d v="2010-03-30T00:00:00Z"/>
        <d v="2013-07-04T00:00:00Z"/>
        <d v="2017-03-15T00:00:00Z"/>
        <d v="2014-10-06T00:00:00Z"/>
        <d v="2017-05-21T00:00:00Z"/>
        <d v="2012-04-03T00:00:00Z"/>
        <d v="2011-07-12T00:00:00Z"/>
        <d v="2014-10-12T00:00:00Z"/>
        <d v="2011-03-06T00:00:00Z"/>
        <d v="2013-04-25T00:00:00Z"/>
        <d v="2015-10-28T00:00:00Z"/>
        <d v="2015-01-24T00:00:00Z"/>
        <d v="2011-04-13T00:00:00Z"/>
        <d v="2017-03-26T00:00:00Z"/>
        <d v="2012-04-29T00:00:00Z"/>
        <d v="2011-11-24T00:00:00Z"/>
        <d v="2011-07-29T00:00:00Z"/>
        <d v="2017-05-29T00:00:00Z"/>
        <d v="2012-04-27T00:00:00Z"/>
        <d v="2010-05-11T00:00:00Z"/>
        <d v="2010-06-11T00:00:00Z"/>
        <d v="2016-09-24T00:00:00Z"/>
        <d v="2010-10-24T00:00:00Z"/>
        <d v="2014-01-02T00:00:00Z"/>
        <d v="2017-04-11T00:00:00Z"/>
        <d v="2010-06-01T00:00:00Z"/>
        <d v="2010-09-21T00:00:00Z"/>
        <d v="2011-07-15T00:00:00Z"/>
        <d v="2011-06-16T00:00:00Z"/>
        <d v="2017-07-04T00:00:00Z"/>
        <d v="2012-02-19T00:00:00Z"/>
        <d v="2013-09-19T00:00:00Z"/>
        <d v="2012-05-08T00:00:00Z"/>
        <d v="2014-07-16T00:00:00Z"/>
        <d v="2011-08-01T00:00:00Z"/>
        <d v="2016-03-04T00:00:00Z"/>
        <d v="2015-11-01T00:00:00Z"/>
        <d v="2014-09-18T00:00:00Z"/>
        <d v="2011-11-27T00:00:00Z"/>
        <d v="2011-02-16T00:00:00Z"/>
        <d v="2011-12-06T00:00:00Z"/>
        <d v="2010-06-16T00:00:00Z"/>
        <d v="2017-07-06T00:00:00Z"/>
        <d v="2016-01-04T00:00:00Z"/>
        <d v="2012-05-20T00:00:00Z"/>
        <d v="2015-06-10T00:00:00Z"/>
        <d v="2013-12-25T00:00:00Z"/>
        <d v="2012-07-04T00:00:00Z"/>
        <d v="2011-12-10T00:00:00Z"/>
        <d v="2010-05-31T00:00:00Z"/>
        <d v="2012-06-18T00:00:00Z"/>
        <d v="2015-02-12T00:00:00Z"/>
        <d v="2016-02-19T00:00:00Z"/>
        <d v="2013-12-21T00:00:00Z"/>
        <d v="2011-01-12T00:00:00Z"/>
        <d v="2011-08-14T00:00:00Z"/>
        <d v="2016-07-13T00:00:00Z"/>
        <d v="2015-12-26T00:00:00Z"/>
        <d v="2015-04-01T00:00:00Z"/>
        <d v="2011-09-01T00:00:00Z"/>
        <d v="2013-02-22T00:00:00Z"/>
        <d v="2017-04-14T00:00:00Z"/>
        <d v="2011-09-26T00:00:00Z"/>
        <d v="2012-01-05T00:00:00Z"/>
        <d v="2014-09-26T00:00:00Z"/>
        <d v="2012-06-27T00:00:00Z"/>
        <d v="2013-06-20T00:00:00Z"/>
        <d v="2015-03-11T00:00:00Z"/>
        <d v="2015-02-03T00:00:00Z"/>
        <d v="2013-03-16T00:00:00Z"/>
        <d v="2011-03-19T00:00:00Z"/>
        <d v="2016-04-14T00:00:00Z"/>
        <d v="2013-08-22T00:00:00Z"/>
        <d v="2013-08-25T00:00:00Z"/>
        <d v="2014-09-10T00:00:00Z"/>
        <d v="2013-10-16T00:00:00Z"/>
        <d v="2015-04-30T00:00:00Z"/>
        <d v="2014-09-22T00:00:00Z"/>
        <d v="2016-03-10T00:00:00Z"/>
        <d v="2016-10-18T00:00:00Z"/>
        <d v="2017-01-29T00:00:00Z"/>
        <d v="2012-02-11T00:00:00Z"/>
        <d v="2015-03-09T00:00:00Z"/>
        <d v="2014-03-09T00:00:00Z"/>
        <d v="2014-10-19T00:00:00Z"/>
        <d v="2014-08-05T00:00:00Z"/>
        <d v="2014-09-02T00:00:00Z"/>
        <d v="2017-07-25T00:00:00Z"/>
        <d v="2012-11-17T00:00:00Z"/>
        <d v="2013-06-06T00:00:00Z"/>
        <d v="2016-07-17T00:00:00Z"/>
        <d v="2016-08-10T00:00:00Z"/>
        <d v="2011-05-23T00:00:00Z"/>
        <d v="2017-01-17T00:00:00Z"/>
        <d v="2016-07-24T00:00:00Z"/>
        <d v="2016-09-21T00:00:00Z"/>
        <d v="2011-08-25T00:00:00Z"/>
        <d v="2012-11-11T00:00:00Z"/>
        <d v="2011-06-19T00:00:00Z"/>
        <d v="2017-02-23T00:00:00Z"/>
        <d v="2010-09-29T00:00:00Z"/>
        <d v="2012-04-06T00:00:00Z"/>
        <d v="2017-07-05T00:00:00Z"/>
        <d v="2014-10-11T00:00:00Z"/>
        <d v="2016-07-01T00:00:00Z"/>
        <d v="2014-09-12T00:00:00Z"/>
        <d v="2011-11-11T00:00:00Z"/>
        <d v="2015-06-05T00:00:00Z"/>
        <d v="2010-09-01T00:00:00Z"/>
        <d v="2015-10-26T00:00:00Z"/>
        <d v="2010-06-21T00:00:00Z"/>
        <d v="2016-04-30T00:00:00Z"/>
        <d v="2013-08-10T00:00:00Z"/>
        <d v="2012-07-13T00:00:00Z"/>
        <d v="2011-05-30T00:00:00Z"/>
        <d v="2016-05-02T00:00:00Z"/>
        <d v="2016-10-10T00:00:00Z"/>
        <d v="2015-09-28T00:00:00Z"/>
        <d v="2016-05-07T00:00:00Z"/>
        <d v="2017-05-05T00:00:00Z"/>
        <d v="2012-02-03T00:00:00Z"/>
        <d v="2016-09-01T00:00:00Z"/>
        <d v="2016-02-13T00:00:00Z"/>
        <d v="2016-05-15T00:00:00Z"/>
        <d v="2014-05-02T00:00:00Z"/>
        <d v="2016-05-27T00:00:00Z"/>
        <d v="2013-09-23T00:00:00Z"/>
        <d v="2011-11-15T00:00:00Z"/>
        <d v="2016-01-10T00:00:00Z"/>
        <d v="2011-09-15T00:00:00Z"/>
        <d v="2011-07-02T00:00:00Z"/>
        <d v="2011-04-02T00:00:00Z"/>
        <d v="2016-09-02T00:00:00Z"/>
        <d v="2015-02-20T00:00:00Z"/>
        <d v="2015-08-27T00:00:00Z"/>
        <d v="2015-12-28T00:00:00Z"/>
        <d v="2011-07-26T00:00:00Z"/>
        <d v="2012-07-22T00:00:00Z"/>
        <d v="2014-10-21T00:00:00Z"/>
        <d v="2011-10-13T00:00:00Z"/>
        <d v="2010-03-09T00:00:00Z"/>
        <d v="2014-04-15T00:00:00Z"/>
        <d v="2011-03-30T00:00:00Z"/>
        <d v="2016-08-04T00:00:00Z"/>
        <d v="2016-10-24T00:00:00Z"/>
        <d v="2012-04-16T00:00:00Z"/>
        <d v="2013-02-20T00:00:00Z"/>
        <d v="2014-04-02T00:00:00Z"/>
        <d v="2015-03-01T00:00:00Z"/>
        <d v="2010-06-09T00:00:00Z"/>
        <d v="2011-09-02T00:00:00Z"/>
        <d v="2014-10-05T00:00:00Z"/>
        <d v="2015-11-02T00:00:00Z"/>
        <d v="2016-10-31T00:00:00Z"/>
        <d v="2010-07-16T00:00:00Z"/>
        <d v="2013-07-01T00:00:00Z"/>
        <d v="2011-12-12T00:00:00Z"/>
        <d v="2014-05-06T00:00:00Z"/>
        <d v="2013-11-22T00:00:00Z"/>
        <d v="2013-03-02T00:00:00Z"/>
        <d v="2011-06-01T00:00:00Z"/>
        <d v="2016-10-23T00:00:00Z"/>
        <d v="2014-07-06T00:00:00Z"/>
        <d v="2017-05-13T00:00:00Z"/>
        <d v="2016-03-30T00:00:00Z"/>
        <d v="2011-12-23T00:00:00Z"/>
        <d v="2014-02-25T00:00:00Z"/>
        <d v="2014-02-15T00:00:00Z"/>
        <d v="2016-07-21T00:00:00Z"/>
        <d v="2014-07-14T00:00:00Z"/>
        <d v="2010-05-17T00:00:00Z"/>
        <d v="2012-01-01T00:00:00Z"/>
        <d v="2014-01-15T00:00:00Z"/>
        <d v="2013-03-23T00:00:00Z"/>
        <d v="2015-05-31T00:00:00Z"/>
        <d v="2010-09-08T00:00:00Z"/>
        <d v="2012-08-21T00:00:00Z"/>
        <d v="2014-09-07T00:00:00Z"/>
        <d v="2011-04-03T00:00:00Z"/>
        <d v="2010-08-03T00:00:00Z"/>
        <d v="2013-07-24T00:00:00Z"/>
        <d v="2013-03-06T00:00:00Z"/>
        <d v="2016-04-04T00:00:00Z"/>
        <d v="2017-08-01T00:00:00Z"/>
        <d v="2013-03-11T00:00:00Z"/>
        <d v="2011-07-04T00:00:00Z"/>
        <d v="2017-02-02T00:00:00Z"/>
        <d v="2010-10-14T00:00:00Z"/>
        <d v="2011-02-10T00:00:00Z"/>
        <d v="2010-08-24T00:00:00Z"/>
        <d v="2016-03-19T00:00:00Z"/>
        <d v="2015-02-13T00:00:00Z"/>
        <d v="2013-04-26T00:00:00Z"/>
        <d v="2012-05-18T00:00:00Z"/>
        <d v="2012-03-13T00:00:00Z"/>
        <d v="2016-01-18T00:00:00Z"/>
        <d v="2012-08-26T00:00:00Z"/>
        <d v="2013-12-01T00:00:00Z"/>
        <d v="2010-03-31T00:00:00Z"/>
        <d v="2016-10-28T00:00:00Z"/>
        <d v="2015-04-02T00:00:00Z"/>
        <d v="2011-03-12T00:00:00Z"/>
        <d v="2014-08-08T00:00:00Z"/>
        <d v="2011-07-24T00:00:00Z"/>
        <d v="2016-06-24T00:00:00Z"/>
        <d v="2017-08-12T00:00:00Z"/>
        <d v="2013-11-19T00:00:00Z"/>
        <d v="2010-07-23T00:00:00Z"/>
        <d v="2017-06-25T00:00:00Z"/>
        <d v="2012-05-26T00:00:00Z"/>
        <d v="2012-02-29T00:00:00Z"/>
        <d v="2012-07-20T00:00:00Z"/>
        <d v="2016-08-15T00:00:00Z"/>
        <d v="2011-02-09T00:00:00Z"/>
        <d v="2014-12-12T00:00:00Z"/>
        <d v="2010-11-26T00:00:00Z"/>
        <d v="2013-05-02T00:00:00Z"/>
        <d v="2016-11-18T00:00:00Z"/>
        <d v="2014-10-04T00:00:00Z"/>
        <d v="2017-05-17T00:00:00Z"/>
        <d v="2014-12-17T00:00:00Z"/>
        <d v="2011-06-29T00:00:00Z"/>
        <d v="2011-11-05T00:00:00Z"/>
        <d v="2011-05-09T00:00:00Z"/>
        <d v="2011-04-12T00:00:00Z"/>
        <d v="2016-02-27T00:00:00Z"/>
        <d v="2015-01-13T00:00:00Z"/>
        <d v="2012-05-13T00:00:00Z"/>
        <d v="2011-03-11T00:00:00Z"/>
        <d v="2016-02-20T00:00:00Z"/>
        <d v="2014-07-21T00:00:00Z"/>
        <d v="2015-09-01T00:00:00Z"/>
        <d v="2014-12-30T00:00:00Z"/>
        <d v="2010-11-12T00:00:00Z"/>
        <d v="2017-02-28T00:00:00Z"/>
        <d v="2015-06-30T00:00:00Z"/>
        <d v="2012-07-27T00:00:00Z"/>
        <d v="2017-07-17T00:00:00Z"/>
        <d v="2012-12-20T00:00:00Z"/>
        <d v="2015-07-10T00:00:00Z"/>
        <d v="2010-10-04T00:00:00Z"/>
        <d v="2010-06-20T00:00:00Z"/>
        <d v="2016-09-08T00:00:00Z"/>
        <d v="2011-09-14T00:00:00Z"/>
        <d v="2016-04-11T00:00:00Z"/>
        <d v="2015-03-30T00:00:00Z"/>
        <d v="2010-01-14T00:00:00Z"/>
        <d v="2011-12-31T00:00:00Z"/>
        <d v="2012-04-10T00:00:00Z"/>
        <d v="2014-09-23T00:00:00Z"/>
        <d v="2017-04-04T00:00:00Z"/>
        <d v="2013-02-01T00:00:00Z"/>
        <d v="2014-01-25T00:00:00Z"/>
        <d v="2017-02-25T00:00:00Z"/>
        <d v="2011-04-23T00:00:00Z"/>
        <d v="2012-04-22T00:00:00Z"/>
        <d v="2013-03-03T00:00:00Z"/>
        <d v="2016-02-29T00:00:00Z"/>
        <d v="2012-04-23T00:00:00Z"/>
        <d v="2011-06-22T00:00:00Z"/>
        <d v="2012-09-06T00:00:00Z"/>
        <d v="2012-02-10T00:00:00Z"/>
        <d v="2012-08-29T00:00:00Z"/>
        <d v="2016-12-27T00:00:00Z"/>
        <d v="2013-05-03T00:00:00Z"/>
        <d v="2016-08-16T00:00:00Z"/>
        <d v="2017-05-31T00:00:00Z"/>
        <d v="2012-02-24T00:00:00Z"/>
        <d v="2014-03-27T00:00:00Z"/>
        <d v="2011-01-05T00:00:00Z"/>
        <d v="2013-03-31T00:00:00Z"/>
        <d v="2016-02-17T00:00:00Z"/>
        <d v="2017-03-08T00:00:00Z"/>
        <d v="2010-08-26T00:00:00Z"/>
        <d v="2010-10-23T00:00:00Z"/>
        <d v="2013-08-09T00:00:00Z"/>
        <d v="2017-07-29T00:00:00Z"/>
        <d v="2014-12-06T00:00:00Z"/>
        <d v="2013-03-01T00:00:00Z"/>
        <d v="2015-03-22T00:00:00Z"/>
        <d v="2010-04-03T00:00:00Z"/>
        <d v="2015-06-13T00:00:00Z"/>
        <d v="2015-04-08T00:00:00Z"/>
        <d v="2014-02-06T00:00:00Z"/>
        <d v="2012-08-15T00:00:00Z"/>
        <d v="2016-04-28T00:00:00Z"/>
        <d v="2013-09-08T00:00:00Z"/>
        <d v="2016-11-24T00:00:00Z"/>
        <d v="2015-04-18T00:00:00Z"/>
        <d v="2010-02-06T00:00:00Z"/>
        <d v="2014-07-17T00:00:00Z"/>
        <d v="2017-04-21T00:00:00Z"/>
        <d v="2014-11-09T00:00:00Z"/>
        <d v="2011-06-24T00:00:00Z"/>
        <d v="2014-10-09T00:00:00Z"/>
        <d v="2012-07-28T00:00:00Z"/>
        <d v="2017-06-02T00:00:00Z"/>
        <d v="2010-11-08T00:00:00Z"/>
        <d v="2014-02-03T00:00:00Z"/>
        <d v="2011-06-26T00:00:00Z"/>
        <d v="2014-02-16T00:00:00Z"/>
        <d v="2015-12-18T00:00:00Z"/>
        <d v="2012-11-23T00:00:00Z"/>
        <d v="2012-08-23T00:00:00Z"/>
        <d v="2014-09-05T00:00:00Z"/>
        <d v="2012-01-28T00:00:00Z"/>
        <d v="2015-04-29T00:00:00Z"/>
        <d v="2011-02-07T00:00:00Z"/>
        <d v="2011-07-14T00:00:00Z"/>
        <d v="2011-06-03T00:00:00Z"/>
        <d v="2010-05-22T00:00:00Z"/>
        <d v="2010-05-26T00:00:00Z"/>
        <d v="2010-07-31T00:00:00Z"/>
        <d v="2016-12-05T00:00:00Z"/>
        <d v="2013-01-19T00:00:00Z"/>
        <d v="2010-10-11T00:00:00Z"/>
        <d v="2012-12-06T00:00:00Z"/>
        <d v="2011-09-27T00:00:00Z"/>
        <d v="2014-01-20T00:00:00Z"/>
        <d v="2012-07-09T00:00:00Z"/>
        <d v="2010-03-14T00:00:00Z"/>
        <d v="2014-02-24T00:00:00Z"/>
        <d v="2014-04-26T00:00:00Z"/>
        <d v="2016-04-20T00:00:00Z"/>
        <d v="2011-01-31T00:00:00Z"/>
        <d v="2013-07-17T00:00:00Z"/>
        <d v="2010-01-17T00:00:00Z"/>
        <d v="2012-06-06T00:00:00Z"/>
        <d v="2012-11-02T00:00:00Z"/>
        <d v="2016-02-21T00:00:00Z"/>
        <d v="2012-09-07T00:00:00Z"/>
        <d v="2013-08-05T00:00:00Z"/>
        <d v="2012-01-27T00:00:00Z"/>
        <d v="2010-01-22T00:00:00Z"/>
        <d v="2014-08-20T00:00:00Z"/>
        <d v="2016-12-15T00:00:00Z"/>
        <d v="2010-05-13T00:00:00Z"/>
        <d v="2015-05-29T00:00:00Z"/>
        <d v="2014-06-27T00:00:00Z"/>
        <d v="2010-08-02T00:00:00Z"/>
        <d v="2012-12-13T00:00:00Z"/>
        <d v="2016-12-23T00:00:00Z"/>
        <d v="2016-06-10T00:00:00Z"/>
        <d v="2010-11-11T00:00:00Z"/>
        <d v="2012-01-19T00:00:00Z"/>
        <d v="2017-04-16T00:00:00Z"/>
        <d v="2014-03-07T00:00:00Z"/>
        <d v="2010-01-28T00:00:00Z"/>
        <d v="2013-07-25T00:00:00Z"/>
        <d v="2013-05-14T00:00:00Z"/>
        <d v="2013-01-18T00:00:00Z"/>
        <d v="2011-11-12T00:00:00Z"/>
        <d v="2012-05-25T00:00:00Z"/>
        <d v="2012-05-27T00:00:00Z"/>
        <d v="2011-09-08T00:00:00Z"/>
        <d v="2014-06-10T00:00:00Z"/>
        <d v="2011-11-29T00:00:00Z"/>
        <d v="2015-11-20T00:00:00Z"/>
        <d v="2012-12-22T00:00:00Z"/>
        <d v="2011-12-30T00:00:00Z"/>
        <d v="2012-10-13T00:00:00Z"/>
        <d v="2014-10-29T00:00:00Z"/>
        <d v="2010-05-19T00:00:00Z"/>
        <d v="2017-02-07T00:00:00Z"/>
        <d v="2011-09-16T00:00:00Z"/>
        <d v="2010-08-21T00:00:00Z"/>
        <d v="2011-02-14T00:00:00Z"/>
        <d v="2017-03-05T00:00:00Z"/>
        <d v="2015-06-14T00:00:00Z"/>
        <d v="2016-05-03T00:00:00Z"/>
        <d v="2013-10-21T00:00:00Z"/>
        <d v="2012-10-27T00:00:00Z"/>
        <d v="2012-02-13T00:00:00Z"/>
        <d v="2011-06-05T00:00:00Z"/>
        <d v="2017-06-20T00:00:00Z"/>
        <d v="2012-09-05T00:00:00Z"/>
        <d v="2017-02-03T00:00:00Z"/>
        <d v="2012-04-21T00:00:00Z"/>
        <d v="2012-09-12T00:00:00Z"/>
        <d v="2016-09-18T00:00:00Z"/>
        <d v="2013-04-03T00:00:00Z"/>
        <d v="2010-06-22T00:00:00Z"/>
        <d v="2015-08-02T00:00:00Z"/>
        <d v="2010-06-18T00:00:00Z"/>
        <d v="2011-02-27T00:00:00Z"/>
        <d v="2012-01-03T00:00:00Z"/>
        <d v="2014-11-16T00:00:00Z"/>
        <d v="2016-05-09T00:00:00Z"/>
        <d v="2011-11-01T00:00:00Z"/>
        <d v="2014-02-26T00:00:00Z"/>
        <d v="2014-11-06T00:00:00Z"/>
        <d v="2014-03-03T00:00:00Z"/>
        <d v="2014-04-28T00:00:00Z"/>
        <d v="2010-08-25T00:00:00Z"/>
        <d v="2011-04-30T00:00:00Z"/>
        <d v="2010-10-21T00:00:00Z"/>
        <d v="2015-08-18T00:00:00Z"/>
        <d v="2016-12-19T00:00:00Z"/>
        <d v="2015-11-29T00:00:00Z"/>
        <d v="2012-03-05T00:00:00Z"/>
        <d v="2013-10-25T00:00:00Z"/>
        <d v="2012-09-15T00:00:00Z"/>
        <d v="2014-10-27T00:00:00Z"/>
        <d v="2015-06-16T00:00:00Z"/>
        <d v="2010-10-15T00:00:00Z"/>
        <d v="2013-02-26T00:00:00Z"/>
        <d v="2015-08-12T00:00:00Z"/>
        <d v="2012-04-09T00:00:00Z"/>
        <d v="2010-05-16T00:00:00Z"/>
        <d v="2012-10-05T00:00:00Z"/>
        <d v="2016-03-17T00:00:00Z"/>
        <d v="2011-10-04T00:00:00Z"/>
        <d v="2012-02-04T00:00:00Z"/>
        <d v="2016-02-02T00:00:00Z"/>
        <d v="2015-02-08T00:00:00Z"/>
        <d v="2016-06-11T00:00:00Z"/>
        <d v="2011-04-09T00:00:00Z"/>
        <d v="2010-06-03T00:00:00Z"/>
        <d v="2011-05-08T00:00:00Z"/>
        <d v="2011-11-30T00:00:00Z"/>
        <d v="2016-09-23T00:00:00Z"/>
        <d v="2017-01-26T00:00:00Z"/>
        <d v="2015-08-22T00:00:00Z"/>
        <d v="2011-02-12T00:00:00Z"/>
        <d v="2012-07-10T00:00:00Z"/>
        <d v="2010-01-09T00:00:00Z"/>
        <d v="2016-02-06T00:00:00Z"/>
        <d v="2017-05-25T00:00:00Z"/>
        <d v="2010-08-10T00:00:00Z"/>
        <d v="2015-12-05T00:00:00Z"/>
        <d v="2014-03-06T00:00:00Z"/>
        <d v="2016-06-08T00:00:00Z"/>
        <d v="2012-09-26T00:00:00Z"/>
        <d v="2013-03-29T00:00:00Z"/>
        <d v="2013-03-07T00:00:00Z"/>
        <d v="2016-09-04T00:00:00Z"/>
        <d v="2010-07-11T00:00:00Z"/>
        <d v="2013-08-11T00:00:00Z"/>
        <d v="2011-01-03T00:00:00Z"/>
        <d v="2012-09-17T00:00:00Z"/>
        <d v="2013-11-26T00:00:00Z"/>
        <d v="2017-07-30T00:00:00Z"/>
        <d v="2016-11-02T00:00:00Z"/>
        <d v="2015-09-06T00:00:00Z"/>
        <d v="2017-04-26T00:00:00Z"/>
        <d v="2013-12-05T00:00:00Z"/>
        <d v="2010-01-27T00:00:00Z"/>
        <d v="2012-09-27T00:00:00Z"/>
        <d v="2015-11-04T00:00:00Z"/>
        <d v="2014-11-10T00:00:00Z"/>
        <d v="2016-05-25T00:00:00Z"/>
        <d v="2013-04-29T00:00:00Z"/>
        <d v="2017-01-04T00:00:00Z"/>
        <d v="2012-03-31T00:00:00Z"/>
        <d v="2013-08-12T00:00:00Z"/>
        <d v="2014-01-23T00:00:00Z"/>
        <d v="2016-10-13T00:00:00Z"/>
        <d v="2014-10-24T00:00:00Z"/>
        <d v="2014-03-05T00:00:00Z"/>
        <d v="2013-01-07T00:00:00Z"/>
        <d v="2017-06-06T00:00:00Z"/>
        <d v="2016-07-12T00:00:00Z"/>
        <d v="2015-11-14T00:00:00Z"/>
        <d v="2011-12-05T00:00:00Z"/>
        <d v="2013-11-28T00:00:00Z"/>
        <d v="2011-05-31T00:00:00Z"/>
        <d v="2010-01-10T00:00:00Z"/>
        <d v="2010-04-12T00:00:00Z"/>
        <d v="2012-03-14T00:00:00Z"/>
        <d v="2015-02-26T00:00:00Z"/>
        <d v="2017-07-23T00:00:00Z"/>
        <d v="2010-12-17T00:00:00Z"/>
        <d v="2012-08-04T00:00:00Z"/>
        <d v="2014-02-04T00:00:00Z"/>
        <d v="2010-02-22T00:00:00Z"/>
        <d v="2011-05-03T00:00:00Z"/>
        <d v="2015-09-18T00:00:00Z"/>
        <d v="2012-01-22T00:00:00Z"/>
        <d v="2017-04-07T00:00:00Z"/>
        <d v="2010-03-06T00:00:00Z"/>
        <d v="2014-11-07T00:00:00Z"/>
        <d v="2015-01-11T00:00:00Z"/>
        <d v="2010-10-28T00:00:00Z"/>
        <d v="2016-01-14T00:00:00Z"/>
        <d v="2010-02-23T00:00:00Z"/>
        <d v="2012-08-27T00:00:00Z"/>
        <d v="2014-12-05T00:00:00Z"/>
        <d v="2011-03-17T00:00:00Z"/>
        <d v="2010-09-20T00:00:00Z"/>
        <d v="2014-09-20T00:00:00Z"/>
        <d v="2016-10-15T00:00:00Z"/>
        <d v="2015-11-28T00:00:00Z"/>
        <d v="2017-06-22T00:00:00Z"/>
        <d v="2010-07-02T00:00:00Z"/>
        <d v="2015-10-04T00:00:00Z"/>
        <d v="2016-03-09T00:00:00Z"/>
        <d v="2010-06-07T00:00:00Z"/>
        <d v="2016-07-23T00:00:00Z"/>
        <d v="2013-03-25T00:00:00Z"/>
        <d v="2013-07-14T00:00:00Z"/>
        <d v="2012-07-08T00:00:00Z"/>
        <d v="2015-09-04T00:00:00Z"/>
        <d v="2010-02-12T00:00:00Z"/>
        <d v="2013-02-21T00:00:00Z"/>
        <d v="2016-10-27T00:00:00Z"/>
        <d v="2017-02-16T00:00:00Z"/>
        <d v="2013-01-15T00:00:00Z"/>
        <d v="2014-02-20T00:00:00Z"/>
        <d v="2016-01-23T00:00:00Z"/>
        <d v="2014-11-26T00:00:00Z"/>
        <d v="2013-06-23T00:00:00Z"/>
        <d v="2015-07-14T00:00:00Z"/>
        <d v="2015-10-25T00:00:00Z"/>
        <d v="2017-08-02T00:00:00Z"/>
        <d v="2012-01-16T00:00:00Z"/>
        <d v="2017-05-08T00:00:00Z"/>
        <d v="2015-03-31T00:00:00Z"/>
        <d v="2016-09-14T00:00:00Z"/>
        <d v="2011-06-27T00:00:00Z"/>
        <d v="2015-11-25T00:00:00Z"/>
        <d v="2014-09-11T00:00:00Z"/>
        <d v="2011-05-20T00:00:00Z"/>
        <d v="2017-03-17T00:00:00Z"/>
        <d v="2011-04-20T00:00:00Z"/>
        <d v="2012-12-07T00:00:00Z"/>
        <d v="2011-09-03T00:00:00Z"/>
        <d v="2011-05-17T00:00:00Z"/>
        <d v="2011-03-24T00:00:00Z"/>
        <d v="2012-04-04T00:00:00Z"/>
        <d v="2013-09-17T00:00:00Z"/>
        <d v="2010-08-23T00:00:00Z"/>
        <d v="2012-03-10T00:00:00Z"/>
        <d v="2010-09-30T00:00:00Z"/>
        <d v="2013-04-22T00:00:00Z"/>
        <d v="2010-03-04T00:00:00Z"/>
        <d v="2012-11-30T00:00:00Z"/>
        <d v="2017-04-19T00:00:00Z"/>
        <d v="2014-08-14T00:00:00Z"/>
        <d v="2010-12-05T00:00:00Z"/>
        <d v="2016-07-25T00:00:00Z"/>
        <d v="2013-02-24T00:00:00Z"/>
        <d v="2013-12-19T00:00:00Z"/>
        <d v="2011-10-25T00:00:00Z"/>
        <d v="2015-07-08T00:00:00Z"/>
        <d v="2014-01-27T00:00:00Z"/>
        <d v="2017-03-31T00:00:00Z"/>
        <d v="2010-10-12T00:00:00Z"/>
        <d v="2015-12-30T00:00:00Z"/>
        <d v="2015-08-17T00:00:00Z"/>
        <d v="2011-08-30T00:00:00Z"/>
        <d v="2016-11-12T00:00:00Z"/>
        <d v="2012-12-10T00:00:00Z"/>
        <d v="2016-08-12T00:00:00Z"/>
        <d v="2015-06-15T00:00:00Z"/>
        <d v="2014-06-16T00:00:00Z"/>
        <d v="2013-05-28T00:00:00Z"/>
        <d v="2015-03-25T00:00:00Z"/>
        <d v="2010-02-24T00:00:00Z"/>
        <d v="2016-05-14T00:00:00Z"/>
        <d v="2010-05-02T00:00:00Z"/>
        <d v="2016-12-29T00:00:00Z"/>
        <d v="2014-04-16T00:00:00Z"/>
        <d v="2012-11-05T00:00:00Z"/>
        <d v="2014-08-07T00:00:00Z"/>
        <d v="2011-01-30T00:00:00Z"/>
        <d v="2010-05-23T00:00:00Z"/>
        <d v="2012-03-08T00:00:00Z"/>
        <d v="2015-11-17T00:00:00Z"/>
        <d v="2012-07-18T00:00:00Z"/>
        <d v="2010-01-13T00:00:00Z"/>
        <d v="2010-09-09T00:00:00Z"/>
        <d v="2011-05-16T00:00:00Z"/>
        <d v="2011-10-06T00:00:00Z"/>
        <d v="2016-01-29T00:00:00Z"/>
        <d v="2014-06-22T00:00:00Z"/>
        <d v="2017-06-08T00:00:00Z"/>
        <d v="2010-09-06T00:00:00Z"/>
        <d v="2012-05-21T00:00:00Z"/>
        <d v="2014-05-19T00:00:00Z"/>
        <d v="2016-06-20T00:00:00Z"/>
        <d v="2017-08-11T00:00:00Z"/>
        <d v="2017-04-30T00:00:00Z"/>
        <d v="2017-04-06T00:00:00Z"/>
        <d v="2015-09-09T00:00:00Z"/>
        <d v="2011-11-02T00:00:00Z"/>
        <d v="2011-07-10T00:00:00Z"/>
        <d v="2014-10-22T00:00:00Z"/>
        <d v="2014-09-01T00:00:00Z"/>
        <d v="2013-08-06T00:00:00Z"/>
        <d v="2013-10-03T00:00:00Z"/>
        <d v="2016-05-17T00:00:00Z"/>
        <d v="2012-02-16T00:00:00Z"/>
        <d v="2017-05-26T00:00:00Z"/>
        <d v="2013-09-20T00:00:00Z"/>
        <d v="2010-10-18T00:00:00Z"/>
        <d v="2012-10-06T00:00:00Z"/>
        <d v="2012-10-02T00:00:00Z"/>
        <d v="2012-03-02T00:00:00Z"/>
        <d v="2013-11-25T00:00:00Z"/>
        <d v="2014-12-21T00:00:00Z"/>
        <d v="2012-06-04T00:00:00Z"/>
        <d v="2010-11-09T00:00:00Z"/>
        <d v="2010-08-06T00:00:00Z"/>
        <d v="2014-07-24T00:00:00Z"/>
        <d v="2015-11-09T00:00:00Z"/>
        <d v="2014-11-30T00:00:00Z"/>
        <d v="2017-06-21T00:00:00Z"/>
        <d v="2015-08-25T00:00:00Z"/>
        <d v="2012-01-23T00:00:00Z"/>
        <d v="2014-01-29T00:00:00Z"/>
        <d v="2013-10-28T00:00:00Z"/>
        <d v="2012-06-19T00:00:00Z"/>
        <d v="2012-04-30T00:00:00Z"/>
        <d v="2014-08-31T00:00:00Z"/>
        <d v="2014-10-28T00:00:00Z"/>
        <d v="2015-01-04T00:00:00Z"/>
        <d v="2014-07-30T00:00:00Z"/>
        <d v="2014-09-08T00:00:00Z"/>
        <d v="2014-12-28T00:00:00Z"/>
        <d v="2016-04-12T00:00:00Z"/>
        <d v="2012-01-31T00:00:00Z"/>
        <d v="2010-10-05T00:00:00Z"/>
        <d v="2010-07-19T00:00:00Z"/>
        <d v="2012-06-20T00:00:00Z"/>
        <d v="2010-04-29T00:00:00Z"/>
        <d v="2016-02-25T00:00:00Z"/>
        <d v="2015-05-26T00:00:00Z"/>
        <d v="2011-02-15T00:00:00Z"/>
        <d v="2011-06-06T00:00:00Z"/>
        <d v="2015-03-05T00:00:00Z"/>
        <d v="2011-12-26T00:00:00Z"/>
        <d v="2015-04-20T00:00:00Z"/>
        <d v="2014-10-02T00:00:00Z"/>
        <d v="2014-05-11T00:00:00Z"/>
        <d v="2011-08-07T00:00:00Z"/>
      </sharedItems>
    </cacheField>
    <cacheField name="Units Sold" numFmtId="0">
      <sharedItems containsSemiMixedTypes="0" containsString="0" containsNumber="1" containsInteger="1">
        <n v="552.0"/>
        <n v="2167.0"/>
        <n v="4778.0"/>
        <n v="9016.0"/>
        <n v="7542.0"/>
        <n v="48.0"/>
        <n v="8258.0"/>
        <n v="927.0"/>
        <n v="8841.0"/>
        <n v="9817.0"/>
        <n v="3704.0"/>
        <n v="7382.0"/>
        <n v="9762.0"/>
        <n v="6786.0"/>
        <n v="6428.0"/>
        <n v="3693.0"/>
        <n v="5616.0"/>
        <n v="6266.0"/>
        <n v="1742.0"/>
        <n v="5172.0"/>
        <n v="1718.0"/>
        <n v="3572.0"/>
        <n v="4958.0"/>
        <n v="7132.0"/>
        <n v="3378.0"/>
        <n v="4015.0"/>
        <n v="1390.0"/>
        <n v="4885.0"/>
        <n v="5910.0"/>
        <n v="2907.0"/>
        <n v="6350.0"/>
        <n v="3744.0"/>
        <n v="4626.0"/>
        <n v="5562.0"/>
        <n v="5150.0"/>
        <n v="9022.0"/>
        <n v="4838.0"/>
        <n v="7291.0"/>
        <n v="3104.0"/>
        <n v="6031.0"/>
        <n v="1860.0"/>
        <n v="3407.0"/>
        <n v="5522.0"/>
        <n v="84.0"/>
        <n v="1003.0"/>
        <n v="9224.0"/>
        <n v="7718.0"/>
        <n v="6492.0"/>
        <n v="7581.0"/>
        <n v="52.0"/>
        <n v="5005.0"/>
        <n v="568.0"/>
        <n v="6905.0"/>
        <n v="1205.0"/>
        <n v="2694.0"/>
        <n v="7626.0"/>
        <n v="4287.0"/>
        <n v="7995.0"/>
        <n v="6099.0"/>
        <n v="2977.0"/>
        <n v="5042.0"/>
        <n v="5736.0"/>
        <n v="531.0"/>
        <n v="1934.0"/>
        <n v="4481.0"/>
        <n v="9738.0"/>
        <n v="1304.0"/>
        <n v="9810.0"/>
        <n v="7916.0"/>
        <n v="5315.0"/>
        <n v="3730.0"/>
        <n v="1916.0"/>
        <n v="660.0"/>
        <n v="7779.0"/>
        <n v="3121.0"/>
        <n v="3566.0"/>
        <n v="8026.0"/>
        <n v="2443.0"/>
        <n v="4790.0"/>
        <n v="72.0"/>
        <n v="5326.0"/>
        <n v="4619.0"/>
        <n v="4049.0"/>
        <n v="6747.0"/>
        <n v="7873.0"/>
        <n v="9620.0"/>
        <n v="6211.0"/>
        <n v="8902.0"/>
        <n v="978.0"/>
        <n v="2758.0"/>
        <n v="6588.0"/>
        <n v="1851.0"/>
        <n v="9956.0"/>
        <n v="9345.0"/>
        <n v="494.0"/>
        <n v="905.0"/>
        <n v="117.0"/>
        <n v="4695.0"/>
        <n v="3239.0"/>
        <n v="1379.0"/>
        <n v="6775.0"/>
        <n v="4120.0"/>
        <n v="138.0"/>
        <n v="8583.0"/>
        <n v="5242.0"/>
        <n v="2932.0"/>
        <n v="6501.0"/>
        <n v="7830.0"/>
        <n v="830.0"/>
        <n v="6443.0"/>
        <n v="7643.0"/>
        <n v="4434.0"/>
        <n v="8853.0"/>
        <n v="9967.0"/>
        <n v="8875.0"/>
        <n v="3706.0"/>
        <n v="4622.0"/>
        <n v="8815.0"/>
        <n v="5509.0"/>
        <n v="959.0"/>
        <n v="3450.0"/>
        <n v="8301.0"/>
        <n v="2859.0"/>
        <n v="1505.0"/>
        <n v="650.0"/>
        <n v="3736.0"/>
        <n v="6237.0"/>
        <n v="658.0"/>
        <n v="1534.0"/>
        <n v="434.0"/>
        <n v="955.0"/>
        <n v="3729.0"/>
        <n v="1415.0"/>
        <n v="2326.0"/>
        <n v="6030.0"/>
        <n v="5604.0"/>
        <n v="8866.0"/>
        <n v="5663.0"/>
        <n v="2876.0"/>
        <n v="9416.0"/>
        <n v="1225.0"/>
        <n v="6277.0"/>
        <n v="9577.0"/>
        <n v="8161.0"/>
        <n v="6096.0"/>
        <n v="9481.0"/>
        <n v="1447.0"/>
        <n v="7153.0"/>
        <n v="8792.0"/>
        <n v="589.0"/>
        <n v="3797.0"/>
        <n v="1704.0"/>
        <n v="4912.0"/>
        <n v="1941.0"/>
        <n v="7126.0"/>
        <n v="8909.0"/>
        <n v="7762.0"/>
        <n v="1191.0"/>
        <n v="8733.0"/>
        <n v="6954.0"/>
        <n v="4453.0"/>
        <n v="6860.0"/>
        <n v="1836.0"/>
        <n v="4074.0"/>
        <n v="297.0"/>
        <n v="4259.0"/>
        <n v="1748.0"/>
        <n v="5581.0"/>
        <n v="606.0"/>
        <n v="8702.0"/>
        <n v="3782.0"/>
        <n v="6788.0"/>
        <n v="692.0"/>
        <n v="5501.0"/>
        <n v="3250.0"/>
        <n v="3007.0"/>
        <n v="5870.0"/>
        <n v="9968.0"/>
        <n v="5465.0"/>
        <n v="9550.0"/>
        <n v="1450.0"/>
        <n v="7417.0"/>
        <n v="5738.0"/>
        <n v="1731.0"/>
        <n v="2745.0"/>
        <n v="3159.0"/>
        <n v="9383.0"/>
        <n v="4862.0"/>
        <n v="5068.0"/>
        <n v="2506.0"/>
        <n v="1713.0"/>
        <n v="4255.0"/>
        <n v="3732.0"/>
        <n v="772.0"/>
        <n v="8039.0"/>
        <n v="5223.0"/>
        <n v="4048.0"/>
        <n v="3270.0"/>
        <n v="3674.0"/>
        <n v="3077.0"/>
        <n v="1330.0"/>
        <n v="5310.0"/>
        <n v="3930.0"/>
        <n v="3132.0"/>
        <n v="889.0"/>
        <n v="2207.0"/>
        <n v="4121.0"/>
        <n v="699.0"/>
        <n v="9272.0"/>
        <n v="9558.0"/>
        <n v="1090.0"/>
        <n v="8092.0"/>
        <n v="1818.0"/>
        <n v="5554.0"/>
        <n v="9619.0"/>
        <n v="6360.0"/>
        <n v="5157.0"/>
        <n v="7422.0"/>
        <n v="1597.0"/>
        <n v="8155.0"/>
        <n v="4602.0"/>
        <n v="474.0"/>
        <n v="2337.0"/>
        <n v="5466.0"/>
        <n v="22.0"/>
        <n v="3581.0"/>
        <n v="3061.0"/>
        <n v="1380.0"/>
        <n v="1355.0"/>
        <n v="7835.0"/>
        <n v="2699.0"/>
        <n v="9859.0"/>
        <n v="257.0"/>
        <n v="6867.0"/>
        <n v="9693.0"/>
        <n v="9172.0"/>
        <n v="5989.0"/>
        <n v="9356.0"/>
        <n v="9432.0"/>
        <n v="3411.0"/>
        <n v="515.0"/>
        <n v="7000.0"/>
        <n v="1151.0"/>
        <n v="8287.0"/>
        <n v="5755.0"/>
        <n v="7937.0"/>
        <n v="1242.0"/>
        <n v="9113.0"/>
        <n v="7024.0"/>
        <n v="7480.0"/>
        <n v="5016.0"/>
        <n v="1201.0"/>
        <n v="9633.0"/>
        <n v="941.0"/>
        <n v="7787.0"/>
        <n v="9864.0"/>
        <n v="8894.0"/>
        <n v="3634.0"/>
        <n v="4868.0"/>
        <n v="414.0"/>
        <n v="121.0"/>
        <n v="869.0"/>
        <n v="1570.0"/>
        <n v="8164.0"/>
        <n v="8626.0"/>
        <n v="7961.0"/>
        <n v="3205.0"/>
        <n v="8426.0"/>
        <n v="9721.0"/>
        <n v="222.0"/>
        <n v="5088.0"/>
        <n v="6513.0"/>
        <n v="8719.0"/>
        <n v="2963.0"/>
        <n v="2530.0"/>
        <n v="7737.0"/>
        <n v="933.0"/>
        <n v="1498.0"/>
        <n v="843.0"/>
        <n v="7410.0"/>
        <n v="1674.0"/>
        <n v="1138.0"/>
        <n v="5340.0"/>
        <n v="846.0"/>
        <n v="6255.0"/>
        <n v="7197.0"/>
        <n v="1334.0"/>
        <n v="3357.0"/>
        <n v="9990.0"/>
        <n v="4988.0"/>
        <n v="4137.0"/>
        <n v="254.0"/>
        <n v="8189.0"/>
        <n v="9821.0"/>
        <n v="9061.0"/>
        <n v="6852.0"/>
        <n v="6167.0"/>
        <n v="7011.0"/>
        <n v="1420.0"/>
        <n v="8461.0"/>
        <n v="9234.0"/>
        <n v="1869.0"/>
        <n v="6525.0"/>
        <n v="396.0"/>
        <n v="2705.0"/>
        <n v="9707.0"/>
        <n v="9689.0"/>
        <n v="7967.0"/>
        <n v="1891.0"/>
        <n v="5840.0"/>
        <n v="6225.0"/>
        <n v="6489.0"/>
        <n v="2105.0"/>
        <n v="5578.0"/>
        <n v="1445.0"/>
        <n v="1272.0"/>
        <n v="8659.0"/>
        <n v="4235.0"/>
        <n v="661.0"/>
        <n v="7630.0"/>
        <n v="6866.0"/>
        <n v="7123.0"/>
        <n v="9187.0"/>
        <n v="876.0"/>
        <n v="2038.0"/>
        <n v="9554.0"/>
        <n v="2334.0"/>
        <n v="6321.0"/>
        <n v="9488.0"/>
        <n v="6841.0"/>
        <n v="5415.0"/>
        <n v="9278.0"/>
        <n v="4529.0"/>
        <n v="4297.0"/>
        <n v="3743.0"/>
        <n v="5060.0"/>
        <n v="2472.0"/>
        <n v="7233.0"/>
        <n v="2630.0"/>
        <n v="8980.0"/>
        <n v="8631.0"/>
        <n v="963.0"/>
        <n v="7388.0"/>
        <n v="6348.0"/>
        <n v="8317.0"/>
        <n v="799.0"/>
        <n v="3331.0"/>
        <n v="2480.0"/>
        <n v="6844.0"/>
        <n v="2054.0"/>
        <n v="5770.0"/>
        <n v="2685.0"/>
        <n v="9524.0"/>
        <n v="39.0"/>
        <n v="18.0"/>
        <n v="2279.0"/>
        <n v="1668.0"/>
        <n v="68.0"/>
        <n v="1388.0"/>
        <n v="6571.0"/>
        <n v="8591.0"/>
        <n v="7453.0"/>
        <n v="5192.0"/>
        <n v="7506.0"/>
        <n v="6742.0"/>
        <n v="506.0"/>
        <n v="8020.0"/>
        <n v="5540.0"/>
        <n v="1352.0"/>
        <n v="773.0"/>
        <n v="1152.0"/>
        <n v="6868.0"/>
        <n v="4333.0"/>
        <n v="6989.0"/>
        <n v="311.0"/>
        <n v="6802.0"/>
        <n v="998.0"/>
        <n v="4468.0"/>
        <n v="810.0"/>
        <n v="654.0"/>
        <n v="6660.0"/>
        <n v="8522.0"/>
        <n v="7962.0"/>
        <n v="3737.0"/>
        <n v="6631.0"/>
        <n v="4463.0"/>
        <n v="7080.0"/>
        <n v="1363.0"/>
        <n v="6223.0"/>
        <n v="7603.0"/>
        <n v="3475.0"/>
        <n v="8846.0"/>
        <n v="750.0"/>
        <n v="3256.0"/>
        <n v="2461.0"/>
        <n v="1497.0"/>
        <n v="5523.0"/>
        <n v="6733.0"/>
        <n v="9350.0"/>
        <n v="4629.0"/>
        <n v="5855.0"/>
        <n v="3348.0"/>
        <n v="9454.0"/>
        <n v="3554.0"/>
        <n v="7059.0"/>
        <n v="8412.0"/>
        <n v="8086.0"/>
        <n v="3585.0"/>
        <n v="4447.0"/>
        <n v="7238.0"/>
        <n v="558.0"/>
        <n v="35.0"/>
        <n v="5139.0"/>
        <n v="2183.0"/>
        <n v="8216.0"/>
        <n v="9025.0"/>
        <n v="7428.0"/>
        <n v="8273.0"/>
        <n v="3440.0"/>
        <n v="6840.0"/>
        <n v="4141.0"/>
        <n v="1020.0"/>
        <n v="2089.0"/>
        <n v="6416.0"/>
        <n v="5099.0"/>
        <n v="6269.0"/>
        <n v="85.0"/>
        <n v="3741.0"/>
        <n v="6461.0"/>
        <n v="4498.0"/>
        <n v="6140.0"/>
        <n v="6703.0"/>
        <n v="3537.0"/>
        <n v="1021.0"/>
        <n v="5566.0"/>
        <n v="615.0"/>
        <n v="1642.0"/>
        <n v="1150.0"/>
        <n v="3677.0"/>
        <n v="789.0"/>
        <n v="6086.0"/>
        <n v="197.0"/>
        <n v="5784.0"/>
        <n v="2538.0"/>
        <n v="2184.0"/>
        <n v="3476.0"/>
        <n v="7200.0"/>
        <n v="1174.0"/>
        <n v="5247.0"/>
        <n v="6298.0"/>
        <n v="3238.0"/>
        <n v="2010.0"/>
        <n v="588.0"/>
        <n v="3975.0"/>
        <n v="9210.0"/>
        <n v="358.0"/>
        <n v="3519.0"/>
        <n v="1822.0"/>
        <n v="428.0"/>
        <n v="1531.0"/>
        <n v="9353.0"/>
        <n v="5149.0"/>
        <n v="2206.0"/>
        <n v="840.0"/>
        <n v="3402.0"/>
        <n v="9270.0"/>
        <n v="9855.0"/>
        <n v="3600.0"/>
        <n v="979.0"/>
        <n v="9496.0"/>
        <n v="8688.0"/>
        <n v="5122.0"/>
        <n v="7396.0"/>
        <n v="1141.0"/>
        <n v="4018.0"/>
        <n v="718.0"/>
        <n v="9517.0"/>
        <n v="1157.0"/>
        <n v="5702.0"/>
        <n v="8002.0"/>
        <n v="9937.0"/>
        <n v="5417.0"/>
        <n v="5385.0"/>
        <n v="2815.0"/>
        <n v="7712.0"/>
        <n v="2112.0"/>
        <n v="5081.0"/>
        <n v="7719.0"/>
        <n v="8156.0"/>
        <n v="6553.0"/>
        <n v="101.0"/>
        <n v="6581.0"/>
        <n v="4053.0"/>
        <n v="5759.0"/>
        <n v="9048.0"/>
        <n v="8299.0"/>
        <n v="9925.0"/>
        <n v="7366.0"/>
        <n v="6097.0"/>
        <n v="8623.0"/>
        <n v="9480.0"/>
        <n v="236.0"/>
        <n v="4487.0"/>
        <n v="2866.0"/>
        <n v="8033.0"/>
        <n v="9680.0"/>
        <n v="9530.0"/>
        <n v="6340.0"/>
        <n v="894.0"/>
        <n v="1011.0"/>
        <n v="6539.0"/>
        <n v="4357.0"/>
        <n v="3377.0"/>
        <n v="9542.0"/>
        <n v="825.0"/>
        <n v="2230.0"/>
        <n v="795.0"/>
        <n v="585.0"/>
        <n v="7701.0"/>
        <n v="5272.0"/>
        <n v="8458.0"/>
        <n v="9453.0"/>
        <n v="8794.0"/>
        <n v="1681.0"/>
        <n v="1458.0"/>
        <n v="475.0"/>
        <n v="8110.0"/>
        <n v="5776.0"/>
        <n v="1913.0"/>
        <n v="6997.0"/>
        <n v="8532.0"/>
        <n v="6054.0"/>
        <n v="6130.0"/>
        <n v="7360.0"/>
        <n v="5372.0"/>
        <n v="7829.0"/>
        <n v="9422.0"/>
        <n v="6876.0"/>
        <n v="3944.0"/>
        <n v="6413.0"/>
        <n v="7101.0"/>
        <n v="856.0"/>
        <n v="9559.0"/>
        <n v="7119.0"/>
        <n v="4480.0"/>
        <n v="4615.0"/>
        <n v="7529.0"/>
        <n v="5259.0"/>
        <n v="6871.0"/>
        <n v="3464.0"/>
        <n v="3169.0"/>
        <n v="6145.0"/>
        <n v="9587.0"/>
        <n v="2716.0"/>
        <n v="1789.0"/>
        <n v="5091.0"/>
        <n v="7939.0"/>
        <n v="7683.0"/>
        <n v="7408.0"/>
        <n v="7242.0"/>
        <n v="3678.0"/>
        <n v="9222.0"/>
        <n v="8409.0"/>
        <n v="2807.0"/>
        <n v="6014.0"/>
        <n v="8660.0"/>
        <n v="9946.0"/>
        <n v="2.0"/>
        <n v="2329.0"/>
        <n v="7713.0"/>
        <n v="3973.0"/>
        <n v="5541.0"/>
        <n v="6642.0"/>
        <n v="199.0"/>
        <n v="4187.0"/>
        <n v="3610.0"/>
        <n v="5504.0"/>
        <n v="3938.0"/>
        <n v="5009.0"/>
        <n v="1847.0"/>
        <n v="9613.0"/>
        <n v="501.0"/>
        <n v="5565.0"/>
        <n v="4282.0"/>
        <n v="5201.0"/>
        <n v="673.0"/>
        <n v="76.0"/>
        <n v="4821.0"/>
        <n v="3352.0"/>
        <n v="6141.0"/>
        <n v="693.0"/>
        <n v="6545.0"/>
        <n v="264.0"/>
        <n v="449.0"/>
        <n v="2729.0"/>
        <n v="4765.0"/>
        <n v="1251.0"/>
        <n v="8910.0"/>
        <n v="1495.0"/>
        <n v="4795.0"/>
        <n v="1625.0"/>
        <n v="6836.0"/>
        <n v="2305.0"/>
        <n v="1946.0"/>
        <n v="6700.0"/>
        <n v="9540.0"/>
        <n v="472.0"/>
        <n v="1786.0"/>
        <n v="1306.0"/>
        <n v="8863.0"/>
        <n v="2197.0"/>
        <n v="122.0"/>
        <n v="9254.0"/>
        <n v="3245.0"/>
        <n v="9444.0"/>
        <n v="2231.0"/>
        <n v="8016.0"/>
        <n v="243.0"/>
        <n v="4384.0"/>
        <n v="2945.0"/>
        <n v="462.0"/>
        <n v="8503.0"/>
        <n v="665.0"/>
        <n v="7579.0"/>
        <n v="1905.0"/>
        <n v="3337.0"/>
        <n v="3598.0"/>
        <n v="1443.0"/>
        <n v="7658.0"/>
        <n v="59.0"/>
        <n v="8497.0"/>
        <n v="9851.0"/>
        <n v="3031.0"/>
        <n v="3981.0"/>
        <n v="674.0"/>
        <n v="8115.0"/>
        <n v="3339.0"/>
        <n v="415.0"/>
        <n v="5441.0"/>
        <n v="1547.0"/>
        <n v="3893.0"/>
        <n v="4674.0"/>
        <n v="8111.0"/>
        <n v="5460.0"/>
        <n v="7.0"/>
        <n v="2069.0"/>
        <n v="3996.0"/>
        <n v="5166.0"/>
        <n v="6992.0"/>
        <n v="7915.0"/>
        <n v="5979.0"/>
        <n v="161.0"/>
        <n v="7523.0"/>
        <n v="6662.0"/>
        <n v="3210.0"/>
        <n v="4827.0"/>
        <n v="6205.0"/>
        <n v="4069.0"/>
        <n v="2172.0"/>
        <n v="6302.0"/>
        <n v="9275.0"/>
        <n v="5940.0"/>
        <n v="8177.0"/>
        <n v="9898.0"/>
        <n v="2044.0"/>
        <n v="7589.0"/>
        <n v="928.0"/>
        <n v="9826.0"/>
        <n v="4329.0"/>
        <n v="2569.0"/>
        <n v="4705.0"/>
        <n v="7932.0"/>
        <n v="1472.0"/>
        <n v="1579.0"/>
        <n v="6542.0"/>
        <n v="1675.0"/>
        <n v="8884.0"/>
        <n v="1749.0"/>
        <n v="6368.0"/>
        <n v="8215.0"/>
        <n v="9794.0"/>
        <n v="5641.0"/>
        <n v="7324.0"/>
        <n v="8441.0"/>
        <n v="9623.0"/>
        <n v="3529.0"/>
        <n v="9854.0"/>
        <n v="320.0"/>
        <n v="3682.0"/>
        <n v="727.0"/>
        <n v="9271.0"/>
        <n v="9164.0"/>
        <n v="7285.0"/>
        <n v="2546.0"/>
        <n v="888.0"/>
        <n v="286.0"/>
        <n v="5744.0"/>
        <n v="4299.0"/>
        <n v="17.0"/>
        <n v="8998.0"/>
        <n v="4372.0"/>
        <n v="1299.0"/>
        <n v="1971.0"/>
        <n v="614.0"/>
        <n v="8480.0"/>
        <n v="8857.0"/>
        <n v="2062.0"/>
        <n v="444.0"/>
        <n v="3382.0"/>
        <n v="2288.0"/>
        <n v="5603.0"/>
        <n v="3802.0"/>
        <n v="4390.0"/>
        <n v="6902.0"/>
        <n v="7906.0"/>
        <n v="6001.0"/>
        <n v="6816.0"/>
        <n v="8013.0"/>
        <n v="4284.0"/>
        <n v="2353.0"/>
        <n v="5974.0"/>
        <n v="49.0"/>
        <n v="8169.0"/>
        <n v="7174.0"/>
        <n v="975.0"/>
        <n v="514.0"/>
        <n v="8764.0"/>
        <n v="5731.0"/>
        <n v="3451.0"/>
        <n v="990.0"/>
        <n v="9449.0"/>
        <n v="6956.0"/>
        <n v="3673.0"/>
        <n v="6792.0"/>
        <n v="5537.0"/>
        <n v="6162.0"/>
        <n v="3231.0"/>
        <n v="2340.0"/>
        <n v="8662.0"/>
        <n v="8607.0"/>
        <n v="5619.0"/>
        <n v="5171.0"/>
        <n v="9767.0"/>
        <n v="3945.0"/>
        <n v="9342.0"/>
        <n v="4791.0"/>
        <n v="8278.0"/>
        <n v="9495.0"/>
        <n v="166.0"/>
        <n v="9046.0"/>
        <n v="6921.0"/>
        <n v="1608.0"/>
        <n v="2956.0"/>
        <n v="7845.0"/>
        <n v="5185.0"/>
        <n v="920.0"/>
        <n v="3023.0"/>
        <n v="6499.0"/>
        <n v="8384.0"/>
        <n v="5681.0"/>
        <n v="322.0"/>
        <n v="1829.0"/>
        <n v="2394.0"/>
        <n v="6241.0"/>
        <n v="833.0"/>
        <n v="5180.0"/>
        <n v="4723.0"/>
        <n v="708.0"/>
        <n v="6417.0"/>
        <n v="2321.0"/>
        <n v="5926.0"/>
        <n v="6768.0"/>
        <n v="8465.0"/>
        <n v="3548.0"/>
        <n v="4324.0"/>
        <n v="5488.0"/>
        <n v="3762.0"/>
        <n v="2900.0"/>
        <n v="8690.0"/>
        <n v="3948.0"/>
        <n v="3524.0"/>
        <n v="9296.0"/>
        <n v="5177.0"/>
        <n v="2108.0"/>
        <n v="3064.0"/>
        <n v="8048.0"/>
        <n v="9098.0"/>
        <n v="5280.0"/>
        <n v="7694.0"/>
        <n v="4469.0"/>
        <n v="5766.0"/>
        <n v="8777.0"/>
        <n v="2727.0"/>
        <n v="3870.0"/>
        <n v="492.0"/>
        <n v="7911.0"/>
        <n v="1565.0"/>
        <n v="5252.0"/>
        <n v="5373.0"/>
        <n v="4341.0"/>
        <n v="3368.0"/>
        <n v="3085.0"/>
        <n v="6152.0"/>
        <n v="2262.0"/>
        <n v="3138.0"/>
        <n v="7535.0"/>
        <n v="6240.0"/>
        <n v="7070.0"/>
        <n v="9873.0"/>
        <n v="1529.0"/>
        <n v="950.0"/>
        <n v="4077.0"/>
        <n v="8885.0"/>
        <n v="379.0"/>
        <n v="5593.0"/>
        <n v="8597.0"/>
        <n v="9397.0"/>
        <n v="5484.0"/>
        <n v="5942.0"/>
        <n v="4994.0"/>
        <n v="3896.0"/>
        <n v="5933.0"/>
        <n v="1423.0"/>
        <n v="2715.0"/>
        <n v="9188.0"/>
        <n v="2254.0"/>
        <n v="355.0"/>
        <n v="3964.0"/>
        <n v="587.0"/>
        <n v="9759.0"/>
        <n v="3404.0"/>
        <n v="3761.0"/>
        <n v="8296.0"/>
        <n v="2952.0"/>
        <n v="9572.0"/>
        <n v="972.0"/>
        <n v="2003.0"/>
        <n v="4543.0"/>
        <n v="2504.0"/>
        <n v="6828.0"/>
        <n v="488.0"/>
        <n v="3490.0"/>
        <n v="7870.0"/>
        <n v="2695.0"/>
        <n v="9064.0"/>
        <n v="5106.0"/>
        <n v="983.0"/>
        <n v="3887.0"/>
        <n v="3042.0"/>
        <n v="4703.0"/>
        <n v="7155.0"/>
        <n v="5717.0"/>
        <n v="7736.0"/>
        <n v="7593.0"/>
        <n v="1699.0"/>
        <n v="3496.0"/>
        <n v="9089.0"/>
        <n v="9927.0"/>
        <n v="2537.0"/>
        <n v="520.0"/>
        <n v="4504.0"/>
        <n v="7151.0"/>
        <n v="8153.0"/>
        <n v="9149.0"/>
        <n v="8684.0"/>
        <n v="5656.0"/>
        <n v="9914.0"/>
        <n v="8338.0"/>
        <n v="9839.0"/>
        <n v="359.0"/>
        <n v="7872.0"/>
        <n v="7383.0"/>
        <n v="5928.0"/>
        <n v="7574.0"/>
        <n v="8421.0"/>
        <n v="2264.0"/>
        <n v="2614.0"/>
        <n v="6872.0"/>
        <n v="6291.0"/>
        <n v="4159.0"/>
        <n v="791.0"/>
        <n v="8538.0"/>
        <n v="6779.0"/>
        <n v="6925.0"/>
        <n v="7418.0"/>
        <n v="8732.0"/>
        <n v="8373.0"/>
        <n v="5875.0"/>
        <n v="7807.0"/>
        <n v="2767.0"/>
        <n v="6385.0"/>
        <n v="6322.0"/>
        <n v="7271.0"/>
        <n v="5954.0"/>
        <n v="6128.0"/>
        <n v="3578.0"/>
        <n v="1122.0"/>
        <n v="3607.0"/>
        <n v="2915.0"/>
        <n v="4672.0"/>
        <n v="1038.0"/>
        <n v="2058.0"/>
        <n v="3235.0"/>
        <n v="3559.0"/>
        <n v="8869.0"/>
        <n v="9326.0"/>
        <n v="2123.0"/>
        <n v="6483.0"/>
        <n v="8661.0"/>
        <n v="6943.0"/>
        <n v="6647.0"/>
        <n v="6746.0"/>
        <n v="2122.0"/>
        <n v="4789.0"/>
        <n v="8438.0"/>
        <n v="7605.0"/>
        <n v="3858.0"/>
        <n v="796.0"/>
        <n v="1275.0"/>
        <n v="7170.0"/>
        <n v="8456.0"/>
        <n v="3888.0"/>
        <n v="4253.0"/>
        <n v="7368.0"/>
        <n v="3081.0"/>
        <n v="1854.0"/>
        <n v="9766.0"/>
        <n v="9985.0"/>
        <n v="7513.0"/>
        <n v="9388.0"/>
        <n v="9677.0"/>
        <n v="4478.0"/>
        <n v="6922.0"/>
        <n v="2169.0"/>
        <n v="2412.0"/>
        <n v="1875.0"/>
        <n v="1811.0"/>
        <n v="3284.0"/>
        <n v="7486.0"/>
        <n v="7495.0"/>
        <n v="4721.0"/>
        <n v="7606.0"/>
        <n v="6626.0"/>
        <n v="9284.0"/>
        <n v="5116.0"/>
        <n v="691.0"/>
        <n v="4606.0"/>
        <n v="2491.0"/>
        <n v="2008.0"/>
        <n v="7850.0"/>
        <n v="6738.0"/>
        <n v="2430.0"/>
        <n v="710.0"/>
        <n v="4396.0"/>
        <n v="8337.0"/>
        <n v="4412.0"/>
        <n v="6533.0"/>
        <n v="5642.0"/>
        <n v="4712.0"/>
        <n v="3750.0"/>
        <n v="6900.0"/>
        <n v="1179.0"/>
        <n v="5756.0"/>
        <n v="793.0"/>
        <n v="3483.0"/>
        <n v="3048.0"/>
        <n v="9856.0"/>
        <n v="703.0"/>
        <n v="5632.0"/>
        <n v="9024.0"/>
        <n v="7290.0"/>
        <n v="3872.0"/>
        <n v="4244.0"/>
        <n v="911.0"/>
        <n v="8304.0"/>
        <n v="4197.0"/>
        <n v="6716.0"/>
        <n v="8524.0"/>
        <n v="9311.0"/>
        <n v="802.0"/>
        <n v="1752.0"/>
        <n v="2948.0"/>
        <n v="2205.0"/>
        <n v="9373.0"/>
        <n v="1332.0"/>
        <n v="6993.0"/>
        <n v="2298.0"/>
        <n v="5222.0"/>
        <n v="768.0"/>
        <n v="5973.0"/>
        <n v="4904.0"/>
        <n v="3661.0"/>
        <n v="5199.0"/>
        <n v="5335.0"/>
        <n v="457.0"/>
        <n v="9984.0"/>
        <n v="1335.0"/>
        <n v="7644.0"/>
        <n v="3320.0"/>
        <n v="7482.0"/>
        <n v="6699.0"/>
        <n v="9569.0"/>
        <n v="1723.0"/>
        <n v="820.0"/>
        <n v="1554.0"/>
        <n v="647.0"/>
        <n v="1856.0"/>
        <n v="966.0"/>
        <n v="6191.0"/>
        <n v="9034.0"/>
        <n v="9736.0"/>
        <n v="1512.0"/>
        <n v="8567.0"/>
        <n v="2937.0"/>
        <n v="3690.0"/>
        <n v="1924.0"/>
        <n v="5769.0"/>
        <n v="5386.0"/>
        <n v="7968.0"/>
        <n v="2738.0"/>
        <n v="5951.0"/>
        <n v="5894.0"/>
        <n v="7883.0"/>
        <n v="9268.0"/>
        <n v="4427.0"/>
        <n v="9773.0"/>
        <n v="8748.0"/>
        <n v="6825.0"/>
        <n v="6510.0"/>
        <n v="723.0"/>
        <n v="7510.0"/>
        <n v="8897.0"/>
        <n v="4577.0"/>
        <n v="6274.0"/>
        <n v="2742.0"/>
        <n v="4767.0"/>
        <n v="167.0"/>
        <n v="8790.0"/>
        <n v="7517.0"/>
        <n v="5258.0"/>
        <n v="7955.0"/>
        <n v="3584.0"/>
        <n v="7147.0"/>
        <n v="5683.0"/>
        <n v="3257.0"/>
        <n v="5968.0"/>
        <n v="6947.0"/>
        <n v="1354.0"/>
        <n v="1382.0"/>
        <n v="1255.0"/>
        <n v="2227.0"/>
        <n v="7585.0"/>
        <n v="7645.0"/>
        <n v="4757.0"/>
        <n v="9687.0"/>
        <n v="7358.0"/>
        <n v="1788.0"/>
        <n v="481.0"/>
        <n v="2973.0"/>
        <n v="5833.0"/>
        <n v="4079.0"/>
        <n v="2756.0"/>
        <n v="8383.0"/>
        <n v="7681.0"/>
        <n v="4408.0"/>
        <n v="4348.0"/>
        <n v="319.0"/>
        <n v="6781.0"/>
        <n v="3062.0"/>
        <n v="1437.0"/>
        <n v="6509.0"/>
        <n v="4209.0"/>
        <n v="3605.0"/>
        <n v="5794.0"/>
        <n v="8906.0"/>
        <n v="5553.0"/>
        <n v="5057.0"/>
        <n v="6028.0"/>
        <n v="5382.0"/>
        <n v="6749.0"/>
        <n v="2531.0"/>
        <n v="5233.0"/>
        <n v="9391.0"/>
        <n v="6572.0"/>
        <n v="374.0"/>
        <n v="1429.0"/>
        <n v="2396.0"/>
        <n v="2969.0"/>
        <n v="4870.0"/>
        <n v="6856.0"/>
        <n v="9711.0"/>
        <n v="1253.0"/>
        <n v="6826.0"/>
        <n v="6737.0"/>
        <n v="5071.0"/>
        <n v="6652.0"/>
        <n v="8517.0"/>
        <n v="4734.0"/>
        <n v="1400.0"/>
        <n v="1647.0"/>
        <n v="634.0"/>
        <n v="555.0"/>
        <n v="5633.0"/>
        <n v="7122.0"/>
        <n v="8310.0"/>
        <n v="9513.0"/>
        <n v="3080.0"/>
        <n v="8392.0"/>
        <n v="6858.0"/>
        <n v="9056.0"/>
        <n v="767.0"/>
        <n v="1589.0"/>
        <n v="8872.0"/>
        <n v="9560.0"/>
        <n v="7818.0"/>
        <n v="8336.0"/>
        <n v="7840.0"/>
        <n v="855.0"/>
        <n v="1274.0"/>
        <n v="7652.0"/>
        <n v="7300.0"/>
        <n v="4486.0"/>
        <n v="7576.0"/>
        <n v="6644.0"/>
        <n v="2789.0"/>
        <n v="5169.0"/>
        <n v="3946.0"/>
        <n v="6313.0"/>
        <n v="1494.0"/>
        <n v="5742.0"/>
        <n v="7345.0"/>
        <n v="1619.0"/>
        <n v="5914.0"/>
        <n v="4609.0"/>
        <n v="4115.0"/>
        <n v="7875.0"/>
        <n v="1362.0"/>
        <n v="7081.0"/>
        <n v="393.0"/>
        <n v="3151.0"/>
        <n v="8473.0"/>
        <n v="9020.0"/>
        <n v="4485.0"/>
        <n v="6592.0"/>
        <n v="4095.0"/>
        <n v="7780.0"/>
        <n v="6999.0"/>
        <n v="9260.0"/>
        <n v="1162.0"/>
        <n v="8645.0"/>
        <n v="9683.0"/>
        <n v="9282.0"/>
        <n v="4477.0"/>
        <n v="9336.0"/>
        <n v="9958.0"/>
        <n v="9472.0"/>
        <n v="3039.0"/>
        <n v="2853.0"/>
        <n v="3136.0"/>
        <n v="5143.0"/>
        <n v="2161.0"/>
        <n v="4506.0"/>
        <n v="1607.0"/>
        <n v="9610.0"/>
        <n v="4178.0"/>
        <n v="3330.0"/>
        <n v="8166.0"/>
        <n v="6004.0"/>
        <n v="1124.0"/>
        <n v="8886.0"/>
        <n v="486.0"/>
        <n v="8743.0"/>
        <n v="8504.0"/>
        <n v="1649.0"/>
        <n v="2091.0"/>
        <n v="770.0"/>
        <n v="1769.0"/>
        <n v="6129.0"/>
        <n v="2809.0"/>
        <n v="2908.0"/>
        <n v="4556.0"/>
        <n v="7914.0"/>
        <n v="173.0"/>
        <n v="559.0"/>
        <n v="5325.0"/>
        <n v="8175.0"/>
        <n v="8924.0"/>
        <n v="9387.0"/>
        <n v="2126.0"/>
        <n v="3318.0"/>
        <n v="2055.0"/>
        <n v="2873.0"/>
        <n v="7339.0"/>
        <n v="9052.0"/>
        <n v="8641.0"/>
        <n v="8769.0"/>
        <n v="9127.0"/>
        <n v="1438.0"/>
        <n v="4459.0"/>
        <n v="8974.0"/>
        <n v="2802.0"/>
        <n v="5790.0"/>
        <n v="4820.0"/>
        <n v="8801.0"/>
        <n v="7420.0"/>
        <n v="5037.0"/>
        <n v="3562.0"/>
        <n v="7064.0"/>
        <n v="1640.0"/>
        <n v="422.0"/>
        <n v="8569.0"/>
        <n v="8275.0"/>
        <n v="3763.0"/>
        <n v="6288.0"/>
        <n v="9136.0"/>
        <n v="2624.0"/>
        <n v="9102.0"/>
        <n v="7948.0"/>
        <n v="574.0"/>
        <n v="5423.0"/>
        <n v="2968.0"/>
        <n v="713.0"/>
        <n v="8196.0"/>
        <n v="1984.0"/>
        <n v="7315.0"/>
        <n v="7619.0"/>
        <n v="7533.0"/>
        <n v="813.0"/>
        <n v="3243.0"/>
        <n v="7642.0"/>
        <n v="8858.0"/>
        <n v="8771.0"/>
        <n v="1293.0"/>
        <n v="7364.0"/>
        <n v="9961.0"/>
        <n v="9086.0"/>
        <n v="6776.0"/>
        <n v="2099.0"/>
        <n v="6153.0"/>
        <n v="7069.0"/>
        <n v="5006.0"/>
        <n v="7159.0"/>
        <n v="2749.0"/>
        <n v="1296.0"/>
        <n v="7855.0"/>
        <n v="956.0"/>
        <n v="9501.0"/>
        <n v="8399.0"/>
        <n v="153.0"/>
        <n v="9301.0"/>
        <n v="8078.0"/>
        <n v="1935.0"/>
        <n v="1643.0"/>
        <n v="6893.0"/>
        <n v="9410.0"/>
        <n v="3293.0"/>
        <n v="3264.0"/>
        <n v="7707.0"/>
        <n v="3504.0"/>
        <n v="9565.0"/>
        <n v="1834.0"/>
        <n v="8282.0"/>
        <n v="3916.0"/>
        <n v="5772.0"/>
        <n v="6448.0"/>
        <n v="4497.0"/>
        <n v="7224.0"/>
        <n v="6823.0"/>
        <n v="7516.0"/>
        <n v="9236.0"/>
        <n v="3867.0"/>
        <n v="6800.0"/>
        <n v="7413.0"/>
        <n v="7120.0"/>
        <n v="4361.0"/>
        <n v="9611.0"/>
        <n v="6187.0"/>
        <n v="3617.0"/>
        <n v="1263.0"/>
        <n v="4754.0"/>
        <n v="6948.0"/>
        <n v="7067.0"/>
        <n v="5864.0"/>
        <n v="9125.0"/>
        <n v="9666.0"/>
        <n v="9018.0"/>
        <n v="3620.0"/>
        <n v="7084.0"/>
        <n v="2385.0"/>
        <n v="9528.0"/>
        <n v="548.0"/>
        <n v="4514.0"/>
        <n v="2523.0"/>
        <n v="2706.0"/>
        <n v="5224.0"/>
        <n v="7269.0"/>
        <n v="8064.0"/>
        <n v="3865.0"/>
        <n v="2958.0"/>
        <n v="4321.0"/>
        <n v="8318.0"/>
        <n v="9065.0"/>
        <n v="6605.0"/>
        <n v="1377.0"/>
        <n v="8855.0"/>
        <n v="229.0"/>
        <n v="8354.0"/>
        <n v="7785.0"/>
        <n v="4562.0"/>
        <n v="737.0"/>
        <n v="6850.0"/>
        <n v="5313.0"/>
        <n v="3455.0"/>
        <n v="3116.0"/>
        <n v="2269.0"/>
        <n v="5921.0"/>
        <n v="1106.0"/>
        <n v="1893.0"/>
        <n v="4380.0"/>
        <n v="1697.0"/>
        <n v="9005.0"/>
        <n v="8496.0"/>
        <n v="4394.0"/>
        <n v="7954.0"/>
        <n v="2462.0"/>
        <n v="8235.0"/>
        <n v="7623.0"/>
        <n v="4.0"/>
        <n v="6791.0"/>
        <n v="6424.0"/>
        <n v="9379.0"/>
        <n v="3160.0"/>
        <n v="7303.0"/>
        <n v="8376.0"/>
        <n v="4977.0"/>
        <n v="2735.0"/>
        <n v="9313.0"/>
        <n v="9402.0"/>
        <n v="9726.0"/>
        <n v="4041.0"/>
        <n v="8131.0"/>
        <n v="4815.0"/>
        <n v="8942.0"/>
        <n v="2390.0"/>
        <n v="9072.0"/>
        <n v="9929.0"/>
        <n v="7935.0"/>
        <n v="3095.0"/>
        <n v="7446.0"/>
        <n v="54.0"/>
        <n v="2018.0"/>
        <n v="1469.0"/>
        <n v="8566.0"/>
        <n v="504.0"/>
        <n v="6505.0"/>
        <n v="2823.0"/>
        <n v="7746.0"/>
        <n v="6591.0"/>
        <n v="6706.0"/>
        <n v="2471.0"/>
        <n v="298.0"/>
        <n v="3628.0"/>
        <n v="7936.0"/>
        <n v="5725.0"/>
        <n v="1533.0"/>
        <n v="6927.0"/>
        <n v="5505.0"/>
        <n v="7898.0"/>
        <n v="6765.0"/>
        <n v="1801.0"/>
        <n v="4728.0"/>
        <n v="4301.0"/>
        <n v="1307.0"/>
        <n v="916.0"/>
        <n v="248.0"/>
        <n v="469.0"/>
        <n v="9382.0"/>
        <n v="1051.0"/>
        <n v="9566.0"/>
        <n v="8996.0"/>
        <n v="5438.0"/>
        <n v="2022.0"/>
        <n v="3910.0"/>
        <n v="8474.0"/>
        <n v="8812.0"/>
        <n v="5728.0"/>
        <n v="1571.0"/>
        <n v="5720.0"/>
        <n v="9586.0"/>
        <n v="1613.0"/>
        <n v="2273.0"/>
        <n v="9071.0"/>
        <n v="1544.0"/>
        <n v="6260.0"/>
        <n v="1815.0"/>
        <n v="3841.0"/>
        <n v="9999.0"/>
        <n v="4981.0"/>
        <n v="5510.0"/>
        <n v="5342.0"/>
        <n v="263.0"/>
        <n v="3090.0"/>
        <n v="8671.0"/>
        <n v="8887.0"/>
        <n v="7648.0"/>
        <n v="5898.0"/>
        <n v="6609.0"/>
        <n v="9787.0"/>
        <n v="7468.0"/>
        <n v="4638.0"/>
        <n v="3356.0"/>
        <n v="5034.0"/>
        <n v="6864.0"/>
        <n v="8070.0"/>
        <n v="4906.0"/>
        <n v="5659.0"/>
        <n v="5647.0"/>
        <n v="2217.0"/>
        <n v="9749.0"/>
        <n v="4656.0"/>
        <n v="2391.0"/>
        <n v="3199.0"/>
        <n v="7337.0"/>
        <n v="6373.0"/>
        <n v="3906.0"/>
        <n v="566.0"/>
        <n v="9014.0"/>
        <n v="2074.0"/>
        <n v="7165.0"/>
        <n v="5001.0"/>
        <n v="3399.0"/>
        <n v="2208.0"/>
        <n v="8307.0"/>
        <n v="609.0"/>
        <n v="5055.0"/>
        <n v="9305.0"/>
        <n v="9223.0"/>
        <n v="5472.0"/>
        <n v="1940.0"/>
        <n v="1216.0"/>
        <n v="7524.0"/>
        <n v="2119.0"/>
        <n v="8288.0"/>
        <n v="6346.0"/>
        <n v="8644.0"/>
        <n v="4560.0"/>
        <n v="5507.0"/>
        <n v="9926.0"/>
        <n v="8291.0"/>
        <n v="8107.0"/>
        <n v="7268.0"/>
        <n v="1779.0"/>
        <n v="8073.0"/>
        <n v="3811.0"/>
        <n v="3685.0"/>
        <n v="4419.0"/>
        <n v="9769.0"/>
        <n v="5520.0"/>
        <n v="4489.0"/>
        <n v="1525.0"/>
        <n v="8509.0"/>
        <n v="4993.0"/>
        <n v="9605.0"/>
        <n v="509.0"/>
        <n v="383.0"/>
        <n v="8369.0"/>
        <n v="4627.0"/>
        <n v="6349.0"/>
        <n v="2760.0"/>
        <n v="114.0"/>
        <n v="6697.0"/>
        <n v="7827.0"/>
        <n v="852.0"/>
        <n v="2139.0"/>
        <n v="255.0"/>
        <n v="9972.0"/>
        <n v="6265.0"/>
        <n v="8944.0"/>
        <n v="5433.0"/>
        <n v="4388.0"/>
        <n v="9209.0"/>
        <n v="3154.0"/>
        <n v="1820.0"/>
        <n v="6624.0"/>
        <n v="9492.0"/>
        <n v="3873.0"/>
        <n v="5712.0"/>
        <n v="2981.0"/>
        <n v="685.0"/>
        <n v="5861.0"/>
        <n v="2575.0"/>
        <n v="2047.0"/>
        <n v="3777.0"/>
        <n v="8890.0"/>
        <n v="89.0"/>
        <n v="8842.0"/>
        <n v="6526.0"/>
        <n v="4553.0"/>
        <n v="1364.0"/>
        <n v="7435.0"/>
        <n v="268.0"/>
        <n v="1402.0"/>
        <n v="5429.0"/>
        <n v="747.0"/>
        <n v="5514.0"/>
        <n v="6453.0"/>
        <n v="7321.0"/>
        <n v="3901.0"/>
        <n v="9013.0"/>
        <n v="7505.0"/>
        <n v="1256.0"/>
        <n v="4177.0"/>
        <n v="7212.0"/>
        <n v="3334.0"/>
        <n v="2547.0"/>
        <n v="6888.0"/>
        <n v="9253.0"/>
        <n v="6506.0"/>
        <n v="7344.0"/>
        <n v="8959.0"/>
        <n v="575.0"/>
        <n v="8447.0"/>
        <n v="860.0"/>
        <n v="3133.0"/>
        <n v="2613.0"/>
        <n v="3681.0"/>
        <n v="2747.0"/>
        <n v="3255.0"/>
        <n v="678.0"/>
        <n v="7521.0"/>
        <n v="8319.0"/>
        <n v="4640.0"/>
        <n v="5279.0"/>
        <n v="2887.0"/>
        <n v="2600.0"/>
        <n v="6142.0"/>
        <n v="2268.0"/>
        <n v="1764.0"/>
        <n v="2447.0"/>
        <n v="4166.0"/>
        <n v="3801.0"/>
        <n v="9494.0"/>
        <n v="9468.0"/>
        <n v="5190.0"/>
        <n v="3696.0"/>
        <n v="9053.0"/>
        <n v="1747.0"/>
        <n v="7375.0"/>
        <n v="6436.0"/>
        <n v="3155.0"/>
        <n v="8785.0"/>
        <n v="6613.0"/>
        <n v="6957.0"/>
        <n v="2165.0"/>
        <n v="1617.0"/>
        <n v="6723.0"/>
        <n v="9703.0"/>
        <n v="3018.0"/>
        <n v="1081.0"/>
        <n v="808.0"/>
        <n v="468.0"/>
        <n v="1612.0"/>
        <n v="7997.0"/>
        <n v="5408.0"/>
        <n v="7128.0"/>
        <n v="2129.0"/>
        <n v="2557.0"/>
        <n v="1383.0"/>
        <n v="8614.0"/>
        <n v="6285.0"/>
        <n v="3463.0"/>
        <n v="1248.0"/>
        <n v="7769.0"/>
        <n v="3187.0"/>
        <n v="1515.0"/>
        <n v="9905.0"/>
        <n v="8148.0"/>
        <n v="1563.0"/>
        <n v="7498.0"/>
        <n v="334.0"/>
        <n v="6481.0"/>
        <n v="9381.0"/>
        <n v="4509.0"/>
        <n v="4369.0"/>
        <n v="3497.0"/>
        <n v="3462.0"/>
        <n v="7860.0"/>
        <n v="7323.0"/>
        <n v="4511.0"/>
        <n v="9117.0"/>
        <n v="2864.0"/>
        <n v="4507.0"/>
        <n v="4833.0"/>
        <n v="1659.0"/>
        <n v="1235.0"/>
        <n v="9777.0"/>
        <n v="6401.0"/>
        <n v="9080.0"/>
        <n v="2819.0"/>
        <n v="4655.0"/>
        <n v="8655.0"/>
        <n v="917.0"/>
        <n v="4572.0"/>
        <n v="4780.0"/>
        <n v="3734.0"/>
        <n v="5657.0"/>
        <n v="1805.0"/>
        <n v="5464.0"/>
        <n v="6950.0"/>
        <n v="8613.0"/>
        <n v="9832.0"/>
        <n v="2019.0"/>
        <n v="3616.0"/>
        <n v="5096.0"/>
        <n v="3965.0"/>
        <n v="9044.0"/>
        <n v="420.0"/>
        <n v="9516.0"/>
        <n v="3995.0"/>
        <n v="8547.0"/>
        <n v="9896.0"/>
        <n v="1799.0"/>
        <n v="40.0"/>
        <n v="7437.0"/>
        <n v="8838.0"/>
        <n v="6124.0"/>
        <n v="3206.0"/>
        <n v="1026.0"/>
        <n v="2558.0"/>
        <n v="7806.0"/>
        <n v="8807.0"/>
        <n v="4628.0"/>
        <n v="2156.0"/>
        <n v="2154.0"/>
        <n v="3555.0"/>
        <n v="8561.0"/>
        <n v="3118.0"/>
        <n v="112.0"/>
        <n v="8632.0"/>
        <n v="1465.0"/>
        <n v="4342.0"/>
        <n v="8761.0"/>
        <n v="8758.0"/>
        <n v="2710.0"/>
        <n v="9871.0"/>
        <n v="1027.0"/>
        <n v="8625.0"/>
        <n v="1795.0"/>
        <n v="2417.0"/>
        <n v="6433.0"/>
        <n v="1817.0"/>
        <n v="3574.0"/>
        <n v="8740.0"/>
        <n v="7600.0"/>
        <n v="522.0"/>
        <n v="4157.0"/>
        <n v="1285.0"/>
        <n v="7951.0"/>
        <n v="7439.0"/>
        <n v="8186.0"/>
        <n v="1173.0"/>
        <n v="440.0"/>
        <n v="4429.0"/>
        <n v="3615.0"/>
        <n v="9625.0"/>
        <n v="2553.0"/>
        <n v="2884.0"/>
        <n v="6248.0"/>
        <n v="306.0"/>
        <n v="9751.0"/>
        <n v="1305.0"/>
        <n v="8725.0"/>
        <n v="7796.0"/>
        <n v="1336.0"/>
        <n v="4193.0"/>
        <n v="8246.0"/>
        <n v="2621.0"/>
        <n v="123.0"/>
        <n v="4454.0"/>
        <n v="8918.0"/>
        <n v="4613.0"/>
        <n v="9669.0"/>
        <n v="4247.0"/>
        <n v="2771.0"/>
        <n v="2195.0"/>
        <n v="7799.0"/>
        <n v="3015.0"/>
        <n v="3322.0"/>
        <n v="1008.0"/>
        <n v="1546.0"/>
        <n v="7441.0"/>
        <n v="3229.0"/>
        <n v="479.0"/>
        <n v="2787.0"/>
        <n v="785.0"/>
        <n v="7133.0"/>
        <n v="1524.0"/>
        <n v="5682.0"/>
        <n v="8360.0"/>
        <n v="347.0"/>
        <n v="9457.0"/>
        <n v="5542.0"/>
        <n v="5479.0"/>
        <n v="8181.0"/>
        <n v="9590.0"/>
        <n v="7679.0"/>
        <n v="7454.0"/>
        <n v="5950.0"/>
        <n v="7235.0"/>
        <n v="7407.0"/>
        <n v="9597.0"/>
        <n v="8965.0"/>
        <n v="7704.0"/>
        <n v="38.0"/>
        <n v="7221.0"/>
        <n v="2540.0"/>
        <n v="6311.0"/>
        <n v="884.0"/>
        <n v="5639.0"/>
        <n v="1986.0"/>
        <n v="8368.0"/>
        <n v="162.0"/>
        <n v="2616.0"/>
        <n v="9186.0"/>
        <n v="8472.0"/>
        <n v="6104.0"/>
        <n v="9742.0"/>
        <n v="4080.0"/>
        <n v="5839.0"/>
        <n v="8678.0"/>
        <n v="2672.0"/>
        <n v="3493.0"/>
        <n v="4735.0"/>
        <n v="7340.0"/>
        <n v="3227.0"/>
        <n v="6333.0"/>
        <n v="5983.0"/>
        <n v="9465.0"/>
        <n v="3086.0"/>
        <n v="3028.0"/>
        <n v="8762.0"/>
        <n v="9043.0"/>
        <n v="6430.0"/>
        <n v="4752.0"/>
        <n v="3664.0"/>
        <n v="7783.0"/>
        <n v="8675.0"/>
        <n v="9939.0"/>
        <n v="2204.0"/>
        <n v="8132.0"/>
        <n v="7416.0"/>
        <n v="1778.0"/>
        <n v="9975.0"/>
        <n v="2791.0"/>
        <n v="8044.0"/>
        <n v="5583.0"/>
        <n v="2289.0"/>
        <n v="7071.0"/>
        <n v="5872.0"/>
        <n v="6666.0"/>
        <n v="6212.0"/>
        <n v="340.0"/>
        <n v="1797.0"/>
        <n v="5745.0"/>
        <n v="4377.0"/>
        <n v="9616.0"/>
        <n v="765.0"/>
        <n v="5679.0"/>
        <n v="6707.0"/>
        <n v="6656.0"/>
        <n v="5431.0"/>
        <n v="26.0"/>
        <n v="8945.0"/>
        <n v="7186.0"/>
        <n v="9085.0"/>
        <n v="2304.0"/>
        <n v="3498.0"/>
        <n v="1953.0"/>
        <n v="4276.0"/>
        <n v="1865.0"/>
        <n v="5187.0"/>
        <n v="4832.0"/>
        <n v="4133.0"/>
        <n v="5124.0"/>
        <n v="6873.0"/>
        <n v="478.0"/>
        <n v="6986.0"/>
        <n v="8550.0"/>
        <n v="6535.0"/>
        <n v="2664.0"/>
        <n v="5134.0"/>
        <n v="1082.0"/>
        <n v="3013.0"/>
        <n v="5462.0"/>
        <n v="9996.0"/>
        <n v="215.0"/>
        <n v="6748.0"/>
        <n v="2256.0"/>
        <n v="6432.0"/>
        <n v="1000.0"/>
        <n v="4714.0"/>
        <n v="9756.0"/>
        <n v="8750.0"/>
        <n v="2223.0"/>
        <n v="8778.0"/>
        <n v="4588.0"/>
        <n v="9744.0"/>
        <n v="8315.0"/>
        <n v="6397.0"/>
        <n v="5650.0"/>
        <n v="4175.0"/>
        <n v="6918.0"/>
        <n v="5137.0"/>
        <n v="2115.0"/>
        <n v="8172.0"/>
        <n v="5655.0"/>
        <n v="4452.0"/>
        <n v="7920.0"/>
        <n v="8859.0"/>
        <n v="7973.0"/>
        <n v="1828.0"/>
        <n v="7990.0"/>
        <n v="8255.0"/>
        <n v="9816.0"/>
        <n v="1784.0"/>
        <n v="9006.0"/>
        <n v="3362.0"/>
        <n v="6154.0"/>
        <n v="8506.0"/>
        <n v="5825.0"/>
        <n v="146.0"/>
        <n v="538.0"/>
        <n v="8098.0"/>
        <n v="245.0"/>
        <n v="3092.0"/>
        <n v="1462.0"/>
        <n v="590.0"/>
        <n v="6885.0"/>
        <n v="5486.0"/>
        <n v="4442.0"/>
        <n v="4417.0"/>
        <n v="9505.0"/>
        <n v="8574.0"/>
        <n v="3346.0"/>
        <n v="2578.0"/>
        <n v="7054.0"/>
        <n v="4593.0"/>
        <n v="5282.0"/>
        <n v="4225.0"/>
        <n v="7811.0"/>
        <n v="4016.0"/>
        <n v="7843.0"/>
        <n v="6329.0"/>
        <n v="3542.0"/>
        <n v="5579.0"/>
        <n v="5572.0"/>
        <n v="8680.0"/>
        <n v="7097.0"/>
        <n v="5046.0"/>
        <n v="3790.0"/>
        <n v="7728.0"/>
        <n v="8932.0"/>
        <n v="8938.0"/>
        <n v="2895.0"/>
        <n v="339.0"/>
        <n v="7837.0"/>
        <n v="3988.0"/>
        <n v="4423.0"/>
        <n v="6801.0"/>
        <n v="5816.0"/>
        <n v="8191.0"/>
        <n v="7682.0"/>
        <n v="73.0"/>
        <n v="8183.0"/>
        <n v="7984.0"/>
        <n v="249.0"/>
        <n v="5306.0"/>
        <n v="642.0"/>
        <n v="8293.0"/>
        <n v="7327.0"/>
        <n v="8843.0"/>
        <n v="969.0"/>
        <n v="4731.0"/>
        <n v="2782.0"/>
        <n v="4277.0"/>
        <n v="7500.0"/>
        <n v="7771.0"/>
        <n v="2437.0"/>
        <n v="5878.0"/>
        <n v="4505.0"/>
        <n v="1761.0"/>
        <n v="3119.0"/>
        <n v="1085.0"/>
        <n v="194.0"/>
        <n v="2013.0"/>
        <n v="142.0"/>
        <n v="5210.0"/>
        <n v="9879.0"/>
        <n v="3840.0"/>
        <n v="8818.0"/>
        <n v="3567.0"/>
        <n v="8873.0"/>
        <n v="2554.0"/>
        <n v="1467.0"/>
        <n v="2489.0"/>
        <n v="3468.0"/>
        <n v="2378.0"/>
        <n v="4223.0"/>
        <n v="6039.0"/>
        <n v="1894.0"/>
        <n v="7887.0"/>
        <n v="4836.0"/>
        <n v="3145.0"/>
        <n v="6299.0"/>
        <n v="5552.0"/>
        <n v="4191.0"/>
        <n v="2533.0"/>
        <n v="2926.0"/>
        <n v="4751.0"/>
        <n v="9418.0"/>
        <n v="5371.0"/>
        <n v="3082.0"/>
        <n v="56.0"/>
        <n v="5830.0"/>
        <n v="6971.0"/>
        <n v="2077.0"/>
        <n v="8738.0"/>
        <n v="2645.0"/>
        <n v="5225.0"/>
        <n v="233.0"/>
        <n v="7839.0"/>
        <n v="5293.0"/>
        <n v="7469.0"/>
        <n v="5231.0"/>
        <n v="8584.0"/>
        <n v="2713.0"/>
        <n v="4106.0"/>
        <n v="1585.0"/>
        <n v="2341.0"/>
        <n v="5597.0"/>
        <n v="7609.0"/>
        <n v="6663.0"/>
        <n v="8076.0"/>
        <n v="9197.0"/>
        <n v="4406.0"/>
        <n v="113.0"/>
        <n v="8825.0"/>
        <n v="9808.0"/>
        <n v="7247.0"/>
        <n v="2709.0"/>
        <n v="9793.0"/>
        <n v="9129.0"/>
        <n v="2232.0"/>
        <n v="7414.0"/>
        <n v="3817.0"/>
        <n v="3641.0"/>
        <n v="7001.0"/>
        <n v="776.0"/>
        <n v="3878.0"/>
        <n v="2250.0"/>
        <n v="3727.0"/>
        <n v="8874.0"/>
        <n v="3372.0"/>
        <n v="3319.0"/>
        <n v="4116.0"/>
        <n v="2318.0"/>
        <n v="677.0"/>
        <n v="448.0"/>
        <n v="4917.0"/>
        <n v="4401.0"/>
        <n v="1249.0"/>
        <n v="4842.0"/>
        <n v="6589.0"/>
        <n v="4934.0"/>
        <n v="350.0"/>
        <n v="342.0"/>
        <n v="4446.0"/>
        <n v="9229.0"/>
        <n v="3291.0"/>
        <n v="2260.0"/>
        <n v="3799.0"/>
        <n v="2599.0"/>
        <n v="5384.0"/>
        <n v="356.0"/>
        <n v="1943.0"/>
        <n v="6603.0"/>
        <n v="8245.0"/>
        <n v="7813.0"/>
        <n v="8280.0"/>
        <n v="9652.0"/>
        <n v="3963.0"/>
        <n v="282.0"/>
        <n v="369.0"/>
        <n v="2428.0"/>
        <n v="3076.0"/>
        <n v="1537.0"/>
        <n v="4067.0"/>
        <n v="8951.0"/>
        <n v="1507.0"/>
        <n v="9083.0"/>
        <n v="6059.0"/>
        <n v="7656.0"/>
        <n v="1657.0"/>
        <n v="7426.0"/>
        <n v="6530.0"/>
        <n v="6173.0"/>
        <n v="3748.0"/>
        <n v="4920.0"/>
        <n v="1886.0"/>
        <n v="7853.0"/>
        <n v="2667.0"/>
        <n v="8393.0"/>
        <n v="8477.0"/>
        <n v="6357.0"/>
        <n v="4834.0"/>
        <n v="7974.0"/>
        <n v="1877.0"/>
        <n v="9672.0"/>
        <n v="6521.0"/>
        <n v="8179.0"/>
        <n v="8468.0"/>
        <n v="8767.0"/>
        <n v="9394.0"/>
        <n v="2697.0"/>
        <n v="8057.0"/>
        <n v="7622.0"/>
        <n v="743.0"/>
        <n v="3753.0"/>
        <n v="7629.0"/>
        <n v="867.0"/>
        <n v="1985.0"/>
        <n v="5678.0"/>
        <n v="8668.0"/>
        <n v="4711.0"/>
        <n v="9593.0"/>
        <n v="9173.0"/>
        <n v="600.0"/>
        <n v="4322.0"/>
        <n v="1283.0"/>
        <n v="4455.0"/>
        <n v="3844.0"/>
        <n v="1485.0"/>
        <n v="6447.0"/>
        <n v="9827.0"/>
        <n v="6395.0"/>
        <n v="6936.0"/>
        <n v="603.0"/>
        <n v="3650.0"/>
        <n v="4364.0"/>
        <n v="8062.0"/>
        <n v="2093.0"/>
        <n v="837.0"/>
        <n v="705.0"/>
        <n v="5138.0"/>
        <n v="9612.0"/>
        <n v="6630.0"/>
        <n v="729.0"/>
        <n v="8471.0"/>
        <n v="6342.0"/>
        <n v="9750.0"/>
        <n v="8389.0"/>
        <n v="3982.0"/>
        <n v="5284.0"/>
        <n v="5189.0"/>
        <n v="1459.0"/>
        <n v="8770.0"/>
        <n v="6032.0"/>
        <n v="9189.0"/>
        <n v="6214.0"/>
        <n v="3918.0"/>
        <n v="5701.0"/>
        <n v="622.0"/>
        <n v="2051.0"/>
        <n v="7512.0"/>
        <n v="4398.0"/>
        <n v="3436.0"/>
        <n v="4262.0"/>
        <n v="289.0"/>
        <n v="1053.0"/>
        <n v="5093.0"/>
        <n v="2598.0"/>
        <n v="3297.0"/>
        <n v="1882.0"/>
        <n v="5077.0"/>
        <n v="6638.0"/>
        <n v="2350.0"/>
        <n v="5030.0"/>
        <n v="9527.0"/>
        <n v="7721.0"/>
        <n v="7877.0"/>
        <n v="3755.0"/>
        <n v="1161.0"/>
        <n v="2133.0"/>
        <n v="5737.0"/>
        <n v="3072.0"/>
        <n v="3488.0"/>
        <n v="3921.0"/>
        <n v="2793.0"/>
        <n v="6358.0"/>
        <n v="2902.0"/>
        <n v="7743.0"/>
        <n v="8229.0"/>
        <n v="5688.0"/>
        <n v="2514.0"/>
        <n v="4693.0"/>
        <n v="4729.0"/>
        <n v="7158.0"/>
        <n v="7497.0"/>
        <n v="9635.0"/>
        <n v="6156.0"/>
        <n v="1954.0"/>
        <n v="8773.0"/>
        <n v="7400.0"/>
        <n v="5651.0"/>
        <n v="3376.0"/>
        <n v="6797.0"/>
        <n v="7346.0"/>
        <n v="7076.0"/>
        <n v="991.0"/>
        <n v="6554.0"/>
        <n v="8367.0"/>
        <n v="4697.0"/>
        <n v="706.0"/>
        <n v="8586.0"/>
        <n v="2560.0"/>
        <n v="3884.0"/>
        <n v="5843.0"/>
        <n v="8755.0"/>
        <n v="4969.0"/>
        <n v="3864.0"/>
        <n v="6851.0"/>
        <n v="2374.0"/>
        <n v="9950.0"/>
        <n v="4755.0"/>
        <n v="7733.0"/>
        <n v="1211.0"/>
        <n v="4611.0"/>
        <n v="1689.0"/>
        <n v="8231.0"/>
        <n v="3006.0"/>
        <n v="5851.0"/>
        <n v="7597.0"/>
        <n v="6179.0"/>
        <n v="1603.0"/>
        <n v="5905.0"/>
        <n v="8152.0"/>
        <n v="9442.0"/>
        <n v="3705.0"/>
        <n v="4031.0"/>
        <n v="8108.0"/>
        <n v="2191.0"/>
        <n v="4565.0"/>
        <n v="7489.0"/>
        <n v="9768.0"/>
        <n v="3796.0"/>
        <n v="2899.0"/>
        <n v="5952.0"/>
        <n v="6711.0"/>
        <n v="6744.0"/>
        <n v="9648.0"/>
        <n v="7047.0"/>
        <n v="3050.0"/>
        <n v="5387.0"/>
        <n v="4844.0"/>
        <n v="9238.0"/>
        <n v="8418.0"/>
        <n v="9264.0"/>
        <n v="686.0"/>
        <n v="8628.0"/>
        <n v="1063.0"/>
        <n v="2996.0"/>
        <n v="1463.0"/>
        <n v="1897.0"/>
        <n v="2486.0"/>
        <n v="258.0"/>
        <n v="9438.0"/>
        <n v="1279.0"/>
        <n v="9068.0"/>
        <n v="3123.0"/>
        <n v="5792.0"/>
        <n v="6454.0"/>
        <n v="6522.0"/>
        <n v="4437.0"/>
        <n v="2736.0"/>
        <n v="160.0"/>
        <n v="9514.0"/>
        <n v="9395.0"/>
        <n v="5435.0"/>
        <n v="5294.0"/>
        <n v="3665.0"/>
        <n v="7270.0"/>
        <n v="9866.0"/>
        <n v="2203.0"/>
        <n v="1340.0"/>
        <n v="1303.0"/>
        <n v="441.0"/>
        <n v="1729.0"/>
        <n v="5170.0"/>
        <n v="3692.0"/>
        <n v="8937.0"/>
        <n v="6669.0"/>
        <n v="7048.0"/>
        <n v="7267.0"/>
        <n v="6548.0"/>
        <n v="1148.0"/>
        <n v="6479.0"/>
        <n v="9875.0"/>
        <n v="5029.0"/>
        <n v="6641.0"/>
        <n v="4229.0"/>
        <n v="300.0"/>
        <n v="9390.0"/>
        <n v="3065.0"/>
        <n v="4924.0"/>
        <n v="5598.0"/>
        <n v="7747.0"/>
        <n v="1064.0"/>
        <n v="7272.0"/>
        <n v="5126.0"/>
        <n v="5413.0"/>
        <n v="6585.0"/>
        <n v="4198.0"/>
        <n v="3035.0"/>
        <n v="8126.0"/>
        <n v="9923.0"/>
        <n v="7633.0"/>
        <n v="7357.0"/>
        <n v="2222.0"/>
        <n v="7391.0"/>
        <n v="5056.0"/>
        <n v="9440.0"/>
        <n v="5419.0"/>
        <n v="616.0"/>
        <n v="9740.0"/>
        <n v="2170.0"/>
        <n v="9318.0"/>
        <n v="8647.0"/>
        <n v="7397.0"/>
        <n v="6234.0"/>
        <n v="5981.0"/>
        <n v="9244.0"/>
        <n v="3054.0"/>
        <n v="1168.0"/>
        <n v="9370.0"/>
        <n v="477.0"/>
        <n v="9340.0"/>
        <n v="9880.0"/>
        <n v="6411.0"/>
        <n v="403.0"/>
        <n v="1863.0"/>
        <n v="2824.0"/>
        <n v="2356.0"/>
        <n v="1557.0"/>
        <n v="8556.0"/>
        <n v="3516.0"/>
        <n v="3627.0"/>
        <n v="8114.0"/>
        <n v="7266.0"/>
        <n v="5534.0"/>
        <n v="1200.0"/>
        <n v="3391.0"/>
        <n v="8685.0"/>
        <n v="7774.0"/>
        <n v="5193.0"/>
        <n v="2511.0"/>
        <n v="3325.0"/>
        <n v="8267.0"/>
        <n v="8205.0"/>
        <n v="4618.0"/>
        <n v="9107.0"/>
        <n v="5786.0"/>
        <n v="2257.0"/>
        <n v="567.0"/>
        <n v="8413.0"/>
        <n v="6381.0"/>
        <n v="7861.0"/>
        <n v="1539.0"/>
        <n v="5672.0"/>
        <n v="5421.0"/>
        <n v="2979.0"/>
        <n v="2568.0"/>
        <n v="5445.0"/>
        <n v="4894.0"/>
        <n v="1234.0"/>
        <n v="6813.0"/>
        <n v="5238.0"/>
        <n v="9585.0"/>
        <n v="1767.0"/>
        <n v="8406.0"/>
        <n v="6198.0"/>
        <n v="9792.0"/>
        <n v="1963.0"/>
        <n v="5594.0"/>
        <n v="2194.0"/>
        <n v="7459.0"/>
        <n v="1582.0"/>
        <n v="1680.0"/>
        <n v="5972.0"/>
        <n v="4146.0"/>
        <n v="7302.0"/>
        <n v="3569.0"/>
        <n v="3108.0"/>
        <n v="3112.0"/>
        <n v="2804.0"/>
        <n v="8439.0"/>
        <n v="7715.0"/>
        <n v="4021.0"/>
        <n v="3267.0"/>
        <n v="8372.0"/>
        <n v="4122.0"/>
        <n v="5082.0"/>
        <n v="4852.0"/>
        <n v="4060.0"/>
        <n v="5370.0"/>
        <n v="5090.0"/>
        <n v="3979.0"/>
        <n v="2293.0"/>
        <n v="3442.0"/>
        <n v="1105.0"/>
        <n v="1224.0"/>
        <n v="1775.0"/>
        <n v="7760.0"/>
        <n v="6217.0"/>
        <n v="1213.0"/>
        <n v="2247.0"/>
        <n v="6576.0"/>
        <n v="4026.0"/>
        <n v="8821.0"/>
        <n v="2215.0"/>
        <n v="7494.0"/>
        <n v="2976.0"/>
        <n v="9377.0"/>
        <n v="8729.0"/>
        <n v="9843.0"/>
        <n v="2258.0"/>
        <n v="2539.0"/>
        <n v="9287.0"/>
        <n v="8129.0"/>
        <n v="6728.0"/>
        <n v="3997.0"/>
        <n v="3146.0"/>
        <n v="3008.0"/>
        <n v="8174.0"/>
        <n v="206.0"/>
        <n v="6409.0"/>
        <n v="7725.0"/>
        <n v="2244.0"/>
        <n v="6172.0"/>
        <n v="1706.0"/>
        <n v="5826.0"/>
        <n v="5722.0"/>
        <n v="619.0"/>
        <n v="6772.0"/>
        <n v="2467.0"/>
        <n v="3020.0"/>
        <n v="5782.0"/>
        <n v="5131.0"/>
        <n v="7479.0"/>
        <n v="6268.0"/>
        <n v="6972.0"/>
        <n v="2096.0"/>
        <n v="6175.0"/>
        <n v="778.0"/>
        <n v="9503.0"/>
        <n v="3868.0"/>
        <n v="8686.0"/>
        <n v="3093.0"/>
        <n v="5871.0"/>
        <n v="4835.0"/>
        <n v="9835.0"/>
        <n v="7751.0"/>
        <n v="5007.0"/>
        <n v="8262.0"/>
        <n v="2265.0"/>
        <n v="4052.0"/>
        <n v="7690.0"/>
        <n v="9279.0"/>
        <n v="1947.0"/>
        <n v="8199.0"/>
        <n v="2110.0"/>
        <n v="3220.0"/>
        <n v="1845.0"/>
        <n v="8067.0"/>
        <n v="6455.0"/>
        <n v="3940.0"/>
        <n v="997.0"/>
        <n v="5129.0"/>
        <n v="5874.0"/>
        <n v="9798.0"/>
        <n v="5500.0"/>
        <n v="8610.0"/>
        <n v="6790.0"/>
        <n v="4730.0"/>
        <n v="9156.0"/>
        <n v="3822.0"/>
        <n v="4050.0"/>
        <n v="7278.0"/>
        <n v="6078.0"/>
        <n v="3069.0"/>
        <n v="689.0"/>
        <n v="1641.0"/>
        <n v="8167.0"/>
        <n v="1457.0"/>
        <n v="1559.0"/>
        <n v="8230.0"/>
        <n v="9754.0"/>
        <n v="1451.0"/>
        <n v="667.0"/>
        <n v="1212.0"/>
        <n v="803.0"/>
        <n v="9599.0"/>
        <n v="7279.0"/>
        <n v="5023.0"/>
        <n v="5492.0"/>
        <n v="8379.0"/>
        <n v="5333.0"/>
        <n v="8940.0"/>
        <n v="4047.0"/>
        <n v="502.0"/>
        <n v="5186.0"/>
        <n v="7009.0"/>
        <n v="1914.0"/>
        <n v="7874.0"/>
        <n v="9895.0"/>
        <n v="5012.0"/>
        <n v="7293.0"/>
        <n v="2836.0"/>
        <n v="4772.0"/>
        <n v="8261.0"/>
        <n v="5497.0"/>
        <n v="701.0"/>
        <n v="2070.0"/>
        <n v="1838.0"/>
        <n v="6782.0"/>
        <n v="6282.0"/>
        <n v="1751.0"/>
        <n v="1629.0"/>
        <n v="6390.0"/>
        <n v="3540.0"/>
        <n v="2615.0"/>
        <n v="182.0"/>
        <n v="4839.0"/>
        <n v="9976.0"/>
        <n v="7440.0"/>
        <n v="7624.0"/>
        <n v="9146.0"/>
        <n v="4824.0"/>
        <n v="9507.0"/>
        <n v="5075.0"/>
        <n v="6352.0"/>
        <n v="9881.0"/>
        <n v="4164.0"/>
        <n v="8266.0"/>
        <n v="3287.0"/>
        <n v="7356.0"/>
        <n v="636.0"/>
        <n v="317.0"/>
        <n v="5625.0"/>
        <n v="2813.0"/>
        <n v="1562.0"/>
        <n v="1645.0"/>
        <n v="7759.0"/>
        <n v="9657.0"/>
        <n v="1545.0"/>
        <n v="8180.0"/>
        <n v="192.0"/>
        <n v="241.0"/>
        <n v="8021.0"/>
        <n v="5254.0"/>
        <n v="697.0"/>
        <n v="6383.0"/>
        <n v="4294.0"/>
        <n v="611.0"/>
        <n v="649.0"/>
        <n v="9097.0"/>
        <n v="20.0"/>
        <n v="9519.0"/>
        <n v="722.0"/>
        <n v="5919.0"/>
        <n v="1276.0"/>
        <n v="4046.0"/>
        <n v="4956.0"/>
        <n v="6355.0"/>
        <n v="171.0"/>
        <n v="2442.0"/>
        <n v="4909.0"/>
        <n v="5076.0"/>
        <n v="2481.0"/>
        <n v="8948.0"/>
        <n v="6287.0"/>
        <n v="4013.0"/>
        <n v="8849.0"/>
        <n v="4551.0"/>
        <n v="6903.0"/>
        <n v="8724.0"/>
        <n v="9640.0"/>
        <n v="3134.0"/>
        <n v="651.0"/>
        <n v="2199.0"/>
        <n v="9811.0"/>
        <n v="2556.0"/>
        <n v="1532.0"/>
        <n v="4869.0"/>
        <n v="2728.0"/>
        <n v="2303.0"/>
        <n v="7687.0"/>
        <n v="9813.0"/>
        <n v="4465.0"/>
        <n v="8054.0"/>
        <n v="4020.0"/>
        <n v="2016.0"/>
        <n v="1086.0"/>
        <n v="6616.0"/>
        <n v="8485.0"/>
        <n v="787.0"/>
        <n v="8226.0"/>
        <n v="9429.0"/>
        <n v="5103.0"/>
        <n v="6473.0"/>
        <n v="6306.0"/>
        <n v="9797.0"/>
        <n v="9467.0"/>
        <n v="546.0"/>
        <n v="1199.0"/>
        <n v="1717.0"/>
        <n v="6380.0"/>
        <n v="6552.0"/>
        <n v="9737.0"/>
        <n v="324.0"/>
        <n v="2891.0"/>
        <n v="8804.0"/>
        <n v="5724.0"/>
        <n v="8342.0"/>
        <n v="3383.0"/>
        <n v="7784.0"/>
        <n v="5748.0"/>
        <n v="3341.0"/>
        <n v="6967.0"/>
        <n v="7641.0"/>
        <n v="9971.0"/>
        <n v="7946.0"/>
        <n v="3130.0"/>
        <n v="1353.0"/>
        <n v="368.0"/>
        <n v="493.0"/>
        <n v="9521.0"/>
        <n v="1046.0"/>
        <n v="8240.0"/>
        <n v="4813.0"/>
        <n v="9357.0"/>
        <n v="9904.0"/>
        <n v="9114.0"/>
        <n v="6679.0"/>
        <n v="800.0"/>
        <n v="6897.0"/>
        <n v="432.0"/>
        <n v="1252.0"/>
        <n v="6239.0"/>
        <n v="4302.0"/>
        <n v="1385.0"/>
        <n v="4850.0"/>
        <n v="2259.0"/>
        <n v="1997.0"/>
        <n v="9227.0"/>
        <n v="6960.0"/>
        <n v="2942.0"/>
        <n v="7371.0"/>
        <n v="4876.0"/>
        <n v="9679.0"/>
        <n v="6388.0"/>
        <n v="3444.0"/>
        <n v="1320.0"/>
        <n v="1588.0"/>
        <n v="82.0"/>
        <n v="1605.0"/>
        <n v="1785.0"/>
        <n v="8285.0"/>
        <n v="5796.0"/>
        <n v="1042.0"/>
        <n v="1791.0"/>
        <n v="5897.0"/>
        <n v="4945.0"/>
        <n v="815.0"/>
        <n v="7419.0"/>
        <n v="5698.0"/>
        <n v="6208.0"/>
        <n v="480.0"/>
        <n v="510.0"/>
        <n v="9269.0"/>
        <n v="6289.0"/>
        <n v="5648.0"/>
        <n v="6570.0"/>
        <n v="5311.0"/>
        <n v="156.0"/>
        <n v="6423.0"/>
        <n v="1460.0"/>
        <n v="9647.0"/>
        <n v="7395.0"/>
        <n v="8147.0"/>
        <n v="7376.0"/>
        <n v="7588.0"/>
        <n v="6134.0"/>
        <n v="9634.0"/>
        <n v="4448.0"/>
        <n v="5695.0"/>
        <n v="3544.0"/>
        <n v="5539.0"/>
        <n v="2466.0"/>
        <n v="2144.0"/>
        <n v="6317.0"/>
        <n v="792.0"/>
        <n v="7572.0"/>
        <n v="1663.0"/>
        <n v="6952.0"/>
        <n v="8316.0"/>
        <n v="7322.0"/>
        <n v="9132.0"/>
        <n v="5937.0"/>
        <n v="1962.0"/>
        <n v="8462.0"/>
        <n v="8722.0"/>
        <n v="3060.0"/>
        <n v="3824.0"/>
        <n v="395.0"/>
        <n v="4183.0"/>
        <n v="3632.0"/>
        <n v="9214.0"/>
        <n v="8434.0"/>
        <n v="829.0"/>
        <n v="2966.0"/>
        <n v="7892.0"/>
        <n v="3971.0"/>
        <n v="6375.0"/>
        <n v="1826.0"/>
        <n v="8923.0"/>
        <n v="9171.0"/>
        <n v="9674.0"/>
        <n v="2312.0"/>
        <n v="996.0"/>
        <n v="6667.0"/>
        <n v="2300.0"/>
        <n v="7900.0"/>
        <n v="5503.0"/>
        <n v="5017.0"/>
        <n v="6157.0"/>
        <n v="7756.0"/>
        <n v="7008.0"/>
        <n v="1970.0"/>
        <n v="1925.0"/>
        <n v="6753.0"/>
        <n v="6832.0"/>
        <n v="61.0"/>
        <n v="580.0"/>
        <n v="2117.0"/>
        <n v="7836.0"/>
        <n v="5890.0"/>
        <n v="3403.0"/>
        <n v="1160.0"/>
        <n v="6980.0"/>
        <n v="711.0"/>
        <n v="9233.0"/>
        <n v="1456.0"/>
        <n v="3324.0"/>
        <n v="2810.0"/>
        <n v="4918.0"/>
        <n v="6686.0"/>
        <n v="2180.0"/>
        <n v="2162.0"/>
        <n v="8860.0"/>
        <n v="90.0"/>
        <n v="7107.0"/>
        <n v="3197.0"/>
        <n v="4236.0"/>
        <n v="5104.0"/>
        <n v="6945.0"/>
        <n v="232.0"/>
        <n v="2470.0"/>
        <n v="3195.0"/>
        <n v="8975.0"/>
        <n v="8407.0"/>
        <n v="2783.0"/>
        <n v="79.0"/>
        <n v="5735.0"/>
        <n v="3507.0"/>
        <n v="9179.0"/>
        <n v="5570.0"/>
        <n v="6934.0"/>
        <n v="7698.0"/>
        <n v="762.0"/>
        <n v="9100.0"/>
        <n v="2717.0"/>
        <n v="965.0"/>
        <n v="5762.0"/>
        <n v="6169.0"/>
        <n v="2349.0"/>
        <n v="1493.0"/>
        <n v="2826.0"/>
        <n v="2602.0"/>
        <n v="7659.0"/>
        <n v="5606.0"/>
        <n v="7328.0"/>
        <n v="4774.0"/>
        <n v="9413.0"/>
        <n v="5660.0"/>
        <n v="8050.0"/>
        <n v="8151.0"/>
        <n v="9561.0"/>
        <n v="2910.0"/>
        <n v="3103.0"/>
        <n v="4392.0"/>
        <n v="2980.0"/>
        <n v="4942.0"/>
        <n v="128.0"/>
        <n v="9720.0"/>
        <n v="8981.0"/>
        <n v="1172.0"/>
        <n v="1298.0"/>
        <n v="532.0"/>
        <n v="9806.0"/>
        <n v="7347.0"/>
        <n v="4908.0"/>
        <n v="1343.0"/>
        <n v="8878.0"/>
        <n v="798.0"/>
        <n v="7421.0"/>
        <n v="1095.0"/>
        <n v="9150.0"/>
        <n v="4375.0"/>
        <n v="9631.0"/>
        <n v="6496.0"/>
        <n v="9479.0"/>
        <n v="4719.0"/>
        <n v="6908.0"/>
        <n v="2769.0"/>
        <n v="6058.0"/>
        <n v="2561.0"/>
        <n v="5095.0"/>
        <n v="8508.0"/>
        <n v="4681.0"/>
        <n v="7525.0"/>
        <n v="7981.0"/>
        <n v="4922.0"/>
        <n v="880.0"/>
        <n v="9307.0"/>
        <n v="66.0"/>
        <n v="9103.0"/>
        <n v="5935.0"/>
        <n v="8270.0"/>
        <n v="7964.0"/>
        <n v="2366.0"/>
        <n v="5856.0"/>
        <n v="4845.0"/>
        <n v="2774.0"/>
        <n v="5119.0"/>
        <n v="4383.0"/>
        <n v="8847.0"/>
        <n v="9212.0"/>
        <n v="6829.0"/>
        <n v="4359.0"/>
        <n v="7924.0"/>
        <n v="6029.0"/>
        <n v="2670.0"/>
        <n v="4726.0"/>
        <n v="1110.0"/>
        <n v="7763.0"/>
        <n v="2659.0"/>
        <n v="9230.0"/>
        <n v="2009.0"/>
        <n v="5721.0"/>
        <n v="3773.0"/>
        <n v="1523.0"/>
        <n v="9289.0"/>
        <n v="1292.0"/>
        <n v="2947.0"/>
        <n v="1644.0"/>
        <n v="9917.0"/>
        <n v="367.0"/>
        <n v="7710.0"/>
        <n v="4960.0"/>
        <n v="9780.0"/>
        <n v="6862.0"/>
        <n v="2928.0"/>
        <n v="1735.0"/>
        <n v="7744.0"/>
        <n v="2612.0"/>
        <n v="8326.0"/>
        <n v="1727.0"/>
        <n v="9319.0"/>
        <n v="3920.0"/>
        <n v="5569.0"/>
        <n v="909.0"/>
        <n v="1581.0"/>
        <n v="2392.0"/>
        <n v="1395.0"/>
        <n v="2252.0"/>
        <n v="7509.0"/>
        <n v="3900.0"/>
        <n v="3950.0"/>
        <n v="6232.0"/>
        <n v="2668.0"/>
        <n v="1988.0"/>
        <n v="3011.0"/>
        <n v="5993.0"/>
        <n v="240.0"/>
        <n v="7161.0"/>
        <n v="5624.0"/>
        <n v="9670.0"/>
        <n v="3432.0"/>
        <n v="6612.0"/>
        <n v="9872.0"/>
        <n v="6378.0"/>
        <n v="3223.0"/>
        <n v="1793.0"/>
        <n v="866.0"/>
        <n v="4508.0"/>
        <n v="5635.0"/>
        <n v="2037.0"/>
        <n v="3328.0"/>
        <n v="5751.0"/>
        <n v="2048.0"/>
        <n v="9941.0"/>
        <n v="537.0"/>
        <n v="8699.0"/>
        <n v="3518.0"/>
        <n v="9842.0"/>
        <n v="8249.0"/>
        <n v="6842.0"/>
        <n v="4957.0"/>
        <n v="4877.0"/>
        <n v="3699.0"/>
        <n v="1975.0"/>
        <n v="5971.0"/>
        <n v="7950.0"/>
        <n v="5262.0"/>
        <n v="2287.0"/>
        <n v="5436.0"/>
        <n v="5906.0"/>
        <n v="9614.0"/>
        <n v="7890.0"/>
        <n v="4042.0"/>
        <n v="732.0"/>
        <n v="6109.0"/>
        <n v="7187.0"/>
        <n v="7577.0"/>
        <n v="2720.0"/>
        <n v="4702.0"/>
        <n v="5008.0"/>
        <n v="4275.0"/>
        <n v="4339.0"/>
        <n v="5478.0"/>
        <n v="822.0"/>
        <n v="5532.0"/>
        <n v="3851.0"/>
        <n v="2938.0"/>
        <n v="2400.0"/>
        <n v="5439.0"/>
        <n v="848.0"/>
        <n v="37.0"/>
        <n v="1448.0"/>
        <n v="5556.0"/>
        <n v="3909.0"/>
        <n v="9512.0"/>
        <n v="5298.0"/>
        <n v="2463.0"/>
        <n v="196.0"/>
        <n v="6672.0"/>
        <n v="8390.0"/>
        <n v="7548.0"/>
        <n v="3236.0"/>
        <n v="9375.0"/>
        <n v="9991.0"/>
        <n v="1969.0"/>
        <n v="684.0"/>
        <n v="2837.0"/>
        <n v="4683.0"/>
        <n v="7631.0"/>
        <n v="1398.0"/>
        <n v="190.0"/>
        <n v="419.0"/>
        <n v="5527.0"/>
        <n v="987.0"/>
        <n v="9304.0"/>
        <n v="5014.0"/>
        <n v="9685.0"/>
        <n v="6916.0"/>
        <n v="7336.0"/>
        <n v="3606.0"/>
        <n v="5418.0"/>
        <n v="9598.0"/>
        <n v="1506.0"/>
        <n v="9045.0"/>
        <n v="1404.0"/>
        <n v="4028.0"/>
        <n v="6485.0"/>
        <n v="5191.0"/>
        <n v="4897.0"/>
        <n v="348.0"/>
        <n v="7604.0"/>
        <n v="7209.0"/>
        <n v="2449.0"/>
        <n v="3643.0"/>
        <n v="314.0"/>
        <n v="6583.0"/>
        <n v="387.0"/>
        <n v="9525.0"/>
        <n v="1900.0"/>
        <n v="5893.0"/>
        <n v="154.0"/>
        <n v="3714.0"/>
        <n v="5474.0"/>
        <n v="2155.0"/>
        <n v="7515.0"/>
        <n v="7338.0"/>
        <n v="3675.0"/>
        <n v="6919.0"/>
        <n v="8082.0"/>
        <n v="8109.0"/>
        <n v="9973.0"/>
        <n v="1261.0"/>
        <n v="6361.0"/>
        <n v="3107.0"/>
        <n v="2187.0"/>
        <n v="794.0"/>
        <n v="516.0"/>
        <n v="6171.0"/>
        <n v="436.0"/>
        <n v="1219.0"/>
        <n v="8527.0"/>
        <n v="9193.0"/>
        <n v="527.0"/>
        <n v="4568.0"/>
        <n v="2881.0"/>
        <n v="9067.0"/>
        <n v="3754.0"/>
        <n v="9604.0"/>
        <n v="6310.0"/>
        <n v="8950.0"/>
        <n v="1626.0"/>
        <n v="4087.0"/>
        <n v="3214.0"/>
        <n v="7918.0"/>
        <n v="9857.0"/>
        <n v="71.0"/>
        <n v="1819.0"/>
        <n v="9169.0"/>
        <n v="8218.0"/>
        <n v="2097.0"/>
        <n v="5967.0"/>
        <n v="2021.0"/>
        <n v="4482.0"/>
        <n v="4604.0"/>
        <n v="5675.0"/>
        <n v="8011.0"/>
        <n v="3961.0"/>
        <n v="2904.0"/>
        <n v="6253.0"/>
        <n v="2450.0"/>
        <n v="1967.0"/>
        <n v="2311.0"/>
        <n v="3016.0"/>
        <n v="3814.0"/>
        <n v="8136.0"/>
        <n v="7927.0"/>
        <n v="4814.0"/>
        <n v="5691.0"/>
        <n v="6344.0"/>
        <n v="9591.0"/>
        <n v="280.0"/>
        <n v="290.0"/>
        <n v="3534.0"/>
        <n v="954.0"/>
        <n v="7246.0"/>
        <n v="8159.0"/>
        <n v="7329.0"/>
        <n v="5529.0"/>
        <n v="4029.0"/>
        <n v="9474.0"/>
        <n v="6366.0"/>
        <n v="3044.0"/>
        <n v="9761.0"/>
        <n v="9653.0"/>
        <n v="523.0"/>
        <n v="9202.0"/>
        <n v="4343.0"/>
        <n v="3298.0"/>
        <n v="8728.0"/>
        <n v="326.0"/>
        <n v="4932.0"/>
        <n v="8548.0"/>
        <n v="6969.0"/>
        <n v="279.0"/>
        <n v="6271.0"/>
        <n v="2422.0"/>
        <n v="873.0"/>
        <n v="6819.0"/>
        <n v="4484.0"/>
        <n v="2025.0"/>
        <n v="7909.0"/>
        <n v="8620.0"/>
        <n v="9049.0"/>
        <n v="7638.0"/>
        <n v="4861.0"/>
        <n v="8222.0"/>
        <n v="7257.0"/>
        <n v="8535.0"/>
        <n v="653.0"/>
        <n v="9242.0"/>
        <n v="3506.0"/>
        <n v="598.0"/>
        <n v="8476.0"/>
        <n v="7865.0"/>
        <n v="9.0"/>
        <n v="6787.0"/>
        <n v="2111.0"/>
        <n v="6924.0"/>
        <n v="5994.0"/>
        <n v="3757.0"/>
        <n v="389.0"/>
        <n v="8158.0"/>
        <n v="5422.0"/>
        <n v="8555.0"/>
        <n v="2650.0"/>
        <n v="4119.0"/>
        <n v="6404.0"/>
        <n v="4979.0"/>
        <n v="8649.0"/>
        <n v="2744.0"/>
        <n v="977.0"/>
        <n v="7162.0"/>
        <n v="3545.0"/>
        <n v="5072.0"/>
        <n v="6080.0"/>
        <n v="7207.0"/>
        <n v="3456.0"/>
        <n v="1864.0"/>
        <n v="6498.0"/>
        <n v="3458.0"/>
        <n v="8903.0"/>
        <n v="4741.0"/>
        <n v="7612.0"/>
        <n v="1500.0"/>
        <n v="6122.0"/>
        <n v="4982.0"/>
        <n v="7461.0"/>
        <n v="4970.0"/>
        <n v="879.0"/>
        <n v="7258.0"/>
        <n v="4623.0"/>
        <n v="9544.0"/>
        <n v="617.0"/>
        <n v="3473.0"/>
        <n v="5773.0"/>
        <n v="2210.0"/>
        <n v="1419.0"/>
        <n v="3733.0"/>
        <n v="2863.0"/>
        <n v="3813.0"/>
        <n v="6018.0"/>
        <n v="5997.0"/>
        <n v="1328.0"/>
        <n v="4221.0"/>
        <n v="1590.0"/>
        <n v="2848.0"/>
        <n v="6764.0"/>
        <n v="9910.0"/>
        <n v="7602.0"/>
        <n v="7190.0"/>
        <n v="3053.0"/>
        <n v="1602.0"/>
        <n v="6280.0"/>
        <n v="1978.0"/>
        <n v="1220.0"/>
        <n v="4271.0"/>
        <n v="6351.0"/>
        <n v="7734.0"/>
        <n v="7634.0"/>
        <n v="4805.0"/>
        <n v="33.0"/>
        <n v="1136.0"/>
        <n v="7392.0"/>
        <n v="569.0"/>
        <n v="6574.0"/>
        <n v="58.0"/>
        <n v="5789.0"/>
        <n v="4101.0"/>
        <n v="9865.0"/>
        <n v="9426.0"/>
        <n v="7390.0"/>
        <n v="9419.0"/>
        <n v="5114.0"/>
        <n v="4039.0"/>
        <n v="1541.0"/>
        <n v="8971.0"/>
        <n v="2114.0"/>
        <n v="3789.0"/>
        <n v="8640.0"/>
        <n v="8238.0"/>
        <n v="922.0"/>
        <n v="3091.0"/>
        <n v="6907.0"/>
        <n v="4307.0"/>
        <n v="2485.0"/>
        <n v="663.0"/>
        <n v="5097.0"/>
        <n v="4073.0"/>
        <n v="9281.0"/>
        <n v="3266.0"/>
        <n v="6671.0"/>
        <n v="4032.0"/>
        <n v="8922.0"/>
        <n v="679.0"/>
        <n v="1126.0"/>
        <n v="1230.0"/>
        <n v="3919.0"/>
        <n v="9977.0"/>
        <n v="7223.0"/>
        <n v="1701.0"/>
        <n v="519.0"/>
        <n v="7056.0"/>
        <n v="6328.0"/>
        <n v="1198.0"/>
        <n v="2147.0"/>
        <n v="4338.0"/>
        <n v="9962.0"/>
        <n v="4517.0"/>
        <n v="6186.0"/>
        <n v="2291.0"/>
        <n v="8730.0"/>
        <n v="936.0"/>
        <n v="9919.0"/>
        <n v="1311.0"/>
        <n v="8993.0"/>
        <n v="3621.0"/>
        <n v="7947.0"/>
        <n v="5028.0"/>
        <n v="3582.0"/>
        <n v="2764.0"/>
        <n v="6998.0"/>
        <n v="739.0"/>
        <n v="5086.0"/>
        <n v="150.0"/>
        <n v="8220.0"/>
        <n v="6555.0"/>
        <n v="1361.0"/>
        <n v="1338.0"/>
        <n v="3836.0"/>
        <n v="3234.0"/>
        <n v="5944.0"/>
        <n v="5407.0"/>
        <n v="6698.0"/>
        <n v="2723.0"/>
        <n v="6474.0"/>
        <n v="7952.0"/>
        <n v="6158.0"/>
        <n v="3046.0"/>
        <n v="6434.0"/>
        <n v="4240.0"/>
        <n v="6668.0"/>
        <n v="6970.0"/>
        <n v="5368.0"/>
        <n v="5930.0"/>
        <n v="4972.0"/>
        <n v="1743.0"/>
        <n v="7259.0"/>
        <n v="8677.0"/>
        <n v="6726.0"/>
        <n v="4951.0"/>
        <n v="2733.0"/>
        <n v="1482.0"/>
        <n v="9641.0"/>
        <n v="7684.0"/>
        <n v="5471.0"/>
        <n v="1319.0"/>
        <n v="9258.0"/>
        <n v="5957.0"/>
        <n v="7072.0"/>
        <n v="4984.0"/>
        <n v="3449.0"/>
        <n v="8253.0"/>
        <n v="2212.0"/>
        <n v="176.0"/>
        <n v="4025.0"/>
        <n v="7669.0"/>
        <n v="2052.0"/>
        <n v="1957.0"/>
        <n v="9520.0"/>
        <n v="1904.0"/>
        <n v="5669.0"/>
        <n v="1774.0"/>
        <n v="2894.0"/>
        <n v="3012.0"/>
        <n v="4657.0"/>
        <n v="7514.0"/>
        <n v="7599.0"/>
        <n v="1223.0"/>
        <n v="7283.0"/>
        <n v="7798.0"/>
        <n v="1522.0"/>
        <n v="9240.0"/>
        <n v="9963.0"/>
        <n v="9695.0"/>
        <n v="6880.0"/>
        <n v="7458.0"/>
        <n v="9405.0"/>
        <n v="8658.0"/>
        <n v="1373.0"/>
        <n v="4601.0"/>
        <n v="652.0"/>
        <n v="4524.0"/>
        <n v="9903.0"/>
        <n v="455.0"/>
        <n v="6203.0"/>
        <n v="4651.0"/>
        <n v="5337.0"/>
        <n v="4828.0"/>
        <n v="1722.0"/>
        <n v="1648.0"/>
        <n v="8276.0"/>
        <n v="6393.0"/>
        <n v="376.0"/>
        <n v="6009.0"/>
        <n v="6111.0"/>
        <n v="5530.0"/>
        <n v="6147.0"/>
        <n v="1871.0"/>
        <n v="3646.0"/>
        <n v="4445.0"/>
        <n v="4274.0"/>
        <n v="5167.0"/>
        <n v="6193.0"/>
        <n v="8451.0"/>
        <n v="69.0"/>
        <n v="1210.0"/>
        <n v="5312.0"/>
        <n v="2982.0"/>
        <n v="5915.0"/>
        <n v="2785.0"/>
        <n v="7033.0"/>
        <n v="4134.0"/>
        <n v="2754.0"/>
        <n v="9096.0"/>
        <n v="50.0"/>
        <n v="11.0"/>
        <n v="8559.0"/>
        <n v="4233.0"/>
        <n v="3380.0"/>
        <n v="2644.0"/>
        <n v="5267.0"/>
        <n v="1604.0"/>
        <n v="4510.0"/>
        <n v="1245.0"/>
        <n v="9997.0"/>
        <n v="126.0"/>
        <n v="3871.0"/>
        <n v="5752.0"/>
        <n v="7222.0"/>
        <n v="8539.0"/>
        <n v="4393.0"/>
        <n v="7846.0"/>
        <n v="9312.0"/>
        <n v="8329.0"/>
        <n v="7310.0"/>
        <n v="1504.0"/>
        <n v="1705.0"/>
        <n v="2605.0"/>
        <n v="427.0"/>
        <n v="6891.0"/>
        <n v="3135.0"/>
        <n v="4010.0"/>
        <n v="1394.0"/>
        <n v="9198.0"/>
        <n v="8366.0"/>
        <n v="1870.0"/>
        <n v="9716.0"/>
        <n v="3608.0"/>
        <n v="707.0"/>
        <n v="3174.0"/>
        <n v="9678.0"/>
        <n v="5380.0"/>
        <n v="7243.0"/>
        <n v="1944.0"/>
        <n v="2534.0"/>
        <n v="8776.0"/>
        <n v="95.0"/>
        <n v="5941.0"/>
        <n v="1004.0"/>
        <n v="189.0"/>
        <n v="4254.0"/>
        <n v="8609.0"/>
        <n v="2708.0"/>
        <n v="7902.0"/>
        <n v="2004.0"/>
        <n v="6267.0"/>
        <n v="3978.0"/>
        <n v="5454.0"/>
        <n v="3045.0"/>
        <n v="6119.0"/>
        <n v="7098.0"/>
        <n v="6024.0"/>
        <n v="4266.0"/>
        <n v="3604.0"/>
        <n v="898.0"/>
        <n v="3285.0"/>
        <n v="5614.0"/>
        <n v="9650.0"/>
        <n v="6210.0"/>
        <n v="2420.0"/>
        <n v="8283.0"/>
        <n v="5837.0"/>
        <n v="4148.0"/>
        <n v="4316.0"/>
        <n v="4770.0"/>
        <n v="2411.0"/>
        <n v="6614.0"/>
        <n v="3636.0"/>
        <n v="1762.0"/>
        <n v="1097.0"/>
        <n v="3670.0"/>
        <n v="2163.0"/>
        <n v="2271.0"/>
        <n v="2148.0"/>
        <n v="4219.0"/>
        <n v="6088.0"/>
        <n v="6364.0"/>
        <n v="6573.0"/>
        <n v="4531.0"/>
        <n v="88.0"/>
        <n v="6304.0"/>
        <n v="8739.0"/>
        <n v="5590.0"/>
        <n v="235.0"/>
        <n v="7522.0"/>
        <n v="7700.0"/>
        <n v="7006.0"/>
        <n v="1787.0"/>
        <n v="5328.0"/>
        <n v="1993.0"/>
        <n v="6845.0"/>
        <n v="3915.0"/>
        <n v="508.0"/>
        <n v="8009.0"/>
        <n v="3686.0"/>
        <n v="4104.0"/>
        <n v="7863.0"/>
        <n v="592.0"/>
        <n v="9953.0"/>
        <n v="638.0"/>
        <n v="8029.0"/>
        <n v="6559.0"/>
        <n v="343.0"/>
        <n v="1262.0"/>
        <n v="7180.0"/>
        <n v="6094.0"/>
        <n v="859.0"/>
        <n v="1936.0"/>
        <n v="1357.0"/>
        <n v="6238.0"/>
        <n v="3771.0"/>
        <n v="3180.0"/>
        <n v="719.0"/>
        <n v="4675.0"/>
        <n v="366.0"/>
        <n v="3375.0"/>
        <n v="2911.0"/>
        <n v="3126.0"/>
        <n v="4637.0"/>
        <n v="6717.0"/>
        <n v="2454.0"/>
        <n v="1468.0"/>
        <n v="7099.0"/>
        <n v="4228.0"/>
        <n v="9368.0"/>
        <n v="3183.0"/>
        <n v="8687.0"/>
        <n v="8836.0"/>
        <n v="7042.0"/>
        <n v="817.0"/>
        <n v="9417.0"/>
        <n v="5643.0"/>
        <n v="623.0"/>
        <n v="9804.0"/>
        <n v="3565.0"/>
        <n v="4066.0"/>
        <n v="1526.0"/>
        <n v="2045.0"/>
        <n v="6052.0"/>
        <n v="9823.0"/>
        <n v="3279.0"/>
        <n v="9332.0"/>
        <n v="8286.0"/>
        <n v="8198.0"/>
        <n v="5884.0"/>
        <n v="4793.0"/>
        <n v="4603.0"/>
        <n v="2680.0"/>
        <n v="1369.0"/>
        <n v="8256.0"/>
        <n v="2870.0"/>
        <n v="7546.0"/>
        <n v="8775.0"/>
        <n v="3968.0"/>
        <n v="7786.0"/>
        <n v="5707.0"/>
        <n v="4289.0"/>
        <n v="1842.0"/>
        <n v="5217.0"/>
        <n v="7086.0"/>
        <n v="7330.0"/>
        <n v="5797.0"/>
        <n v="9367.0"/>
        <n v="4494.0"/>
        <n v="9966.0"/>
        <n v="6752.0"/>
        <n v="9170.0"/>
        <n v="1725.0"/>
        <n v="7547.0"/>
        <n v="1798.0"/>
        <n v="6670.0"/>
        <n v="6387.0"/>
        <n v="7404.0"/>
        <n v="2308.0"/>
        <n v="7651.0"/>
        <n v="8881.0"/>
        <n v="1396.0"/>
        <n v="9206.0"/>
        <n v="1543.0"/>
        <n v="9246.0"/>
        <n v="915.0"/>
        <n v="2179.0"/>
        <n v="1171.0"/>
        <n v="313.0"/>
        <n v="1884.0"/>
        <n v="1667.0"/>
        <n v="2482.0"/>
        <n v="9177.0"/>
        <n v="3631.0"/>
        <n v="8494.0"/>
        <n v="4518.0"/>
        <n v="6550.0"/>
        <n v="5866.0"/>
        <n v="5685.0"/>
        <n v="4260.0"/>
        <n v="9876.0"/>
        <n v="7852.0"/>
        <n v="5535.0"/>
        <n v="7306.0"/>
        <n v="9576.0"/>
        <n v="5787.0"/>
        <n v="1413.0"/>
        <n v="2960.0"/>
        <n v="4985.0"/>
        <n v="5341.0"/>
        <n v="757.0"/>
        <n v="2502.0"/>
        <n v="9331.0"/>
        <n v="2030.0"/>
        <n v="8416.0"/>
        <n v="8339.0"/>
        <n v="8676.0"/>
        <n v="8341.0"/>
        <n v="3276.0"/>
        <n v="1453.0"/>
        <n v="7878.0"/>
        <n v="7157.0"/>
        <n v="1079.0"/>
        <n v="4176.0"/>
        <n v="7587.0"/>
        <n v="7742.0"/>
        <n v="159.0"/>
        <n v="7661.0"/>
        <n v="1125.0"/>
        <n v="7560.0"/>
        <n v="5132.0"/>
        <n v="3281.0"/>
        <n v="4503.0"/>
        <n v="5868.0"/>
        <n v="4676.0"/>
        <n v="7558.0"/>
        <n v="769.0"/>
        <n v="6601.0"/>
        <n v="2164.0"/>
        <n v="1282.0"/>
        <n v="8309.0"/>
        <n v="6913.0"/>
        <n v="244.0"/>
        <n v="807.0"/>
        <n v="3139.0"/>
        <n v="8806.0"/>
        <n v="1407.0"/>
        <n v="1573.0"/>
        <n v="1964.0"/>
        <n v="4224.0"/>
        <n v="99.0"/>
        <n v="2628.0"/>
        <n v="4005.0"/>
        <n v="1111.0"/>
        <n v="2856.0"/>
        <n v="5183.0"/>
        <n v="6065.0"/>
        <n v="507.0"/>
        <n v="5546.0"/>
        <n v="5249.0"/>
        <n v="5715.0"/>
        <n v="3484.0"/>
        <n v="8141.0"/>
        <n v="5118.0"/>
        <n v="1980.0"/>
        <n v="9035.0"/>
        <n v="958.0"/>
        <n v="3648.0"/>
        <n v="2903.0"/>
        <n v="6467.0"/>
        <n v="4203.0"/>
        <n v="3756.0"/>
        <n v="6362.0"/>
        <n v="906.0"/>
        <n v="511.0"/>
        <n v="8500.0"/>
        <n v="2043.0"/>
        <n v="7994.0"/>
        <n v="2198.0"/>
        <n v="3722.0"/>
        <n v="157.0"/>
        <n v="3358.0"/>
        <n v="461.0"/>
        <n v="7838.0"/>
        <n v="8431.0"/>
        <n v="1164.0"/>
        <n v="2200.0"/>
        <n v="5780.0"/>
        <n v="6442.0"/>
        <n v="7309.0"/>
        <n v="6915.0"/>
        <n v="9070.0"/>
        <n v="9965.0"/>
        <n v="2797.0"/>
        <n v="495.0"/>
        <n v="6262.0"/>
        <n v="4631.0"/>
        <n v="1022.0"/>
        <n v="3563.0"/>
        <n v="8895.0"/>
        <n v="6264.0"/>
        <n v="8955.0"/>
        <n v="7287.0"/>
        <n v="7298.0"/>
        <n v="9461.0"/>
        <n v="9439.0"/>
        <n v="6766.0"/>
        <n v="5397.0"/>
        <n v="3931.0"/>
        <n v="7998.0"/>
        <n v="5260.0"/>
        <n v="407.0"/>
        <n v="165.0"/>
        <n v="562.0"/>
        <n v="9805.0"/>
        <n v="865.0"/>
        <n v="5622.0"/>
        <n v="7987.0"/>
        <n v="1342.0"/>
        <n v="2845.0"/>
        <n v="6910.0"/>
        <n v="2669.0"/>
        <n v="451.0"/>
        <n v="7447.0"/>
        <n v="6115.0"/>
        <n v="7518.0"/>
        <n v="4567.0"/>
        <n v="5151.0"/>
        <n v="7281.0"/>
        <n v="3879.0"/>
        <n v="2871.0"/>
        <n v="5823.0"/>
        <n v="6335.0"/>
        <n v="5036.0"/>
        <n v="4587.0"/>
        <n v="423.0"/>
        <n v="5613.0"/>
        <n v="5355.0"/>
        <n v="1260.0"/>
        <n v="4664.0"/>
        <n v="5142.0"/>
        <n v="3829.0"/>
        <n v="2648.0"/>
        <n v="534.0"/>
        <n v="8530.0"/>
        <n v="6314.0"/>
        <n v="7030.0"/>
        <n v="4520.0"/>
        <n v="2854.0"/>
        <n v="9696.0"/>
        <n v="9699.0"/>
        <n v="3340.0"/>
        <n v="6444.0"/>
        <n v="4344.0"/>
        <n v="5869.0"/>
        <n v="8622.0"/>
        <n v="3767.0"/>
        <n v="5754.0"/>
        <n v="6618.0"/>
        <n v="5427.0"/>
        <n v="3280.0"/>
        <n v="668.0"/>
        <n v="7557.0"/>
        <n v="7778.0"/>
        <n v="3827.0"/>
        <n v="3259.0"/>
        <n v="9040.0"/>
        <n v="5102.0"/>
        <n v="2424.0"/>
        <n v="9019.0"/>
        <n v="8486.0"/>
        <n v="1454.0"/>
        <n v="586.0"/>
        <n v="5573.0"/>
        <n v="8138.0"/>
        <n v="7038.0"/>
        <n v="3057.0"/>
        <n v="7164.0"/>
        <n v="9654.0"/>
        <n v="8651.0"/>
        <n v="2176.0"/>
        <n v="137.0"/>
        <n v="2297.0"/>
        <n v="3784.0"/>
        <n v="9526.0"/>
        <n v="7929.0"/>
        <n v="2281.0"/>
        <n v="2898.0"/>
        <n v="2130.0"/>
        <n v="9355.0"/>
        <n v="5985.0"/>
        <n v="463.0"/>
        <n v="3261.0"/>
        <n v="5873.0"/>
        <n v="8233.0"/>
        <n v="836.0"/>
        <n v="2190.0"/>
        <n v="2358.0"/>
        <n v="1516.0"/>
        <n v="5451.0"/>
        <n v="6979.0"/>
        <n v="949.0"/>
        <n v="9241.0"/>
        <n v="9317.0"/>
        <n v="9321.0"/>
        <n v="3515.0"/>
        <n v="967.0"/>
        <n v="2775.0"/>
        <n v="4011.0"/>
        <n v="6636.0"/>
        <n v="2566.0"/>
        <n v="6254.0"/>
        <n v="6213.0"/>
        <n v="6822.0"/>
        <n v="4492.0"/>
        <n v="2666.0"/>
        <n v="6817.0"/>
        <n v="9451.0"/>
        <n v="9710.0"/>
        <n v="9589.0"/>
        <n v="2360.0"/>
        <n v="6777.0"/>
        <n v="3626.0"/>
        <n v="725.0"/>
        <n v="7923.0"/>
        <n v="2098.0"/>
        <n v="4061.0"/>
        <n v="5763.0"/>
        <n v="2276.0"/>
        <n v="1194.0"/>
        <n v="2622.0"/>
        <n v="4354.0"/>
        <n v="8581.0"/>
        <n v="8450.0"/>
        <n v="391.0"/>
        <n v="5070.0"/>
        <n v="8781.0"/>
        <n v="6155.0"/>
        <n v="7797.0"/>
        <n v="9673.0"/>
        <n v="1942.0"/>
        <n v="7944.0"/>
        <n v="8142.0"/>
        <n v="2818.0"/>
        <n v="7582.0"/>
        <n v="5253.0"/>
        <n v="7436.0"/>
        <n v="7991.0"/>
        <n v="6013.0"/>
        <n v="9632.0"/>
        <n v="5395.0"/>
        <n v="8957.0"/>
        <n v="7152.0"/>
        <n v="8202.0"/>
        <n v="9882.0"/>
        <n v="4100.0"/>
        <n v="8850.0"/>
        <n v="1273.0"/>
        <n v="4786.0"/>
        <n v="3667.0"/>
        <n v="1959.0"/>
        <n v="6730.0"/>
        <n v="9706.0"/>
        <n v="7320.0"/>
        <n v="158.0"/>
        <n v="1593.0"/>
        <n v="6000.0"/>
        <n v="2220.0"/>
        <n v="5136.0"/>
        <n v="5377.0"/>
        <n v="6072.0"/>
        <n v="2384.0"/>
        <n v="6504.0"/>
        <n v="2656.0"/>
        <n v="2095.0"/>
        <n v="1009.0"/>
        <n v="3911.0"/>
        <n v="4701.0"/>
        <n v="2173.0"/>
        <n v="6833.0"/>
        <n v="681.0"/>
        <n v="1755.0"/>
        <n v="7051.0"/>
        <n v="7245.0"/>
        <n v="2839.0"/>
        <n v="3532.0"/>
        <n v="5359.0"/>
        <n v="6045.0"/>
        <n v="6531.0"/>
        <n v="9791.0"/>
        <n v="6685.0"/>
        <n v="1422.0"/>
        <n v="1140.0"/>
        <n v="3969.0"/>
        <n v="6637.0"/>
        <n v="2892.0"/>
        <n v="7490.0"/>
        <n v="6334.0"/>
        <n v="9293.0"/>
        <n v="8854.0"/>
        <n v="3689.0"/>
        <n v="7332.0"/>
        <n v="178.0"/>
        <n v="5630.0"/>
        <n v="4139.0"/>
        <n v="5568.0"/>
        <n v="9363.0"/>
        <n v="1911.0"/>
        <n v="6930.0"/>
        <n v="8488.0"/>
        <n v="2684.0"/>
        <n v="2647.0"/>
        <n v="3539.0"/>
        <n v="7552.0"/>
        <n v="8865.0"/>
        <n v="3349.0"/>
        <n v="5877.0"/>
        <n v="3747.0"/>
        <n v="5402.0"/>
        <n v="1316.0"/>
        <n v="8994.0"/>
        <n v="7971.0"/>
        <n v="8124.0"/>
        <n v="3530.0"/>
        <n v="8691.0"/>
        <n v="8302.0"/>
        <n v="4796.0"/>
        <n v="1221.0"/>
        <n v="1176.0"/>
        <n v="9511.0"/>
        <n v="8106.0"/>
        <n v="872.0"/>
        <n v="4716.0"/>
        <n v="8772.0"/>
        <n v="2957.0"/>
        <n v="6337.0"/>
        <n v="10.0"/>
        <n v="2107.0"/>
        <n v="9247.0"/>
        <n v="3422.0"/>
        <n v="2796.0"/>
        <n v="2120.0"/>
        <n v="8031.0"/>
        <n v="6942.0"/>
        <n v="1246.0"/>
        <n v="1888.0"/>
        <n v="8380.0"/>
        <n v="5831.0"/>
        <n v="388.0"/>
        <n v="3774.0"/>
        <n v="4744.0"/>
        <n v="4083.0"/>
        <n v="5652.0"/>
        <n v="5850.0"/>
        <n v="6415.0"/>
        <n v="4966.0"/>
        <n v="3117.0"/>
        <n v="2347.0"/>
        <n v="7819.0"/>
        <n v="1724.0"/>
        <n v="1620.0"/>
        <n v="5918.0"/>
        <n v="4280.0"/>
        <n v="1587.0"/>
        <n v="2073.0"/>
        <n v="8753.0"/>
        <n v="5473.0"/>
        <n v="8616.0"/>
        <n v="8824.0"/>
        <n v="2765.0"/>
        <n v="4840.0"/>
        <n v="2354.0"/>
        <n v="4376.0"/>
        <n v="2005.0"/>
        <n v="3369.0"/>
        <n v="4983.0"/>
        <n v="4880.0"/>
        <n v="2967.0"/>
        <n v="1226.0"/>
        <n v="7005.0"/>
        <n v="4684.0"/>
        <n v="675.0"/>
        <n v="8419.0"/>
        <n v="8095.0"/>
        <n v="6117.0"/>
        <n v="7455.0"/>
        <n v="496.0"/>
        <n v="6983.0"/>
        <n v="8822.0"/>
        <n v="1840.0"/>
        <n v="2939.0"/>
        <n v="4045.0"/>
        <n v="6674.0"/>
        <n v="5173.0"/>
        <n v="1781.0"/>
        <n v="5283.0"/>
        <n v="3120.0"/>
        <n v="9183.0"/>
        <n v="7654.0"/>
        <n v="8978.0"/>
        <n v="2691.0"/>
        <n v="8328.0"/>
        <n v="2457.0"/>
        <n v="7617.0"/>
        <n v="1939.0"/>
        <n v="2528.0"/>
        <n v="9274.0"/>
        <n v="7359.0"/>
        <n v="9600.0"/>
        <n v="845.0"/>
        <n v="2975.0"/>
        <n v="9901.0"/>
        <n v="2564.0"/>
        <n v="7125.0"/>
        <n v="7757.0"/>
        <n v="3843.0"/>
        <n v="5713.0"/>
        <n v="9463.0"/>
        <n v="7670.0"/>
        <n v="8068.0"/>
        <n v="3821.0"/>
        <n v="7018.0"/>
        <n v="5592.0"/>
        <n v="6546.0"/>
        <n v="3347.0"/>
        <n v="1159.0"/>
        <n v="3645.0"/>
        <n v="4111.0"/>
        <n v="2971.0"/>
        <n v="4800.0"/>
        <n v="9809.0"/>
        <n v="7296.0"/>
        <n v="1123.0"/>
        <n v="9445.0"/>
        <n v="7926.0"/>
        <n v="2693.0"/>
        <n v="8467.0"/>
        <n v="4227.0"/>
        <n v="8194.0"/>
        <n v="5966.0"/>
        <n v="8250.0"/>
        <n v="3937.0"/>
        <n v="6201.0"/>
        <n v="3499.0"/>
        <n v="6199.0"/>
        <n v="4103.0"/>
        <n v="8239.0"/>
        <n v="524.0"/>
        <n v="9831.0"/>
        <n v="5269.0"/>
        <n v="9691.0"/>
        <n v="5828.0"/>
        <n v="7171.0"/>
        <n v="7462.0"/>
        <n v="6151.0"/>
        <n v="46.0"/>
        <n v="1167.0"/>
        <n v="6799.0"/>
        <n v="8892.0"/>
        <n v="1044.0"/>
        <n v="3886.0"/>
        <n v="78.0"/>
        <n v="3314.0"/>
        <n v="6620.0"/>
        <n v="2548.0"/>
        <n v="8679.0"/>
        <n v="7019.0"/>
        <n v="3148.0"/>
        <n v="3164.0"/>
        <n v="198.0"/>
        <n v="2992.0"/>
        <n v="2359.0"/>
        <n v="974.0"/>
        <n v="5391.0"/>
        <n v="4989.0"/>
        <n v="1180.0"/>
        <n v="2406.0"/>
        <n v="9140.0"/>
        <n v="8888.0"/>
        <n v="1185.0"/>
        <n v="4205.0"/>
        <n v="6252.0"/>
        <n v="4679.0"/>
        <n v="344.0"/>
        <n v="1430.0"/>
        <n v="5664.0"/>
        <n v="6740.0"/>
        <n v="5907.0"/>
        <n v="938.0"/>
        <n v="3218.0"/>
        <n v="8004.0"/>
        <n v="5268.0"/>
        <n v="412.0"/>
        <n v="3394.0"/>
        <n v="625.0"/>
        <n v="5547.0"/>
        <n v="3633.0"/>
        <n v="7088.0"/>
        <n v="8195.0"/>
        <n v="5305.0"/>
        <n v="1077.0"/>
        <n v="5204.0"/>
      </sharedItems>
    </cacheField>
    <cacheField name="Unit Price" numFmtId="0">
      <sharedItems containsSemiMixedTypes="0" containsString="0" containsNumber="1">
        <n v="255.28"/>
        <n v="152.58"/>
        <n v="47.45"/>
        <n v="205.7"/>
        <n v="81.73"/>
        <n v="109.28"/>
        <n v="651.21"/>
        <n v="437.2"/>
        <n v="421.89"/>
        <n v="9.33"/>
        <n v="154.06"/>
        <n v="668.27"/>
      </sharedItems>
    </cacheField>
    <cacheField name="Unit Cost" numFmtId="0">
      <sharedItems containsSemiMixedTypes="0" containsString="0" containsNumber="1">
        <n v="159.42"/>
        <n v="97.44"/>
        <n v="31.79"/>
        <n v="117.11"/>
        <n v="56.67"/>
        <n v="35.84"/>
        <n v="524.96"/>
        <n v="263.33"/>
        <n v="364.69"/>
        <n v="6.92"/>
        <n v="90.93"/>
        <n v="502.54"/>
      </sharedItems>
    </cacheField>
    <cacheField name="Total Revenue" numFmtId="0">
      <sharedItems containsSemiMixedTypes="0" containsString="0" containsNumber="1">
        <n v="140914.6"/>
        <n v="330640.9"/>
        <n v="226716.1"/>
        <n v="1854591.0"/>
        <n v="1150758.0"/>
        <n v="3923.04"/>
        <n v="902434.2"/>
        <n v="101302.6"/>
        <n v="966144.5"/>
        <n v="2506084.0"/>
        <n v="2412082.0"/>
        <n v="3227410.0"/>
        <n v="2008043.0"/>
        <n v="2966839.0"/>
        <n v="1640940.0"/>
        <n v="1558040.0"/>
        <n v="1155211.0"/>
        <n v="4080482.0"/>
        <n v="82657.9"/>
        <n v="1320308.0"/>
        <n v="81519.1"/>
        <n v="911860.2"/>
        <n v="46258.14"/>
        <n v="338413.4"/>
        <n v="515415.2"/>
        <n v="825885.5"/>
        <n v="12968.7"/>
        <n v="3181161.0"/>
        <n v="1508705.0"/>
        <n v="443550.1"/>
        <n v="2776220.0"/>
        <n v="409144.3"/>
        <n v="505529.3"/>
        <n v="2346552.0"/>
        <n v="48049.5"/>
        <n v="1855825.0"/>
        <n v="2115174.0"/>
        <n v="1123251.0"/>
        <n v="253689.9"/>
        <n v="659067.7"/>
        <n v="784715.4"/>
        <n v="278454.1"/>
        <n v="2329677.0"/>
        <n v="12816.72"/>
        <n v="256045.8"/>
        <n v="6006761.0"/>
        <n v="3374310.0"/>
        <n v="4338409.0"/>
        <n v="359718.5"/>
        <n v="13274.56"/>
        <n v="763662.9"/>
        <n v="369887.3"/>
        <n v="4496605.0"/>
        <n v="805265.4"/>
        <n v="294400.3"/>
        <n v="1174862.0"/>
        <n v="468483.4"/>
        <n v="653431.4"/>
        <n v="1254564.0"/>
        <n v="1255967.0"/>
        <n v="1037139.0"/>
        <n v="272173.2"/>
        <n v="135553.7"/>
        <n v="297952.0"/>
        <n v="2994518.0"/>
        <n v="2485917.0"/>
        <n v="198964.3"/>
        <n v="465484.5"/>
        <n v="865060.5"/>
        <n v="252196.8"/>
        <n v="407614.4"/>
        <n v="808341.2"/>
        <n v="278447.4"/>
        <n v="1985823.0"/>
        <n v="148091.5"/>
        <n v="2322215.0"/>
        <n v="74882.58"/>
        <n v="1590906.0"/>
        <n v="3201013.0"/>
        <n v="48115.44"/>
        <n v="1359621.0"/>
        <n v="3007939.0"/>
        <n v="832879.3"/>
        <n v="4508818.0"/>
        <n v="3442076.0"/>
        <n v="4205864.0"/>
        <n v="2620359.0"/>
        <n v="3755665.0"/>
        <n v="46406.1"/>
        <n v="130867.1"/>
        <n v="1355152.0"/>
        <n v="1205390.0"/>
        <n v="6483447.0"/>
        <n v="1425860.0"/>
        <n v="101615.8"/>
        <n v="604784.4"/>
        <n v="5551.65"/>
        <n v="43804.35"/>
        <n v="2164527.0"/>
        <n v="581786.3"/>
        <n v="4527529.0"/>
        <n v="634727.2"/>
        <n v="60333.6"/>
        <n v="1765523.0"/>
        <n v="248732.9"/>
        <n v="27355.56"/>
        <n v="531326.7"/>
        <n v="5232554.0"/>
        <n v="90702.4"/>
        <n v="60113.19"/>
        <n v="1177481.0"/>
        <n v="2887465.0"/>
        <n v="5765162.0"/>
        <n v="814602.9"/>
        <n v="725353.8"/>
        <n v="2476609.0"/>
        <n v="43123.26"/>
        <n v="5740416.0"/>
        <n v="450250.6"/>
        <n v="624510.4"/>
        <n v="2246675.0"/>
        <n v="2119079.0"/>
        <n v="1861809.0"/>
        <n v="657986.0"/>
        <n v="133705.0"/>
        <n v="305343.3"/>
        <n v="2631328.0"/>
        <n v="31222.1"/>
        <n v="647179.3"/>
        <n v="66862.04"/>
        <n v="145713.9"/>
        <n v="176941.1"/>
        <n v="67141.75"/>
        <n v="1563524.0"/>
        <n v="354901.1"/>
        <n v="2543997.0"/>
        <n v="2364272.0"/>
        <n v="82719.78"/>
        <n v="462837.0"/>
        <n v="314289.3"/>
        <n v="3972516.0"/>
        <n v="186910.5"/>
        <n v="4087645.0"/>
        <n v="2444817.0"/>
        <n v="3567989.0"/>
        <n v="2571841.0"/>
        <n v="6174122.0"/>
        <n v="942300.9"/>
        <n v="4780135.0"/>
        <n v="3709257.0"/>
        <n v="27948.05"/>
        <n v="35426.01"/>
        <n v="744988.8"/>
        <n v="219503.7"/>
        <n v="1010398.0"/>
        <n v="1297112.0"/>
        <n v="1465818.0"/>
        <n v="1832581.0"/>
        <n v="3393546.0"/>
        <n v="181722.8"/>
        <n v="5687017.0"/>
        <n v="3040289.0"/>
        <n v="686029.2"/>
        <n v="1411102.0"/>
        <n v="1195622.0"/>
        <n v="2653030.0"/>
        <n v="45316.26"/>
        <n v="2846162.0"/>
        <n v="737463.7"/>
        <n v="1148012.0"/>
        <n v="28754.7"/>
        <n v="5815286.0"/>
        <n v="2527397.0"/>
        <n v="63332.04"/>
        <n v="75621.76"/>
        <n v="3582306.0"/>
        <n v="1420900.0"/>
        <n v="463258.4"/>
        <n v="479755.1"/>
        <n v="2544631.0"/>
        <n v="841937.9"/>
        <n v="1471273.0"/>
        <n v="118508.5"/>
        <n v="1131686.0"/>
        <n v="883996.3"/>
        <n v="1156775.0"/>
        <n v="564646.5"/>
        <n v="149894.6"/>
        <n v="1445545.0"/>
        <n v="3166183.0"/>
        <n v="2215730.0"/>
        <n v="204815.4"/>
        <n v="140003.5"/>
        <n v="649227.9"/>
        <n v="767672.4"/>
        <n v="158800.4"/>
        <n v="75003.87"/>
        <n v="2283496.0"/>
        <n v="1769786.0"/>
        <n v="2185243.0"/>
        <n v="2455224.0"/>
        <n v="2056267.0"/>
        <n v="561113.7"/>
        <n v="818058.6"/>
        <n v="1003250.0"/>
        <n v="1321359.0"/>
        <n v="578925.7"/>
        <n v="180378.1"/>
        <n v="1738609.0"/>
        <n v="106653.4"/>
        <n v="2052196.0"/>
        <n v="6038019.0"/>
        <n v="1472505.0"/>
        <n v="278255.2"/>
        <n v="661359.2"/>
        <n v="794829.6"/>
        <n v="3711572.0"/>
        <n v="4205427.0"/>
        <n v="979821.6"/>
        <n v="1316479.0"/>
        <n v="1132449.0"/>
        <n v="673758.3"/>
        <n v="5310618.0"/>
        <n v="2011994.0"/>
        <n v="121002.7"/>
        <n v="360038.2"/>
        <n v="3843862.0"/>
        <n v="259361.7"/>
        <n v="14326.62"/>
        <n v="781679.8"/>
        <n v="391331.7"/>
        <n v="1993354.0"/>
        <n v="12875.4"/>
        <n v="278723.5"/>
        <n v="5102230.0"/>
        <n v="411813.4"/>
        <n v="1077392.0"/>
        <n v="108425.7"/>
        <n v="1057930.0"/>
        <n v="4089380.0"/>
        <n v="85574.76"/>
        <n v="654477.9"/>
        <n v="764665.9"/>
        <n v="770877.4"/>
        <n v="1439067.0"/>
        <n v="78578.7"/>
        <n v="1078420.0"/>
        <n v="177323.1"/>
        <n v="5396577.0"/>
        <n v="878097.9"/>
        <n v="376610.7"/>
        <n v="829991.3"/>
        <n v="5934477.0"/>
        <n v="1793087.0"/>
        <n v="611340.4"/>
        <n v="548148.5"/>
        <n v="98157.73"/>
        <n v="787305.1"/>
        <n v="396998.5"/>
        <n v="1188140.0"/>
        <n v="2029025.0"/>
        <n v="5943593.0"/>
        <n v="172433.3"/>
        <n v="1001348.0"/>
        <n v="3862.62"/>
        <n v="9889.33"/>
        <n v="379926.8"/>
        <n v="171569.6"/>
        <n v="1257746.0"/>
        <n v="705003.0"/>
        <n v="74276.13"/>
        <n v="818172.4"/>
        <n v="1298110.0"/>
        <n v="1062311.0"/>
        <n v="18144.06"/>
        <n v="2224474.0"/>
        <n v="711740.6"/>
        <n v="1343249.0"/>
        <n v="27644.79"/>
        <n v="389771.8"/>
        <n v="632345.0"/>
        <n v="623495.9"/>
        <n v="122431.5"/>
        <n v="128624.9"/>
        <n v="1524237.0"/>
        <n v="79431.3"/>
        <n v="760491.3"/>
        <n v="814777.2"/>
        <n v="69143.58"/>
        <n v="58359.15"/>
        <n v="341497.7"/>
        <n v="562801.3"/>
        <n v="31320.81"/>
        <n v="474025.5"/>
        <n v="768451.3"/>
        <n v="1808696.0"/>
        <n v="2369.82"/>
        <n v="1684477.0"/>
        <n v="91629.93"/>
        <n v="2313092.0"/>
        <n v="325127.4"/>
        <n v="1268552.0"/>
        <n v="1069738.0"/>
        <n v="620824.0"/>
        <n v="1303502.0"/>
        <n v="2357256.0"/>
        <n v="287938.1"/>
        <n v="1665702.0"/>
        <n v="43274.88"/>
        <n v="25237.65"/>
        <n v="2478003.0"/>
        <n v="791882.0"/>
        <n v="3361198.0"/>
        <n v="288528.8"/>
        <n v="1201288.0"/>
        <n v="58079.25"/>
        <n v="530346.0"/>
        <n v="432998.5"/>
        <n v="3727610.0"/>
        <n v="631754.0"/>
        <n v="536644.1"/>
        <n v="3785715.0"/>
        <n v="871139.5"/>
        <n v="278869.3"/>
        <n v="71187.9"/>
        <n v="4471208.0"/>
        <n v="3005122.0"/>
        <n v="750853.5"/>
        <n v="180193.2"/>
        <n v="310958.0"/>
        <n v="1965258.0"/>
        <n v="190757.8"/>
        <n v="973813.3"/>
        <n v="450205.6"/>
        <n v="2990885.0"/>
        <n v="3618682.0"/>
        <n v="1908485.0"/>
        <n v="3026595.0"/>
        <n v="203892.7"/>
        <n v="1636440.0"/>
        <n v="413553.8"/>
        <n v="380836.3"/>
        <n v="591153.1"/>
        <n v="1149836.0"/>
        <n v="3926056.0"/>
        <n v="80527.23"/>
        <n v="148359.8"/>
        <n v="1886009.0"/>
        <n v="301212.6"/>
        <n v="3508859.0"/>
        <n v="520316.8"/>
        <n v="508244.0"/>
        <n v="510136.0"/>
        <n v="4456881.0"/>
        <n v="524345.1"/>
        <n v="880386.6"/>
        <n v="685426.8"/>
        <n v="4163893.0"/>
        <n v="25397.19"/>
        <n v="2773.08"/>
        <n v="1522987.0"/>
        <n v="79146.6"/>
        <n v="7431.04"/>
        <n v="585583.3"/>
        <n v="2772239.0"/>
        <n v="2193110.0"/>
        <n v="1148209.0"/>
        <n v="2190453.0"/>
        <n v="71595.48"/>
        <n v="458014.9"/>
        <n v="1156374.0"/>
        <n v="551023.7"/>
        <n v="4720.98"/>
        <n v="1223692.0"/>
        <n v="262873.0"/>
        <n v="278106.4"/>
        <n v="516572.7"/>
        <n v="294082.6"/>
        <n v="4472510.0"/>
        <n v="1106128.0"/>
        <n v="1784152.0"/>
        <n v="47912.66"/>
        <n v="1736415.0"/>
        <n v="109061.4"/>
        <n v="365169.6"/>
        <n v="206776.8"/>
        <n v="99787.32"/>
        <n v="4337059.0"/>
        <n v="3595347.0"/>
        <n v="74285.46"/>
        <n v="1633816.0"/>
        <n v="1021572.0"/>
        <n v="918039.1"/>
        <n v="1090745.0"/>
        <n v="12716.79"/>
        <n v="4158644.0"/>
        <n v="3207630.0"/>
        <n v="2262955.0"/>
        <n v="82533.18"/>
        <n v="61297.5"/>
        <n v="154497.2"/>
        <n v="268938.1"/>
        <n v="631569.3"/>
        <n v="850873.4"/>
        <n v="4499462.0"/>
        <n v="764175.5"/>
        <n v="952185.3"/>
        <n v="2559806.0"/>
        <n v="158862.6"/>
        <n v="2413417.0"/>
        <n v="33158.82"/>
        <n v="1087510.0"/>
        <n v="399149.4"/>
        <n v="1245729.0"/>
        <n v="552305.1"/>
        <n v="1135230.0"/>
        <n v="1104374.0"/>
        <n v="85139.64"/>
        <n v="22792.35"/>
        <n v="513173.9"/>
        <n v="784108.6"/>
        <n v="1458833.0"/>
        <n v="897844.5"/>
        <n v="6031137.0"/>
        <n v="69303.24"/>
        <n v="2111931.0"/>
        <n v="1451302.0"/>
        <n v="1406988.0"/>
        <n v="87851.28"/>
        <n v="1810445.0"/>
        <n v="260385.6"/>
        <n v="533279.9"/>
        <n v="1319771.0"/>
        <n v="47573.67"/>
        <n v="2644828.0"/>
        <n v="55352.85"/>
        <n v="177510.5"/>
        <n v="528057.5"/>
        <n v="1148249.0"/>
        <n v="4103178.0"/>
        <n v="1711142.0"/>
        <n v="544910.2"/>
        <n v="48446.45"/>
        <n v="1420888.0"/>
        <n v="50263.95"/>
        <n v="179437.8"/>
        <n v="748891.5"/>
        <n v="1551290.0"/>
        <n v="120385.6"/>
        <n v="1553634.0"/>
        <n v="21528.16"/>
        <n v="472726.3"/>
        <n v="647900.6"/>
        <n v="336467.0"/>
        <n v="715013.2"/>
        <n v="67176.0"/>
        <n v="10953.42"/>
        <n v="1339454.0"/>
        <n v="514735.5"/>
        <n v="153643.1"/>
        <n v="306685.8"/>
        <n v="257073.6"/>
        <n v="324876.8"/>
        <n v="6154767.0"/>
        <n v="91390.24"/>
        <n v="723858.3"/>
        <n v="16999.26"/>
        <n v="46771.84"/>
        <n v="390833.7"/>
        <n v="443799.9"/>
        <n v="562682.7"/>
        <n v="1436569.0"/>
        <n v="39858.0"/>
        <n v="161424.9"/>
        <n v="6036717.0"/>
        <n v="467619.8"/>
        <n v="740520.0"/>
        <n v="637534.6"/>
        <n v="6183890.0"/>
        <n v="1338473.0"/>
        <n v="3422879.0"/>
        <n v="4816349.0"/>
        <n v="54140.45"/>
        <n v="1025715.0"/>
        <n v="34069.1"/>
        <n v="1227396.0"/>
        <n v="4160832.0"/>
        <n v="505840.4"/>
        <n v="1455607.0"/>
        <n v="74658.66"/>
        <n v="6471074.0"/>
        <n v="257036.7"/>
        <n v="50242.05"/>
        <n v="1833156.0"/>
        <n v="365934.4"/>
        <n v="1411386.0"/>
        <n v="555251.7"/>
        <n v="3374747.0"/>
        <n v="1244442.0"/>
        <n v="4267379.0"/>
        <n v="15410.58"/>
        <n v="655965.0"/>
        <n v="1013869.0"/>
        <n v="1709920.0"/>
        <n v="470683.1"/>
        <n v="1380544.0"/>
        <n v="5545973.0"/>
        <n v="2041573.0"/>
        <n v="1134806.0"/>
        <n v="939303.8"/>
        <n v="3769976.0"/>
        <n v="3999517.0"/>
        <n v="36358.16"/>
        <n v="1961716.0"/>
        <n v="437294.3"/>
        <n v="1225675.0"/>
        <n v="6468854.0"/>
        <n v="778886.9"/>
        <n v="2771848.0"/>
        <n v="137729.6"/>
        <n v="82629.03"/>
        <n v="997720.6"/>
        <n v="896234.9"/>
        <n v="520260.6"/>
        <n v="6213846.0"/>
        <n v="169702.5"/>
        <n v="458711.0"/>
        <n v="37722.75"/>
        <n v="5458.05"/>
        <n v="3248975.0"/>
        <n v="2304918.0"/>
        <n v="1303039.0"/>
        <n v="6155888.0"/>
        <n v="1046287.0"/>
        <n v="5876766.0"/>
        <n v="256487.0"/>
        <n v="299910.6"/>
        <n v="97707.5"/>
        <n v="886260.8"/>
        <n v="472072.5"/>
        <n v="1245765.0"/>
        <n v="571864.8"/>
        <n v="5701680.0"/>
        <n v="287262.3"/>
        <n v="669886.4"/>
        <n v="68668.8"/>
        <n v="3589946.0"/>
        <n v="371486.1"/>
        <n v="4119298.0"/>
        <n v="3006187.0"/>
        <n v="601775.5"/>
        <n v="978495.5"/>
        <n v="1812743.0"/>
        <n v="572039.1"/>
        <n v="781257.1"/>
        <n v="1817338.0"/>
        <n v="2917421.0"/>
        <n v="218981.8"/>
        <n v="1922003.0"/>
        <n v="2218720.0"/>
        <n v="561566.8"/>
        <n v="32319.12"/>
        <n v="488216.1"/>
        <n v="502230.9"/>
        <n v="1462784.0"/>
        <n v="1815021.0"/>
        <n v="195501.9"/>
        <n v="2147842.0"/>
        <n v="1223082.0"/>
        <n v="627931.6"/>
        <n v="711214.5"/>
        <n v="4824164.0"/>
        <n v="1115703.0"/>
        <n v="1608022.0"/>
        <n v="2354192.0"/>
        <n v="5619482.0"/>
        <n v="133192.2"/>
        <n v="491524.2"/>
        <n v="3786152.0"/>
        <n v="524882.4"/>
        <n v="4196118.0"/>
        <n v="510.56"/>
        <n v="1516668.0"/>
        <n v="5154367.0"/>
        <n v="1736996.0"/>
        <n v="845445.8"/>
        <n v="315162.9"/>
        <n v="87002.8"/>
        <n v="1830556.0"/>
        <n v="394500.8"/>
        <n v="847946.2"/>
        <n v="430344.6"/>
        <n v="2189935.0"/>
        <n v="17232.51"/>
        <n v="1977394.0"/>
        <n v="103055.7"/>
        <n v="81478.89"/>
        <n v="3718923.0"/>
        <n v="2788481.0"/>
        <n v="3386943.0"/>
        <n v="438264.3"/>
        <n v="709.08"/>
        <n v="2033932.0"/>
        <n v="855698.6"/>
        <n v="1567674.0"/>
        <n v="302979.6"/>
        <n v="4373827.0"/>
        <n v="67393.92"/>
        <n v="196302.8"/>
        <n v="1151338.0"/>
        <n v="1216409.0"/>
        <n v="102244.2"/>
        <n v="83130.3"/>
        <n v="163373.6"/>
        <n v="523997.6"/>
        <n v="710450.0"/>
        <n v="63779.88"/>
        <n v="109372.3"/>
        <n v="850791.2"/>
        <n v="732176.0"/>
        <n v="6375296.0"/>
        <n v="4403.76"/>
        <n v="645913.6"/>
        <n v="1193530.0"/>
        <n v="984691.3"/>
        <n v="333395.7"/>
        <n v="420549.4"/>
        <n v="451922.9"/>
        <n v="79447.62"/>
        <n v="6184171.0"/>
        <n v="30275.85"/>
        <n v="3984329.0"/>
        <n v="1490910.0"/>
        <n v="380359.2"/>
        <n v="158244.0"/>
        <n v="1916685.0"/>
        <n v="605786.5"/>
        <n v="117939.4"/>
        <n v="929207.8"/>
        <n v="136790.5"/>
        <n v="5064818.0"/>
        <n v="486308.4"/>
        <n v="1407847.0"/>
        <n v="2404435.0"/>
        <n v="220172.9"/>
        <n v="3348078.0"/>
        <n v="2799.55"/>
        <n v="1747833.0"/>
        <n v="1076517.0"/>
        <n v="331227.7"/>
        <n v="818891.7"/>
        <n v="438915.5"/>
        <n v="663239.0"/>
        <n v="852379.9"/>
        <n v="63934.9"/>
        <n v="1119214.0"/>
        <n v="126436.3"/>
        <n v="800790.1"/>
        <n v="221781.3"/>
        <n v="3546129.0"/>
        <n v="259077.0"/>
        <n v="65.31"/>
        <n v="98174.05"/>
        <n v="189610.2"/>
        <n v="245126.7"/>
        <n v="4672544.0"/>
        <n v="864951.2"/>
        <n v="687267.6"/>
        <n v="653385.1"/>
        <n v="13158.53"/>
        <n v="4899053.0"/>
        <n v="1026348.0"/>
        <n v="2145147.0"/>
        <n v="45035.91"/>
        <n v="57892.65"/>
        <n v="2649773.0"/>
        <n v="237356.2"/>
        <n v="961559.2"/>
        <n v="3913030.0"/>
        <n v="1221858.0"/>
        <n v="1259749.0"/>
        <n v="808963.5"/>
        <n v="19070.52"/>
        <n v="3201723.0"/>
        <n v="4369818.0"/>
        <n v="101411.8"/>
        <n v="466243.7"/>
        <n v="205411.1"/>
        <n v="121899.1"/>
        <n v="1984992.0"/>
        <n v="3346431.0"/>
        <n v="120306.6"/>
        <n v="14732.07"/>
        <n v="1345689.0"/>
        <n v="1090777.0"/>
        <n v="353809.2"/>
        <n v="2267908.0"/>
        <n v="1168804.0"/>
        <n v="695895.0"/>
        <n v="1265603.0"/>
        <n v="91378.02"/>
        <n v="2379881.0"/>
        <n v="1117496.0"/>
        <n v="1287928.0"/>
        <n v="6266594.0"/>
        <n v="538454.8"/>
        <n v="1076845.0"/>
        <n v="135004.8"/>
        <n v="1553399.0"/>
        <n v="110925.7"/>
        <n v="1414569.0"/>
        <n v="5967688.0"/>
        <n v="1111545.0"/>
        <n v="278226.9"/>
        <n v="8285.04"/>
        <n v="13570.7"/>
        <n v="469457.1"/>
        <n v="655941.4"/>
        <n v="7432.4"/>
        <n v="1850889.0"/>
        <n v="899320.4"/>
        <n v="12119.67"/>
        <n v="93523.95"/>
        <n v="5728.62"/>
        <n v="5522261.0"/>
        <n v="3872280.0"/>
        <n v="1377973.0"/>
        <n v="36288.12"/>
        <n v="516025.6"/>
        <n v="108565.6"/>
        <n v="3744317.0"/>
        <n v="585736.1"/>
        <n v="358794.7"/>
        <n v="4612400.0"/>
        <n v="2018244.0"/>
        <n v="4010288.0"/>
        <n v="323419.2"/>
        <n v="5354848.0"/>
        <n v="881218.8"/>
        <n v="359020.7"/>
        <n v="1525043.0"/>
        <n v="191918.1"/>
        <n v="12508.72"/>
        <n v="1680363.0"/>
        <n v="1475692.0"/>
        <n v="426270.0"/>
        <n v="131213.9"/>
        <n v="716281.7"/>
        <n v="882917.9"/>
        <n v="1508777.0"/>
        <n v="152519.4"/>
        <n v="772266.8"/>
        <n v="1775728.0"/>
        <n v="34269.09"/>
        <n v="2969462.0"/>
        <n v="51660.21"/>
        <n v="949317.7"/>
        <n v="568350.4"/>
        <n v="353083.7"/>
        <n v="111033.0"/>
        <n v="3654411.0"/>
        <n v="3631207.0"/>
        <n v="52425.27"/>
        <n v="3455624.0"/>
        <n v="1067338.0"/>
        <n v="1724754.0"/>
        <n v="2366446.0"/>
        <n v="1425402.0"/>
        <n v="44700.03"/>
        <n v="1263057.0"/>
        <n v="4151214.0"/>
        <n v="70033.74"/>
        <n v="1393627.0"/>
        <n v="4625097.0"/>
        <n v="76299.6"/>
        <n v="754607.7"/>
        <n v="1613717.0"/>
        <n v="246028.3"/>
        <n v="75191.6"/>
        <n v="247069.8"/>
        <n v="991617.4"/>
        <n v="1279231.0"/>
        <n v="1200114.0"/>
        <n v="875214.9"/>
        <n v="35188.16"/>
        <n v="771636.8"/>
        <n v="1046657.0"/>
        <n v="510076.9"/>
        <n v="1180925.0"/>
        <n v="128332.0"/>
        <n v="423361.4"/>
        <n v="7172.13"/>
        <n v="224106.4"/>
        <n v="461056.7"/>
        <n v="701249.8"/>
        <n v="21654.93"/>
        <n v="3960168.0"/>
        <n v="1727735.0"/>
        <n v="215900.7"/>
        <n v="3700898.0"/>
        <n v="2310493.0"/>
        <n v="666155.4"/>
        <n v="1128882.0"/>
        <n v="1587150.0"/>
        <n v="1888509.0"/>
        <n v="710233.7"/>
        <n v="2638330.0"/>
        <n v="32878.92"/>
        <n v="441095.2"/>
        <n v="1321585.0"/>
        <n v="100024.6"/>
        <n v="467505.1"/>
        <n v="3518586.0"/>
        <n v="994229.4"/>
        <n v="250536.0"/>
        <n v="5010410.0"/>
        <n v="41695.77"/>
        <n v="2520895.0"/>
        <n v="416468.7"/>
        <n v="1192244.0"/>
        <n v="1632714.0"/>
        <n v="75797.52"/>
        <n v="73809.63"/>
        <n v="535358.5"/>
        <n v="684218.0"/>
        <n v="702142.4"/>
        <n v="2040964.0"/>
        <n v="49001.16"/>
        <n v="441536.0"/>
        <n v="1105226.0"/>
        <n v="2826903.0"/>
        <n v="159811.6"/>
        <n v="475275.1"/>
        <n v="1265466.0"/>
        <n v="247191.4"/>
        <n v="2097031.0"/>
        <n v="1160842.0"/>
        <n v="681907.2"/>
        <n v="65963.1"/>
        <n v="1506422.0"/>
        <n v="124965.2"/>
        <n v="146357.0"/>
        <n v="1040777.0"/>
        <n v="5786001.0"/>
        <n v="3536.07"/>
        <n v="1427781.0"/>
        <n v="5598452.0"/>
        <n v="599728.6"/>
        <n v="768016.8"/>
        <n v="1128059.0"/>
        <n v="485639.7"/>
        <n v="1027266.0"/>
        <n v="594451.7"/>
        <n v="3964846.0"/>
        <n v="950948.2"/>
        <n v="221897.0"/>
        <n v="4016994.0"/>
        <n v="463647.8"/>
        <n v="90624.4"/>
        <n v="2581396.0"/>
        <n v="89564.46"/>
        <n v="4117225.0"/>
        <n v="1227964.0"/>
        <n v="192314.9"/>
        <n v="700202.8"/>
        <n v="1644309.0"/>
        <n v="91592.61"/>
        <n v="77401.68"/>
        <n v="753586.6"/>
        <n v="4184878.0"/>
        <n v="79441.56"/>
        <n v="1338545.0"/>
        <n v="1159737.0"/>
        <n v="118814.8"/>
        <n v="1743052.0"/>
        <n v="4553.04"/>
        <n v="1525828.0"/>
        <n v="643215.1"/>
        <n v="1800988.0"/>
        <n v="5902567.0"/>
        <n v="557983.7"/>
        <n v="9171.39"/>
        <n v="184438.2"/>
        <n v="28381.86"/>
        <n v="223157.4"/>
        <n v="1102299.0"/>
        <n v="271271.7"/>
        <n v="1974846.0"/>
        <n v="1938341.0"/>
        <n v="259233.4"/>
        <n v="165885.2"/>
        <n v="401332.1"/>
        <n v="3973711.0"/>
        <n v="4340084.0"/>
        <n v="647645.4"/>
        <n v="4851.6"/>
        <n v="368111.9"/>
        <n v="3016935.0"/>
        <n v="666344.7"/>
        <n v="1899434.0"/>
        <n v="3859872.0"/>
        <n v="2216852.0"/>
        <n v="618087.7"/>
        <n v="1083402.0"/>
        <n v="3645374.0"/>
        <n v="1501235.0"/>
        <n v="39231.52"/>
        <n v="5126325.0"/>
        <n v="1126498.0"/>
        <n v="3860373.0"/>
        <n v="827686.7"/>
        <n v="1297339.0"/>
        <n v="1067227.0"/>
        <n v="247409.9"/>
        <n v="1142841.0"/>
        <n v="750972.2"/>
        <n v="959880.8"/>
        <n v="38803.47"/>
        <n v="201926.5"/>
        <n v="1302728.0"/>
        <n v="554047.7"/>
        <n v="328591.3"/>
        <n v="3129580.0"/>
        <n v="954233.0"/>
        <n v="78120.09"/>
        <n v="2568550.0"/>
        <n v="1992971.0"/>
        <n v="422188.9"/>
        <n v="302968.3"/>
        <n v="2763978.0"/>
        <n v="4858991.0"/>
        <n v="55550.82"/>
        <n v="935010.2"/>
        <n v="913391.8"/>
        <n v="749798.9"/>
        <n v="1576980.0"/>
        <n v="27196.95"/>
        <n v="608049.2"/>
        <n v="43589.76"/>
        <n v="49253.1"/>
        <n v="317055.5"/>
        <n v="4120600.0"/>
        <n v="2161853.0"/>
        <n v="290877.1"/>
        <n v="1366358.0"/>
        <n v="762214.0"/>
        <n v="436701.1"/>
        <n v="2735113.0"/>
        <n v="3653989.0"/>
        <n v="4521351.0"/>
        <n v="1014199.0"/>
        <n v="243038.9"/>
        <n v="1722119.0"/>
        <n v="1222004.0"/>
        <n v="541704.2"/>
        <n v="730705.6"/>
        <n v="1735697.0"/>
        <n v="3208473.0"/>
        <n v="588653.6"/>
        <n v="86986.88"/>
        <n v="2309773.0"/>
        <n v="262267.5"/>
        <n v="3024951.0"/>
        <n v="5650891.0"/>
        <n v="184485.6"/>
        <n v="2769596.0"/>
        <n v="4798115.0"/>
        <n v="146193.5"/>
        <n v="151527.4"/>
        <n v="798175.2"/>
        <n v="6672676.0"/>
        <n v="614037.5"/>
        <n v="2396569.0"/>
        <n v="1490839.0"/>
        <n v="1957782.0"/>
        <n v="1056159.0"/>
        <n v="1449478.0"/>
        <n v="114449.4"/>
        <n v="153243.8"/>
        <n v="462312.1"/>
        <n v="261402.1"/>
        <n v="2138574.0"/>
        <n v="69844.38"/>
        <n v="69928.35"/>
        <n v="1205177.0"/>
        <n v="3325343.0"/>
        <n v="61820.58"/>
        <n v="1416553.0"/>
        <n v="1052361.0"/>
        <n v="449986.1"/>
        <n v="218554.7"/>
        <n v="118198.0"/>
        <n v="309352.5"/>
        <n v="73240.5"/>
        <n v="4387853.0"/>
        <n v="370769.4"/>
        <n v="146047.0"/>
        <n v="208590.2"/>
        <n v="395590.7"/>
        <n v="2948407.0"/>
        <n v="4254355.0"/>
        <n v="616557.8"/>
        <n v="514927.4"/>
        <n v="2506013.0"/>
        <n v="1052802.0"/>
        <n v="300975.1"/>
        <n v="2516523.0"/>
        <n v="163120.1"/>
        <n v="1469443.0"/>
        <n v="778093.4"/>
        <n v="884920.6"/>
        <n v="1077064.0"/>
        <n v="107263.7"/>
        <n v="267238.4"/>
        <n v="84193.92"/>
        <n v="345910.5"/>
        <n v="36125.76"/>
        <n v="1083408.0"/>
        <n v="140348.7"/>
        <n v="399007.1"/>
        <n v="907461.1"/>
        <n v="2733128.0"/>
        <n v="4488101.0"/>
        <n v="1300592.0"/>
        <n v="6222262.0"/>
        <n v="522270.4"/>
        <n v="739151.3"/>
        <n v="752565.4"/>
        <n v="20572.65"/>
        <n v="87450.09"/>
        <n v="273992.4"/>
        <n v="571537.9"/>
        <n v="1535684.0"/>
        <n v="1074165.0"/>
        <n v="62768.64"/>
        <n v="652729.4"/>
        <n v="2144029.0"/>
        <n v="1600589.0"/>
        <n v="50120.76"/>
        <n v="568146.7"/>
        <n v="814014.3"/>
        <n v="1336.54"/>
        <n v="297603.0"/>
        <n v="1523359.0"/>
        <n v="1831141.0"/>
        <n v="453574.6"/>
        <n v="274609.5"/>
        <n v="52630.53"/>
        <n v="189244.0"/>
        <n v="1951360.0"/>
        <n v="271343.6"/>
        <n v="1539047.0"/>
        <n v="317867.6"/>
        <n v="4183567.0"/>
        <n v="753295.6"/>
        <n v="547981.4"/>
        <n v="396705.1"/>
        <n v="70704.16"/>
        <n v="473799.7"/>
        <n v="9012.78"/>
        <n v="517712.0"/>
        <n v="944622.8"/>
        <n v="84287.22"/>
        <n v="153500.8"/>
        <n v="6340181.0"/>
        <n v="165231.4"/>
        <n v="79930.11"/>
        <n v="604140.9"/>
        <n v="1613268.0"/>
        <n v="157248.5"/>
        <n v="2522207.0"/>
        <n v="588582.1"/>
        <n v="2034071.0"/>
        <n v="1829723.0"/>
        <n v="55522.83"/>
        <n v="54991.02"/>
        <n v="3446448.0"/>
        <n v="4051970.0"/>
        <n v="2958431.0"/>
        <n v="1067993.0"/>
        <n v="5846026.0"/>
        <n v="63677.25"/>
        <n v="4350438.0"/>
        <n v="191003.0"/>
        <n v="278768.8"/>
        <n v="6745.59"/>
        <n v="4890587.0"/>
        <n v="1357504.0"/>
        <n v="941488.9"/>
        <n v="966572.4"/>
        <n v="25582.86"/>
        <n v="727348.9"/>
        <n v="25728.02"/>
        <n v="960571.2"/>
        <n v="70133.61"/>
        <n v="3513764.0"/>
        <n v="377464.8"/>
        <n v="2395080.0"/>
        <n v="781024.2"/>
        <n v="3797778.0"/>
        <n v="669964.9"/>
        <n v="919430.1"/>
        <n v="329635.2"/>
        <n v="345649.1"/>
        <n v="352797.0"/>
        <n v="59549.75"/>
        <n v="105671.2"/>
        <n v="359908.3"/>
        <n v="362755.3"/>
        <n v="3178960.0"/>
        <n v="1707516.0"/>
        <n v="6473531.0"/>
        <n v="1513541.0"/>
        <n v="84840.6"/>
        <n v="39312.13"/>
        <n v="458020.4"/>
        <n v="3898019.0"/>
        <n v="5117612.0"/>
        <n v="333376.7"/>
        <n v="25713.48"/>
        <n v="397773.4"/>
        <n v="1183335.0"/>
        <n v="679096.5"/>
        <n v="2905638.0"/>
        <n v="81434.32"/>
        <n v="1830358.0"/>
        <n v="1394852.0"/>
        <n v="2046243.0"/>
        <n v="64899.48"/>
        <n v="68185.65"/>
        <n v="1661618.0"/>
        <n v="344001.6"/>
        <n v="393954.4"/>
        <n v="892623.6"/>
        <n v="5799676.0"/>
        <n v="609563.8"/>
        <n v="2342755.0"/>
        <n v="6045834.0"/>
        <n v="239954.7"/>
        <n v="669287.0"/>
        <n v="492668.4"/>
        <n v="27579.48"/>
        <n v="588145.0"/>
        <n v="1039751.0"/>
        <n v="276587.7"/>
        <n v="48823.89"/>
        <n v="6115513.0"/>
        <n v="61316.76"/>
        <n v="57618.44"/>
        <n v="930579.1"/>
        <n v="611650.9"/>
        <n v="242656.4"/>
        <n v="2054604.0"/>
        <n v="2997443.0"/>
        <n v="1061218.0"/>
        <n v="102407.7"/>
        <n v="561957.5"/>
        <n v="4561611.0"/>
        <n v="1696846.0"/>
        <n v="1037902.0"/>
        <n v="3302286.0"/>
        <n v="1368316.0"/>
        <n v="1299524.0"/>
        <n v="44168.22"/>
        <n v="935578.0"/>
        <n v="1100641.0"/>
        <n v="267478.3"/>
        <n v="85503.3"/>
        <n v="867820.0"/>
        <n v="4759419.0"/>
        <n v="77532.3"/>
        <n v="2428479.0"/>
        <n v="2058272.0"/>
        <n v="78297.36"/>
        <n v="63985.14"/>
        <n v="1066249.0"/>
        <n v="2311816.0"/>
        <n v="512563.1"/>
        <n v="173645.9"/>
        <n v="1366820.0"/>
        <n v="4179632.0"/>
        <n v="1995779.0"/>
        <n v="1714715.0"/>
        <n v="2001395.0"/>
        <n v="12969.3"/>
        <n v="7977.15"/>
        <n v="453010.0"/>
        <n v="11886.42"/>
        <n v="1574016.0"/>
        <n v="68109.0"/>
        <n v="41854.38"/>
        <n v="1934001.0"/>
        <n v="1325994.0"/>
        <n v="2803037.0"/>
        <n v="429673.3"/>
        <n v="788686.0"/>
        <n v="2636993.0"/>
        <n v="689884.6"/>
        <n v="630303.7"/>
        <n v="627485.8"/>
        <n v="1120700.0"/>
        <n v="707826.8"/>
        <n v="2585601.0"/>
        <n v="948071.3"/>
        <n v="1050477.0"/>
        <n v="3442950.0"/>
        <n v="886948.0"/>
        <n v="335993.5"/>
        <n v="6231428.0"/>
        <n v="42947.04"/>
        <n v="257531.2"/>
        <n v="5662252.0"/>
        <n v="1389621.0"/>
        <n v="690959.1"/>
        <n v="1005807.0"/>
        <n v="630875.7"/>
        <n v="369161.0"/>
        <n v="1395105.0"/>
        <n v="1078266.0"/>
        <n v="86395.8"/>
        <n v="490236.2"/>
        <n v="2206896.0"/>
        <n v="6305666.0"/>
        <n v="6202882.0"/>
        <n v="920918.9"/>
        <n v="3938765.0"/>
        <n v="92908.14"/>
        <n v="6329853.0"/>
        <n v="625122.3"/>
        <n v="435310.7"/>
        <n v="800558.1"/>
        <n v="420337.4"/>
        <n v="1444131.0"/>
        <n v="1970023.0"/>
        <n v="214901.1"/>
        <n v="1073910.0"/>
        <n v="1826018.0"/>
        <n v="1050181.0"/>
        <n v="88159.17"/>
        <n v="1066560.0"/>
        <n v="2168529.0"/>
        <n v="379748.0"/>
        <n v="1403412.0"/>
        <n v="387476.7"/>
        <n v="1532701.0"/>
        <n v="921462.2"/>
        <n v="53333.8"/>
        <n v="726252.8"/>
        <n v="124066.1"/>
        <n v="414855.4"/>
        <n v="929317.1"/>
        <n v="15385.17"/>
        <n v="1397353.0"/>
        <n v="324855.3"/>
        <n v="100855.4"/>
        <n v="363883.3"/>
        <n v="57183.57"/>
        <n v="1829249.0"/>
        <n v="1893719.0"/>
        <n v="701897.4"/>
        <n v="375519.3"/>
        <n v="26396.34"/>
        <n v="61087.52"/>
        <n v="49682.25"/>
        <n v="420815.6"/>
        <n v="2086914.0"/>
        <n v="423443.8"/>
        <n v="1930906.0"/>
        <n v="920200.4"/>
        <n v="929487.2"/>
        <n v="511171.1"/>
        <n v="97509.75"/>
        <n v="1919940.0"/>
        <n v="3096251.0"/>
        <n v="2310795.0"/>
        <n v="2205874.0"/>
        <n v="416089.1"/>
        <n v="85154.91"/>
        <n v="221538.3"/>
        <n v="2979816.0"/>
        <n v="1382534.0"/>
        <n v="229007.5"/>
        <n v="3770506.0"/>
        <n v="1230450.0"/>
        <n v="3847797.0"/>
        <n v="401822.6"/>
        <n v="606436.6"/>
        <n v="776000.2"/>
        <n v="2380378.0"/>
        <n v="1453065.0"/>
        <n v="77818.0"/>
        <n v="64388.76"/>
        <n v="406599.1"/>
        <n v="676315.8"/>
        <n v="411220.6"/>
        <n v="687152.6"/>
        <n v="1407492.0"/>
        <n v="214459.5"/>
        <n v="84921.66"/>
        <n v="74154.84"/>
        <n v="146530.7"/>
        <n v="835467.4"/>
        <n v="1983425.0"/>
        <n v="58273.49"/>
        <n v="3583291.0"/>
        <n v="408108.8"/>
        <n v="294672.8"/>
        <n v="469660.1"/>
        <n v="1504696.0"/>
        <n v="361521.6"/>
        <n v="1923024.0"/>
        <n v="342996.6"/>
        <n v="153880.4"/>
        <n v="1571959.0"/>
        <n v="5768418.0"/>
        <n v="716853.8"/>
        <n v="61352.85"/>
        <n v="349421.8"/>
        <n v="814112.5"/>
        <n v="5916894.0"/>
        <n v="1043911.0"/>
        <n v="885547.1"/>
        <n v="672399.8"/>
        <n v="3090567.0"/>
        <n v="771224.4"/>
        <n v="3129915.0"/>
        <n v="1201863.0"/>
        <n v="2050664.0"/>
        <n v="266587.2"/>
        <n v="2005224.0"/>
        <n v="240097.0"/>
        <n v="68015.7"/>
        <n v="45362.2"/>
        <n v="1463724.0"/>
        <n v="1293950.0"/>
        <n v="39057.84"/>
        <n v="2374359.0"/>
        <n v="4825466.0"/>
        <n v="5398285.0"/>
        <n v="158147.6"/>
        <n v="134282.4"/>
        <n v="1061936.0"/>
        <n v="2402185.0"/>
        <n v="3474866.0"/>
        <n v="502445.9"/>
        <n v="2125549.0"/>
        <n v="842221.0"/>
        <n v="894501.1"/>
        <n v="2441753.0"/>
        <n v="200419.5"/>
        <n v="392980.9"/>
        <n v="36536.28"/>
        <n v="889234.3"/>
        <n v="983835.8"/>
        <n v="41957.01"/>
        <n v="1844143.0"/>
        <n v="2878555.0"/>
        <n v="821348.5"/>
        <n v="114780.6"/>
        <n v="4037979.0"/>
        <n v="36079.11"/>
        <n v="1037544.0"/>
        <n v="1892391.0"/>
        <n v="3112864.0"/>
        <n v="1906629.0"/>
        <n v="1480671.0"/>
        <n v="3489.42"/>
        <n v="2704956.0"/>
        <n v="295617.4"/>
        <n v="822478.2"/>
        <n v="977897.8"/>
        <n v="1140920.0"/>
        <n v="567860.0"/>
        <n v="1088742.0"/>
        <n v="3918735.0"/>
        <n v="1877013.0"/>
        <n v="4077989.0"/>
        <n v="3942670.0"/>
        <n v="2357380.0"/>
        <n v="2988669.0"/>
        <n v="194926.1"/>
        <n v="452103.6"/>
        <n v="44788.04"/>
        <n v="493289.9"/>
        <n v="23539.59"/>
        <n v="556624.2"/>
        <n v="247878.8"/>
        <n v="594095.4"/>
        <n v="881233.9"/>
        <n v="183394.3"/>
        <n v="241757.3"/>
        <n v="288989.2"/>
        <n v="888829.7"/>
        <n v="679830.1"/>
        <n v="990623.2"/>
        <n v="218.56"/>
        <n v="539826.7"/>
        <n v="212140.6"/>
        <n v="5917531.0"/>
        <n v="255665.3"/>
        <n v="96612.81"/>
        <n v="1287017.0"/>
        <n v="3224083.0"/>
        <n v="636268.1"/>
        <n v="24009.7"/>
        <n v="216466.9"/>
        <n v="60235.01"/>
        <n v="4460789.0"/>
        <n v="2322844.0"/>
        <n v="710693.5"/>
        <n v="795452.5"/>
        <n v="957268.4"/>
        <n v="3855814.0"/>
        <n v="10318.98"/>
        <n v="1265035.0"/>
        <n v="1118126.0"/>
        <n v="185448.2"/>
        <n v="3936986.0"/>
        <n v="694378.1"/>
        <n v="208495.3"/>
        <n v="650080.4"/>
        <n v="22970.46"/>
        <n v="2102231.0"/>
        <n v="623027.8"/>
        <n v="189.8"/>
        <n v="2865055.0"/>
        <n v="2808573.0"/>
        <n v="4100499.0"/>
        <n v="1381552.0"/>
        <n v="1125100.0"/>
        <n v="78148.08"/>
        <n v="759390.7"/>
        <n v="1781059.0"/>
        <n v="441901.9"/>
        <n v="3966610.0"/>
        <n v="1483993.0"/>
        <n v="191745.5"/>
        <n v="5294989.0"/>
        <n v="990445.5"/>
        <n v="1377605.0"/>
        <n v="113405.5"/>
        <n v="1866110.0"/>
        <n v="92637.57"/>
        <n v="5302722.0"/>
        <n v="252954.4"/>
        <n v="1531642.0"/>
        <n v="503.82"/>
        <n v="515155.0"/>
        <n v="13705.77"/>
        <n v="936092.5"/>
        <n v="77646.24"/>
        <n v="2744394.0"/>
        <n v="720655.4"/>
        <n v="3386551.0"/>
        <n v="538682.4"/>
        <n v="4367014.0"/>
        <n v="508284.7"/>
        <n v="199144.5"/>
        <n v="558929.7"/>
        <n v="2025902.0"/>
        <n v="625628.0"/>
        <n v="998304.9"/>
        <n v="756982.6"/>
        <n v="2322504.0"/>
        <n v="73688.34"/>
        <n v="552903.5"/>
        <n v="370465.7"/>
        <n v="1206964.0"/>
        <n v="470013.3"/>
        <n v="551410.2"/>
        <n v="291122.3"/>
        <n v="139763.3"/>
        <n v="104628.7"/>
        <n v="72254.14"/>
        <n v="1158993.0"/>
        <n v="4101810.0"/>
        <n v="702351.8"/>
        <n v="89250.78"/>
        <n v="6011757.0"/>
        <n v="50736.54"/>
        <n v="853061.6"/>
        <n v="319564.3"/>
        <n v="677247.8"/>
        <n v="79062.42"/>
        <n v="5738463.0"/>
        <n v="1462244.0"/>
        <n v="128397.8"/>
        <n v="1176604.0"/>
        <n v="1971840.0"/>
        <n v="248498.8"/>
        <n v="993755.6"/>
        <n v="84632.43"/>
        <n v="168728.3"/>
        <n v="1287682.0"/>
        <n v="1181946.0"/>
        <n v="182255.5"/>
        <n v="817218.3"/>
        <n v="2101434.0"/>
        <n v="2324614.0"/>
        <n v="3478764.0"/>
        <n v="12479.35"/>
        <n v="471472.2"/>
        <n v="708680.8"/>
        <n v="1355978.0"/>
        <n v="362897.6"/>
        <n v="55028.34"/>
        <n v="1687146.0"/>
        <n v="4129037.0"/>
        <n v="816103.0"/>
        <n v="413716.6"/>
        <n v="707666.0"/>
        <n v="274285.9"/>
        <n v="550115.5"/>
        <n v="3000941.0"/>
        <n v="5255265.0"/>
        <n v="45772.98"/>
        <n v="1444630.0"/>
        <n v="2468868.0"/>
        <n v="565955.8"/>
        <n v="1487502.0"/>
        <n v="710412.5"/>
        <n v="77960.3"/>
        <n v="1597834.0"/>
        <n v="1349626.0"/>
        <n v="1130338.0"/>
        <n v="59460.09"/>
        <n v="2610263.0"/>
        <n v="368584.9"/>
        <n v="427714.3"/>
        <n v="977181.8"/>
        <n v="19350.42"/>
        <n v="1093236.0"/>
        <n v="3342018.0"/>
        <n v="161282.6"/>
        <n v="1475540.0"/>
        <n v="2120611.0"/>
        <n v="66551.52"/>
        <n v="239859.8"/>
        <n v="1978628.0"/>
        <n v="4068146.0"/>
        <n v="485595.4"/>
        <n v="2354447.0"/>
        <n v="1051274.0"/>
        <n v="3563421.0"/>
        <n v="848168.0"/>
        <n v="187337.0"/>
        <n v="357013.8"/>
        <n v="435878.3"/>
        <n v="1264583.0"/>
        <n v="2774471.0"/>
        <n v="5776526.0"/>
        <n v="2969518.0"/>
        <n v="840258.1"/>
        <n v="6633248.0"/>
        <n v="5399182.0"/>
        <n v="3420262.0"/>
        <n v="3177570.0"/>
        <n v="777778.8"/>
        <n v="5394944.0"/>
        <n v="1607823.0"/>
        <n v="402696.8"/>
        <n v="680791.1"/>
        <n v="2009483.0"/>
        <n v="3688850.0"/>
        <n v="490557.9"/>
        <n v="389302.0"/>
        <n v="2172178.0"/>
        <n v="443657.5"/>
        <n v="3251492.0"/>
        <n v="3547673.0"/>
        <n v="785016.7"/>
        <n v="55623.52"/>
        <n v="18173.35"/>
        <n v="1721503.0"/>
        <n v="219551.2"/>
        <n v="59236.17"/>
        <n v="225574.8"/>
        <n v="12457.92"/>
        <n v="1709610.0"/>
        <n v="371391.2"/>
        <n v="569366.0"/>
        <n v="16719.84"/>
        <n v="439992.3"/>
        <n v="52453.5"/>
        <n v="6493866.0"/>
        <n v="584965.8"/>
        <n v="2643141.0"/>
        <n v="424392.8"/>
        <n v="1386936.0"/>
        <n v="695020.8"/>
        <n v="676015.3"/>
        <n v="752651.6"/>
        <n v="1701415.0"/>
        <n v="648777.8"/>
        <n v="86359.0"/>
        <n v="2683220.0"/>
        <n v="4426620.0"/>
        <n v="1037286.0"/>
        <n v="2522136.0"/>
        <n v="3817158.0"/>
        <n v="1303293.0"/>
        <n v="104517.3"/>
        <n v="1496196.0"/>
        <n v="1676866.0"/>
        <n v="4510932.0"/>
        <n v="863608.8"/>
        <n v="146857.8"/>
        <n v="107426.8"/>
        <n v="2524056.0"/>
        <n v="3886708.0"/>
        <n v="578274.5"/>
        <n v="37548.21"/>
        <n v="2257186.0"/>
        <n v="309658.7"/>
        <n v="497551.8"/>
        <n v="12726.12"/>
        <n v="812496.8"/>
        <n v="68415.04"/>
        <n v="2400143.0"/>
        <n v="912996.4"/>
        <n v="2128290.0"/>
        <n v="443712.2"/>
        <n v="61052.31"/>
        <n v="51445.62"/>
        <n v="994149.2"/>
        <n v="347381.5"/>
        <n v="1645793.0"/>
        <n v="427666.9"/>
        <n v="5015366.0"/>
        <n v="11718.48"/>
        <n v="1826184.0"/>
        <n v="788127.4"/>
        <n v="1457625.0"/>
        <n v="388621.3"/>
        <n v="4603044.0"/>
        <n v="827441.3"/>
        <n v="86330.49"/>
        <n v="710975.7"/>
        <n v="68519.52"/>
        <n v="3779713.0"/>
        <n v="27283.75"/>
        <n v="5500771.0"/>
        <n v="375992.0"/>
        <n v="478033.1"/>
        <n v="213560.5"/>
        <n v="561647.0"/>
        <n v="1835738.0"/>
        <n v="1423086.0"/>
        <n v="441520.4"/>
        <n v="4897750.0"/>
        <n v="1269313.0"/>
        <n v="507059.2"/>
        <n v="6865.32"/>
        <n v="49253.07"/>
        <n v="736993.4"/>
        <n v="1737502.0"/>
        <n v="946236.5"/>
        <n v="185363.6"/>
        <n v="1148734.0"/>
        <n v="1069828.0"/>
        <n v="197676.7"/>
        <n v="2540094.0"/>
        <n v="114983.6"/>
        <n v="775944.6"/>
        <n v="3994455.0"/>
        <n v="3468321.0"/>
        <n v="302074.1"/>
        <n v="1862202.0"/>
        <n v="266557.3"/>
        <n v="349943.8"/>
        <n v="703326.1"/>
        <n v="257858.2"/>
        <n v="5720880.0"/>
        <n v="61699.29"/>
        <n v="1775983.0"/>
        <n v="913391.9"/>
        <n v="132157.4"/>
        <n v="1025795.0"/>
        <n v="281283.6"/>
        <n v="1494844.0"/>
        <n v="453928.4"/>
        <n v="770435.0"/>
        <n v="1321343.0"/>
        <n v="166538.9"/>
        <n v="3949476.0"/>
        <n v="123284.6"/>
        <n v="71407.44"/>
        <n v="131748.8"/>
        <n v="2041474.0"/>
        <n v="441995.8"/>
        <n v="62156.46"/>
        <n v="4303847.0"/>
        <n v="778947.8"/>
        <n v="174003.2"/>
        <n v="23856.81"/>
        <n v="284483.1"/>
        <n v="80368.62"/>
        <n v="298223.3"/>
        <n v="712339.1"/>
        <n v="834001.0"/>
        <n v="5191790.0"/>
        <n v="486272.5"/>
        <n v="222777.8"/>
        <n v="639163.4"/>
        <n v="92413.65"/>
        <n v="665936.0"/>
        <n v="399002.6"/>
        <n v="5010688.0"/>
        <n v="146024.8"/>
        <n v="998462.9"/>
        <n v="3957750.0"/>
        <n v="368520.6"/>
        <n v="2919672.0"/>
        <n v="538747.8"/>
        <n v="378327.4"/>
        <n v="1210912.0"/>
        <n v="347476.4"/>
        <n v="214047.0"/>
        <n v="432601.7"/>
        <n v="1252141.0"/>
        <n v="1970460.0"/>
        <n v="994148.1"/>
        <n v="725314.8"/>
        <n v="744572.0"/>
        <n v="134960.8"/>
        <n v="4274504.0"/>
        <n v="699501.3"/>
        <n v="430846.0"/>
        <n v="1883853.0"/>
        <n v="3031383.0"/>
        <n v="1320580.0"/>
        <n v="141273.0"/>
        <n v="704362.3"/>
        <n v="1220238.0"/>
        <n v="569733.7"/>
        <n v="3780403.0"/>
        <n v="275406.9"/>
        <n v="2388861.0"/>
        <n v="759496.0"/>
        <n v="3765604.0"/>
        <n v="4148022.0"/>
        <n v="882706.8"/>
        <n v="171579.2"/>
        <n v="1048247.0"/>
        <n v="2582048.0"/>
        <n v="2007426.0"/>
        <n v="5889543.0"/>
        <n v="280673.4"/>
        <n v="451534.2"/>
        <n v="37273.35"/>
        <n v="5711704.0"/>
        <n v="2526251.0"/>
        <n v="786522.8"/>
        <n v="6103.2"/>
        <n v="812715.4"/>
        <n v="5755394.0"/>
        <n v="3988010.0"/>
        <n v="1401663.0"/>
        <n v="261917.3"/>
        <n v="526180.6"/>
        <n v="370394.7"/>
        <n v="1356806.0"/>
        <n v="1952507.0"/>
        <n v="981054.1"/>
        <n v="235607.7"/>
        <n v="176046.4"/>
        <n v="1499819.0"/>
        <n v="2440013.0"/>
        <n v="41863.71"/>
        <n v="1760998.0"/>
        <n v="29090.94"/>
        <n v="1406338.0"/>
        <n v="9153.76"/>
        <n v="31152.87"/>
        <n v="2203577.0"/>
        <n v="69514.25"/>
        <n v="893149.4"/>
        <n v="1380554.0"/>
        <n v="81740.13"/>
        <n v="272216.5"/>
        <n v="439387.0"/>
        <n v="81712.14"/>
        <n v="1184812.0"/>
        <n v="2519869.0"/>
        <n v="48731.15"/>
        <n v="37282.68"/>
        <n v="409256.3"/>
        <n v="458227.6"/>
        <n v="1573975.0"/>
        <n v="1642216.0"/>
        <n v="148503.4"/>
        <n v="169586.3"/>
        <n v="5691575.0"/>
        <n v="65575.9"/>
        <n v="621148.0"/>
        <n v="133256.2"/>
        <n v="1061199.0"/>
        <n v="328034.8"/>
        <n v="3354447.0"/>
        <n v="1146052.0"/>
        <n v="45442.36"/>
        <n v="1683860.0"/>
        <n v="95869.29"/>
        <n v="35961.2"/>
        <n v="1130635.0"/>
        <n v="743605.5"/>
        <n v="2320817.0"/>
        <n v="6267896.0"/>
        <n v="23819.49"/>
        <n v="1260885.0"/>
        <n v="4068760.0"/>
        <n v="14519.7"/>
        <n v="6516301.0"/>
        <n v="106657.7"/>
        <n v="5830656.0"/>
        <n v="1201052.0"/>
        <n v="563645.0"/>
        <n v="342693.9"/>
        <n v="1270379.0"/>
        <n v="351509.6"/>
        <n v="124366.5"/>
        <n v="4465998.0"/>
        <n v="13441.44"/>
        <n v="211342.3"/>
        <n v="1834433.0"/>
        <n v="2016804.0"/>
        <n v="2468302.0"/>
        <n v="1791767.0"/>
        <n v="853492.4"/>
        <n v="569994.7"/>
        <n v="926048.6"/>
        <n v="320265.4"/>
        <n v="1189971.0"/>
        <n v="28129.95"/>
        <n v="511787.3"/>
        <n v="110154.2"/>
        <n v="652241.9"/>
        <n v="4972597.0"/>
        <n v="824299.1"/>
        <n v="73794.74"/>
        <n v="1814922.0"/>
        <n v="119775.3"/>
        <n v="3118548.0"/>
        <n v="72313.8"/>
        <n v="875368.9"/>
        <n v="2134141.0"/>
        <n v="88582.16"/>
        <n v="3989814.0"/>
        <n v="3703552.0"/>
        <n v="3567980.0"/>
        <n v="894019.7"/>
        <n v="4045925.0"/>
        <n v="5000642.0"/>
        <n v="1148363.0"/>
        <n v="3976207.0"/>
        <n v="1488240.0"/>
        <n v="1890859.0"/>
        <n v="1464310.0"/>
        <n v="425389.3"/>
        <n v="5016922.0"/>
        <n v="16031.82"/>
        <n v="67371.93"/>
        <n v="1697406.0"/>
        <n v="689666.1"/>
        <n v="386484.8"/>
        <n v="860398.6"/>
        <n v="18529.38"/>
        <n v="78073.44"/>
        <n v="49057.14"/>
        <n v="108259.7"/>
        <n v="124129.2"/>
        <n v="85705.38"/>
        <n v="401996.4"/>
        <n v="1255593.0"/>
        <n v="6510286.0"/>
        <n v="193596.0"/>
        <n v="3802415.0"/>
        <n v="81889.41"/>
        <n v="2215320.0"/>
        <n v="5444116.0"/>
        <n v="682108.2"/>
        <n v="2274677.0"/>
        <n v="224675.8"/>
        <n v="1873755.0"/>
        <n v="653347.6"/>
        <n v="608252.5"/>
        <n v="2156507.0"/>
        <n v="300500.9"/>
        <n v="2615768.0"/>
        <n v="129098.3"/>
        <n v="773574.5"/>
        <n v="100139.0"/>
        <n v="1349199.0"/>
        <n v="143678.6"/>
        <n v="1336906.0"/>
        <n v="395666.0"/>
        <n v="3953600.0"/>
        <n v="525523.9"/>
        <n v="531980.6"/>
        <n v="44336.16"/>
        <n v="1545805.0"/>
        <n v="1600963.0"/>
        <n v="411628.8"/>
        <n v="6641936.0"/>
        <n v="453362.8"/>
        <n v="664628.4"/>
        <n v="4955890.0"/>
        <n v="194299.8"/>
        <n v="93066.75"/>
        <n v="26040.03"/>
        <n v="2053472.0"/>
        <n v="456298.6"/>
        <n v="470847.3"/>
        <n v="1089358.0"/>
        <n v="54785.76"/>
        <n v="2812319.0"/>
        <n v="211579.6"/>
        <n v="1604435.0"/>
        <n v="2620781.0"/>
        <n v="27788.2"/>
        <n v="85267.65"/>
        <n v="469538.9"/>
        <n v="1117361.0"/>
        <n v="837675.2"/>
        <n v="89717.28"/>
        <n v="7137.45"/>
        <n v="1449735.0"/>
        <n v="4367665.0"/>
        <n v="30126.57"/>
        <n v="2910003.0"/>
        <n v="593499.7"/>
        <n v="2124.98"/>
        <n v="1634904.0"/>
        <n v="713666.4"/>
        <n v="5825073.0"/>
        <n v="1096440.0"/>
        <n v="431083.3"/>
        <n v="1539694.0"/>
        <n v="14302.89"/>
        <n v="2277933.0"/>
        <n v="498561.8"/>
        <n v="293416.8"/>
        <n v="3589862.0"/>
        <n v="1804002.0"/>
        <n v="152426.5"/>
        <n v="1324137.0"/>
        <n v="48376.05"/>
        <n v="3146647.0"/>
        <n v="196110.9"/>
        <n v="3424215.0"/>
        <n v="1048682.0"/>
        <n v="73640.68"/>
        <n v="836993.3"/>
        <n v="370442.2"/>
        <n v="3748493.0"/>
        <n v="4249796.0"/>
        <n v="2947324.0"/>
        <n v="405697.5"/>
        <n v="1006782.0"/>
        <n v="2116526.0"/>
        <n v="680065.9"/>
        <n v="3430898.0"/>
        <n v="473050.4"/>
        <n v="1271155.0"/>
        <n v="841475.7"/>
        <n v="1092363.0"/>
        <n v="93998.0"/>
        <n v="2846914.0"/>
        <n v="986323.2"/>
        <n v="4298313.0"/>
        <n v="154060.0"/>
        <n v="385275.2"/>
        <n v="5586737.0"/>
        <n v="6519642.0"/>
        <n v="956200.0"/>
        <n v="105481.4"/>
        <n v="1868785.0"/>
        <n v="1085890.0"/>
        <n v="5866074.0"/>
        <n v="3066023.0"/>
        <n v="796377.1"/>
        <n v="1710396.0"/>
        <n v="4165790.0"/>
        <n v="3113738.0"/>
        <n v="2383679.0"/>
        <n v="456244.0"/>
        <n v="1766027.0"/>
        <n v="2167249.0"/>
        <n v="100356.8"/>
        <n v="3447685.0"/>
        <n v="862839.9"/>
        <n v="187190.3"/>
        <n v="1946414.0"/>
        <n v="3659149.0"/>
        <n v="1629144.0"/>
        <n v="5920204.0"/>
        <n v="5192097.0"/>
        <n v="278916.2"/>
        <n v="428236.3"/>
        <n v="246360.4"/>
        <n v="379125.5"/>
        <n v="322249.0"/>
        <n v="349967.9"/>
        <n v="2107336.0"/>
        <n v="1497725.0"/>
        <n v="194955.5"/>
        <n v="84025.98"/>
        <n v="691563.4"/>
        <n v="5707204.0"/>
        <n v="672509.1"/>
        <n v="79360.98"/>
        <n v="897399.5"/>
        <n v="22276.68"/>
        <n v="137340.6"/>
        <n v="884949.4"/>
        <n v="6039973.0"/>
        <n v="37382.1"/>
        <n v="146715.4"/>
        <n v="37963.77"/>
        <n v="13640.46"/>
        <n v="384213.9"/>
        <n v="2246719.0"/>
        <n v="309324.8"/>
        <n v="1351242.0"/>
        <n v="1757603.0"/>
        <n v="5019.54"/>
        <n v="3666129.0"/>
        <n v="955913.7"/>
        <n v="2968455.0"/>
        <n v="1931112.0"/>
        <n v="451012.3"/>
        <n v="1308221.0"/>
        <n v="688272.2"/>
        <n v="1127102.0"/>
        <n v="65813.82"/>
        <n v="375385.9"/>
        <n v="1348389.0"/>
        <n v="1078558.0"/>
        <n v="3414969.0"/>
        <n v="826091.2"/>
        <n v="5241242.0"/>
        <n v="975045.7"/>
        <n v="540438.4"/>
        <n v="859500.7"/>
        <n v="455399.6"/>
        <n v="709416.4"/>
        <n v="775560.2"/>
        <n v="1037962.0"/>
        <n v="577057.6"/>
        <n v="1005655.0"/>
        <n v="1656988.0"/>
        <n v="3260366.0"/>
        <n v="850744.8"/>
        <n v="3498951.0"/>
        <n v="1376064.0"/>
        <n v="976744.6"/>
        <n v="1885253.0"/>
        <n v="143020.7"/>
        <n v="1207368.0"/>
        <n v="1743554.0"/>
        <n v="1933736.0"/>
        <n v="63453.33"/>
        <n v="475341.7"/>
        <n v="388663.0"/>
        <n v="3358570.0"/>
        <n v="18635.44"/>
        <n v="3577608.0"/>
        <n v="2999192.0"/>
        <n v="5335468.0"/>
        <n v="162151.3"/>
        <n v="49504.98"/>
        <n v="97956.36"/>
        <n v="3625700.0"/>
        <n v="4771416.0"/>
        <n v="1362353.0"/>
        <n v="247366.3"/>
        <n v="795441.9"/>
        <n v="3080875.0"/>
        <n v="227372.9"/>
        <n v="39904.41"/>
        <n v="819600.0"/>
        <n v="5193126.0"/>
        <n v="22737.21"/>
        <n v="896865.2"/>
        <n v="1900614.0"/>
        <n v="1146781.0"/>
        <n v="254915.9"/>
        <n v="276978.8"/>
        <n v="126334.7"/>
        <n v="307143.5"/>
        <n v="15517.76"/>
        <n v="1330009.0"/>
        <n v="468758.6"/>
        <n v="1678848.0"/>
        <n v="2251059.0"/>
        <n v="169254.2"/>
        <n v="1825176.0"/>
        <n v="208738.4"/>
        <n v="364434.1"/>
        <n v="641372.4"/>
        <n v="511987.3"/>
        <n v="2258396.0"/>
        <n v="1589146.0"/>
        <n v="644345.3"/>
        <n v="930368.3"/>
        <n v="206976.3"/>
        <n v="644604.5"/>
        <n v="3124668.0"/>
        <n v="737876.9"/>
        <n v="149230.3"/>
        <n v="970423.9"/>
        <n v="3615518.0"/>
        <n v="198863.0"/>
        <n v="646624.2"/>
        <n v="450779.6"/>
        <n v="519189.3"/>
        <n v="1436998.0"/>
        <n v="827456.3"/>
        <n v="2059608.0"/>
        <n v="36467.76"/>
        <n v="637102.4"/>
        <n v="1433935.0"/>
        <n v="1387997.0"/>
        <n v="1333244.0"/>
        <n v="1115899.0"/>
        <n v="3402572.0"/>
        <n v="98300.37"/>
        <n v="2249931.0"/>
        <n v="1175934.0"/>
        <n v="1207676.0"/>
        <n v="2417852.0"/>
        <n v="432596.9"/>
        <n v="69685.77"/>
        <n v="3406480.0"/>
        <n v="701570.3"/>
        <n v="1045372.0"/>
        <n v="343632.9"/>
        <n v="558064.1"/>
        <n v="1795143.0"/>
        <n v="75208.25"/>
        <n v="1023485.0"/>
        <n v="3644822.0"/>
        <n v="1172243.0"/>
        <n v="4339012.0"/>
        <n v="1661233.0"/>
        <n v="6146079.0"/>
        <n v="2869231.0"/>
        <n v="47673.57"/>
        <n v="1815303.0"/>
        <n v="801607.8"/>
        <n v="67614.51"/>
        <n v="1184375.0"/>
        <n v="1494216.0"/>
        <n v="2330451.0"/>
        <n v="694854.6"/>
        <n v="1491579.0"/>
        <n v="3241401.0"/>
        <n v="364463.5"/>
        <n v="974403.8"/>
        <n v="555543.8"/>
        <n v="1078574.0"/>
        <n v="63422.48"/>
        <n v="2525392.0"/>
        <n v="343305.0"/>
        <n v="1630605.0"/>
        <n v="1629444.0"/>
        <n v="5778838.0"/>
        <n v="160001.4"/>
        <n v="157486.6"/>
        <n v="471502.2"/>
        <n v="634111.0"/>
        <n v="21626.94"/>
        <n v="73982.56"/>
        <n v="195865.6"/>
        <n v="45875.61"/>
        <n v="1123487.0"/>
        <n v="192420.9"/>
        <n v="229752.9"/>
        <n v="4290823.0"/>
        <n v="403255.8"/>
        <n v="38248.0"/>
        <n v="144286.4"/>
        <n v="1943791.0"/>
        <n v="1898405.0"/>
        <n v="507011.5"/>
        <n v="988072.0"/>
        <n v="310492.3"/>
        <n v="1736834.0"/>
        <n v="2353885.0"/>
        <n v="1215687.0"/>
        <n v="2542844.0"/>
        <n v="237904.1"/>
        <n v="158801.4"/>
        <n v="2785740.0"/>
        <n v="3478483.0"/>
        <n v="72895.29"/>
        <n v="1263362.0"/>
        <n v="788858.0"/>
        <n v="2580745.0"/>
        <n v="188452.1"/>
        <n v="30158.37"/>
        <n v="619819.8"/>
        <n v="632733.2"/>
        <n v="1000910.0"/>
        <n v="444441.8"/>
        <n v="1378991.0"/>
        <n v="164685.0"/>
        <n v="84744.39"/>
        <n v="56530.47"/>
        <n v="5911516.0"/>
        <n v="42135.6"/>
        <n v="836647.7"/>
        <n v="255277.4"/>
        <n v="1144050.0"/>
        <n v="713598.4"/>
        <n v="528443.3"/>
        <n v="2698836.0"/>
        <n v="1302.42"/>
        <n v="2440735.0"/>
        <n v="3854387.0"/>
        <n v="1012044.0"/>
        <n v="17596.38"/>
        <n v="73268.49"/>
        <n v="24883.11"/>
        <n v="398247.9"/>
        <n v="1753797.0"/>
        <n v="3576362.0"/>
        <n v="694693.0"/>
        <n v="528259.5"/>
        <n v="74397.42"/>
        <n v="1222321.0"/>
        <n v="2469068.0"/>
        <n v="309421.5"/>
        <n v="504327.2"/>
        <n v="5326247.0"/>
        <n v="1741868.0"/>
        <n v="5858723.0"/>
        <n v="87646.02"/>
        <n v="1137837.0"/>
        <n v="1241261.0"/>
        <n v="64237.05"/>
        <n v="1945744.0"/>
        <n v="189673.0"/>
        <n v="572632.7"/>
        <n v="676115.4"/>
        <n v="3335399.0"/>
        <n v="41139.15"/>
        <n v="837451.7"/>
        <n v="1449480.0"/>
        <n v="1783008.0"/>
        <n v="718804.4"/>
        <n v="1048323.0"/>
        <n v="4096495.0"/>
        <n v="1886886.0"/>
        <n v="400962.0"/>
        <n v="353237.1"/>
        <n v="541284.9"/>
        <n v="2901141.0"/>
        <n v="2568830.0"/>
        <n v="228779.1"/>
        <n v="526913.3"/>
        <n v="4296364.0"/>
        <n v="4265323.0"/>
        <n v="2795894.0"/>
        <n v="3032419.0"/>
        <n v="402966.8"/>
        <n v="34054.5"/>
        <n v="672317.8"/>
        <n v="658907.3"/>
        <n v="430530.1"/>
        <n v="365936.4"/>
        <n v="145018.5"/>
        <n v="243798.1"/>
        <n v="785588.8"/>
        <n v="61857.9"/>
        <n v="307557.8"/>
        <n v="2263606.0"/>
        <n v="3573830.0"/>
        <n v="2675626.0"/>
        <n v="462637.5"/>
        <n v="1292409.0"/>
        <n v="1016525.0"/>
        <n v="814053.0"/>
        <n v="251810.1"/>
        <n v="246218.1"/>
        <n v="224773.5"/>
        <n v="416136.5"/>
        <n v="492995.4"/>
        <n v="85733.37"/>
        <n v="507870.2"/>
        <n v="1375356.0"/>
        <n v="36554.94"/>
        <n v="623005.3"/>
        <n v="1555995.0"/>
        <n v="271938.4"/>
        <n v="224133.3"/>
        <n v="24745.98"/>
        <n v="3850420.0"/>
        <n v="4202804.0"/>
        <n v="884612.5"/>
        <n v="5020044.0"/>
        <n v="345009.0"/>
        <n v="208685.1"/>
        <n v="2854.98"/>
        <n v="280824.3"/>
        <n v="1798095.0"/>
        <n v="188199.7"/>
        <n v="86061.69"/>
        <n v="1316719.0"/>
        <n v="2226660.0"/>
        <n v="123275.1"/>
        <n v="2203286.0"/>
        <n v="793997.0"/>
        <n v="2219664.0"/>
        <n v="725400.6"/>
        <n v="1570435.0"/>
        <n v="238673.5"/>
        <n v="1041111.0"/>
        <n v="1971017.0"/>
        <n v="167213.8"/>
        <n v="373763.7"/>
        <n v="1641686.0"/>
        <n v="296380.1"/>
        <n v="899891.4"/>
        <n v="3833865.0"/>
        <n v="1296046.0"/>
        <n v="107664.1"/>
        <n v="2330926.0"/>
        <n v="1654231.0"/>
        <n v="574520.1"/>
        <n v="1623070.0"/>
        <n v="237180.5"/>
        <n v="632835.4"/>
        <n v="2100699.0"/>
        <n v="1346484.0"/>
        <n v="3801120.0"/>
        <n v="517129.8"/>
        <n v="3136191.0"/>
        <n v="728549.7"/>
        <n v="339647.1"/>
        <n v="546604.9"/>
        <n v="3277688.0"/>
        <n v="1981920.0"/>
        <n v="1753540.0"/>
        <n v="4008849.0"/>
        <n v="1305800.0"/>
        <n v="416278.9"/>
        <n v="1522180.0"/>
        <n v="3776394.0"/>
        <n v="275920.5"/>
        <n v="353692.3"/>
        <n v="2867586.0"/>
        <n v="68538.18"/>
        <n v="1806361.0"/>
        <n v="152673.5"/>
        <n v="290773.6"/>
        <n v="4268030.0"/>
        <n v="1721092.0"/>
        <n v="1981617.0"/>
        <n v="77151.68"/>
        <n v="1322759.0"/>
        <n v="1119232.0"/>
        <n v="1638621.0"/>
        <n v="2554560.0"/>
        <n v="81684.15"/>
        <n v="3235862.0"/>
        <n v="2582195.0"/>
        <n v="4461440.0"/>
        <n v="1545973.0"/>
        <n v="186158.5"/>
        <n v="2046715.0"/>
        <n v="739166.1"/>
        <n v="1213856.0"/>
        <n v="3700175.0"/>
        <n v="1533288.0"/>
        <n v="1974080.0"/>
        <n v="529449.2"/>
        <n v="1945335.0"/>
        <n v="257707.6"/>
        <n v="1255886.0"/>
        <n v="2008820.0"/>
        <n v="651224.6"/>
        <n v="901405.1"/>
        <n v="3205098.0"/>
        <n v="1271020.0"/>
        <n v="676289.7"/>
        <n v="645298.4"/>
        <n v="2081043.0"/>
        <n v="2410354.0"/>
        <n v="1206297.0"/>
        <n v="34567.65"/>
        <n v="1029034.0"/>
        <n v="5418333.0"/>
        <n v="334302.8"/>
        <n v="939020.5"/>
        <n v="59885.44"/>
        <n v="3274191.0"/>
        <n v="1067447.0"/>
        <n v="2471993.0"/>
        <n v="1271998.0"/>
        <n v="137557.6"/>
        <n v="3977543.0"/>
        <n v="2831304.0"/>
        <n v="4391760.0"/>
        <n v="457797.6"/>
        <n v="923719.3"/>
        <n v="704757.8"/>
        <n v="770096.2"/>
        <n v="249276.5"/>
        <n v="440279.5"/>
        <n v="739097.5"/>
        <n v="6173478.0"/>
        <n v="2148947.0"/>
        <n v="1905605.0"/>
        <n v="289416.5"/>
        <n v="3640067.0"/>
        <n v="448469.1"/>
        <n v="1263982.0"/>
        <n v="223224.5"/>
        <n v="81805.86"/>
        <n v="2753923.0"/>
        <n v="484266.2"/>
        <n v="634626.1"/>
        <n v="168012.2"/>
        <n v="1454018.0"/>
        <n v="326503.1"/>
        <n v="84604.44"/>
        <n v="642401.1"/>
        <n v="54039.36"/>
        <n v="527485.4"/>
        <n v="712724.2"/>
        <n v="2889419.0"/>
        <n v="31933.85"/>
        <n v="698446.1"/>
        <n v="17484.8"/>
        <n v="6357921.0"/>
        <n v="1433489.0"/>
        <n v="3539326.0"/>
        <n v="2233486.0"/>
        <n v="753890.5"/>
        <n v="1855886.0"/>
        <n v="4313415.0"/>
        <n v="3164454.0"/>
        <n v="336133.7"/>
        <n v="1050290.0"/>
        <n v="206440.4"/>
        <n v="332629.8"/>
        <n v="4114.53"/>
        <n v="16131.57"/>
        <n v="2260324.0"/>
        <n v="26142.66"/>
        <n v="2404267.0"/>
        <n v="5972329.0"/>
        <n v="1702462.0"/>
        <n v="1449774.0"/>
        <n v="4856318.0"/>
        <n v="4264123.0"/>
        <n v="54472.6"/>
        <n v="6250329.0"/>
        <n v="2832619.0"/>
        <n v="4166164.0"/>
        <n v="36582.93"/>
        <n v="774767.7"/>
        <n v="1366054.0"/>
        <n v="651519.7"/>
        <n v="131160.0"/>
        <n v="87608.7"/>
        <n v="2048248.0"/>
        <n v="233643.8"/>
        <n v="854142.8"/>
        <n v="5177088.0"/>
        <n v="9927.12"/>
        <n v="4859659.0"/>
        <n v="2162608.0"/>
        <n v="591532.6"/>
        <n v="907851.0"/>
        <n v="4400558.0"/>
        <n v="2733780.0"/>
        <n v="841565.3"/>
        <n v="463080.3"/>
        <n v="76272.75"/>
        <n v="888009.3"/>
        <n v="470846.4"/>
        <n v="4970686.0"/>
        <n v="3103845.0"/>
        <n v="242820.2"/>
        <n v="4813093.0"/>
        <n v="3378773.0"/>
        <n v="1031603.0"/>
        <n v="1202218.0"/>
        <n v="3528907.0"/>
        <n v="157252.5"/>
        <n v="4258328.0"/>
        <n v="237137.6"/>
        <n v="86936.94"/>
        <n v="786651.3"/>
        <n v="910583.8"/>
        <n v="1778688.0"/>
        <n v="905285.7"/>
        <n v="3120720.0"/>
        <n v="4059643.0"/>
        <n v="1670042.0"/>
        <n v="2614893.0"/>
        <n v="4041477.0"/>
        <n v="2040897.0"/>
        <n v="95460.64"/>
        <n v="6261690.0"/>
        <n v="318764.8"/>
        <n v="443183.0"/>
        <n v="73119.21"/>
        <n v="1507490.0"/>
        <n v="59814.63"/>
        <n v="170021.7"/>
        <n v="383219.1"/>
        <n v="133998.8"/>
        <n v="484629.2"/>
        <n v="127253.6"/>
        <n v="1318137.0"/>
        <n v="897564.5"/>
        <n v="1530195.0"/>
        <n v="1250043.0"/>
        <n v="30145.23"/>
        <n v="3065453.0"/>
        <n v="3698206.0"/>
        <n v="1107900.0"/>
        <n v="306336.0"/>
        <n v="3960281.0"/>
        <n v="517398.8"/>
        <n v="412103.3"/>
        <n v="1186157.0"/>
        <n v="48450.69"/>
        <n v="1097809.0"/>
        <n v="1453690.0"/>
        <n v="392269.2"/>
        <n v="2551779.0"/>
        <n v="389327.3"/>
        <n v="219124.1"/>
        <n v="653022.7"/>
        <n v="432127.2"/>
        <n v="53983.38"/>
        <n v="3323228.0"/>
        <n v="107094.7"/>
        <n v="73147.2"/>
        <n v="369236.1"/>
        <n v="3678164.0"/>
        <n v="59534.73"/>
        <n v="658860.4"/>
        <n v="5253270.0"/>
        <n v="392875.9"/>
        <n v="3790427.0"/>
        <n v="1383873.0"/>
        <n v="1302419.0"/>
        <n v="395626.1"/>
        <n v="445019.9"/>
        <n v="746726.5"/>
        <n v="539504.8"/>
        <n v="63565.29"/>
        <n v="258088.1"/>
        <n v="1337157.0"/>
        <n v="376705.6"/>
        <n v="4190562.0"/>
        <n v="1183489.0"/>
        <n v="1180833.0"/>
        <n v="687022.4"/>
        <n v="2709766.0"/>
        <n v="2014214.0"/>
        <n v="5175817.0"/>
        <n v="828170.1"/>
        <n v="52192.02"/>
        <n v="3012497.0"/>
        <n v="153407.2"/>
        <n v="1428755.0"/>
        <n v="1149134.0"/>
        <n v="75065.9"/>
        <n v="3584911.0"/>
        <n v="562381.8"/>
        <n v="734496.0"/>
        <n v="652620.2"/>
        <n v="1058391.0"/>
        <n v="4879708.0"/>
        <n v="544558.0"/>
        <n v="28997.64"/>
        <n v="254343.8"/>
        <n v="1182980.0"/>
        <n v="5639531.0"/>
        <n v="3503375.0"/>
        <n v="5024085.0"/>
        <n v="613524.2"/>
        <n v="76062.35"/>
        <n v="1048377.0"/>
        <n v="357017.8"/>
        <n v="684748.5"/>
        <n v="5594756.0"/>
        <n v="2684288.0"/>
        <n v="775411.6"/>
        <n v="2047010.0"/>
        <n v="37879.8"/>
        <n v="3496998.0"/>
        <n v="925710.9"/>
        <n v="784165.4"/>
        <n v="607115.8"/>
        <n v="2590847.0"/>
        <n v="955981.4"/>
        <n v="967393.8"/>
        <n v="281314.7"/>
        <n v="168600.9"/>
        <n v="535132.8"/>
        <n v="16560.75"/>
        <n v="368212.0"/>
        <n v="508115.4"/>
        <n v="249514.1"/>
        <n v="342847.3"/>
        <n v="718625.3"/>
        <n v="614287.1"/>
        <n v="2251825.0"/>
        <n v="1480218.0"/>
        <n v="4880168.0"/>
        <n v="2099747.0"/>
        <n v="573009.0"/>
        <n v="243228.5"/>
        <n v="203275.8"/>
        <n v="3956063.0"/>
        <n v="713421.2"/>
        <n v="1501845.0"/>
        <n v="1470432.0"/>
        <n v="387400.6"/>
        <n v="4060276.0"/>
        <n v="664383.2"/>
        <n v="1383950.0"/>
        <n v="1491775.0"/>
        <n v="1686294.0"/>
        <n v="1375431.0"/>
        <n v="28064.64"/>
        <n v="2086659.0"/>
        <n v="137663.6"/>
        <n v="1318331.0"/>
        <n v="844188.0"/>
        <n v="3009893.0"/>
        <n v="245224.3"/>
        <n v="292861.4"/>
        <n v="139431.4"/>
        <n v="476159.0"/>
        <n v="873062.8"/>
        <n v="94447.02"/>
        <n v="1043294.0"/>
        <n v="1648622.0"/>
        <n v="1966654.0"/>
        <n v="3863937.0"/>
        <n v="1309842.0"/>
        <n v="1152215.0"/>
        <n v="297416.6"/>
        <n v="4659178.0"/>
        <n v="229050.9"/>
        <n v="674804.0"/>
        <n v="519914.1"/>
        <n v="1954767.0"/>
        <n v="325545.1"/>
        <n v="795647.6"/>
        <n v="203588.6"/>
        <n v="2217362.0"/>
        <n v="28857.69"/>
        <n v="3923413.0"/>
        <n v="2039838.0"/>
        <n v="1074769.0"/>
        <n v="3270069.0"/>
        <n v="5008015.0"/>
        <n v="1029940.0"/>
        <n v="3485655.0"/>
        <n v="247519.2"/>
        <n v="37805.16"/>
        <n v="840363.2"/>
        <n v="3914717.0"/>
        <n v="400497.9"/>
        <n v="5479146.0"/>
        <n v="2093041.0"/>
        <n v="321943.8"/>
        <n v="30042.6"/>
        <n v="379516.5"/>
        <n v="68703.8"/>
        <n v="75265.11"/>
        <n v="1647832.0"/>
        <n v="1722568.0"/>
        <n v="435888.4"/>
        <n v="3340056.0"/>
        <n v="904948.4"/>
        <n v="91415.34"/>
        <n v="51315.0"/>
        <n v="5753805.0"/>
        <n v="4421716.0"/>
        <n v="1995540.0"/>
        <n v="1000568.0"/>
        <n v="1670978.0"/>
        <n v="695426.8"/>
        <n v="833085.0"/>
        <n v="1110477.0"/>
        <n v="2657302.0"/>
        <n v="1839862.0"/>
        <n v="28633.77"/>
        <n v="423116.2"/>
        <n v="105127.6"/>
        <n v="418914.5"/>
        <n v="66252.33"/>
        <n v="5318432.0"/>
        <n v="1933442.0"/>
        <n v="729249.6"/>
        <n v="13593.81"/>
        <n v="1015236.0"/>
        <n v="3598156.0"/>
        <n v="2006398.0"/>
        <n v="612162.4"/>
        <n v="101770.9"/>
        <n v="16644.72"/>
        <n v="309399.4"/>
        <n v="22336.02"/>
        <n v="38102.35"/>
        <n v="2283224.0"/>
        <n v="12632.82"/>
        <n v="6414724.0"/>
        <n v="1110630.0"/>
        <n v="3271028.0"/>
        <n v="260595.4"/>
        <n v="2138991.0"/>
        <n v="825152.6"/>
        <n v="253050.9"/>
        <n v="1377296.0"/>
        <n v="2635447.0"/>
        <n v="219474.4"/>
        <n v="423851.8"/>
        <n v="4683904.0"/>
        <n v="17857.62"/>
        <n v="2010075.0"/>
        <n v="1081326.0"/>
        <n v="1030968.0"/>
        <n v="596056.9"/>
        <n v="231786.3"/>
        <n v="390015.6"/>
        <n v="1260463.0"/>
        <n v="3673480.0"/>
        <n v="144195.7"/>
        <n v="790481.9"/>
        <n v="905004.0"/>
        <n v="200856.6"/>
        <n v="1034798.0"/>
        <n v="2746490.0"/>
        <n v="269759.1"/>
        <n v="335085.3"/>
        <n v="303205.5"/>
        <n v="33028.2"/>
        <n v="1103242.0"/>
        <n v="8635.9"/>
        <n v="3233759.0"/>
        <n v="1522138.0"/>
        <n v="432754.5"/>
        <n v="3252768.0"/>
        <n v="4964825.0"/>
        <n v="747502.6"/>
        <n v="394265.5"/>
        <n v="1038925.0"/>
        <n v="774343.5"/>
        <n v="1118597.0"/>
        <n v="4244851.0"/>
        <n v="4168695.0"/>
        <n v="2711638.0"/>
        <n v="5523920.0"/>
        <n v="839105.4"/>
        <n v="3103423.0"/>
        <n v="97040.88"/>
        <n v="15041.65"/>
        <n v="1157063.0"/>
        <n v="26245.29"/>
        <n v="13648.91"/>
        <n v="458655.5"/>
        <n v="1785065.0"/>
        <n v="170695.4"/>
        <n v="382921.5"/>
        <n v="179765.6"/>
        <n v="72391.47"/>
        <n v="5807491.0"/>
        <n v="2465239.0"/>
        <n v="73310.25"/>
        <n v="893910.4"/>
        <n v="29579.52"/>
        <n v="61522.48"/>
        <n v="5223355.0"/>
        <n v="801655.3"/>
        <n v="76168.16"/>
        <n v="2244585.0"/>
        <n v="521682.6"/>
        <n v="469248.3"/>
        <n v="272600.3"/>
        <n v="1472092.0"/>
        <n v="820997.9"/>
        <n v="408313.0"/>
        <n v="165676.7"/>
        <n v="1871253.0"/>
        <n v="1634.6"/>
        <n v="1040236.0"/>
        <n v="6736.26"/>
        <n v="280856.6"/>
        <n v="4121508.0"/>
        <n v="60546.2"/>
        <n v="623326.8"/>
        <n v="3311946.0"/>
        <n v="4246856.0"/>
        <n v="3332776.0"/>
        <n v="26091.18"/>
        <n v="22783.86"/>
        <n v="749015.2"/>
        <n v="782008.6"/>
        <n v="271123.7"/>
        <n v="2465916.0"/>
        <n v="3192872.0"/>
        <n v="5827027.0"/>
        <n v="4094157.0"/>
        <n v="618242.8"/>
        <n v="967018.7"/>
        <n v="694391.6"/>
        <n v="1419947.0"/>
        <n v="1344019.0"/>
        <n v="1241171.0"/>
        <n v="786488.2"/>
        <n v="1470871.0"/>
        <n v="148708.3"/>
        <n v="30889.95"/>
        <n v="338777.9"/>
        <n v="2504552.0"/>
        <n v="23847.48"/>
        <n v="233752.6"/>
        <n v="742912.0"/>
        <n v="416238.2"/>
        <n v="1539026.0"/>
        <n v="718613.2"/>
        <n v="338629.2"/>
        <n v="570792.3"/>
        <n v="1184259.0"/>
        <n v="802016.5"/>
        <n v="2907653.0"/>
        <n v="2056025.0"/>
        <n v="1695998.0"/>
        <n v="856755.2"/>
        <n v="514644.5"/>
        <n v="165701.9"/>
        <n v="61727.28"/>
        <n v="336591.5"/>
        <n v="1307199.0"/>
        <n v="75712.95"/>
        <n v="200905.4"/>
        <n v="2099933.0"/>
        <n v="1003846.0"/>
        <n v="41546.49"/>
        <n v="281510.1"/>
        <n v="510908.8"/>
        <n v="1452632.0"/>
        <n v="2366564.0"/>
        <n v="1302694.0"/>
        <n v="2730894.0"/>
        <n v="2949330.0"/>
        <n v="58834.98"/>
        <n v="641692.2"/>
        <n v="87011.58"/>
        <n v="4283248.0"/>
        <n v="1635257.0"/>
        <n v="88327.11"/>
        <n v="241140.9"/>
        <n v="59666.88"/>
        <n v="6111997.0"/>
        <n v="182943.4"/>
        <n v="989311.8"/>
        <n v="881328.2"/>
        <n v="724385.1"/>
        <n v="2691658.0"/>
        <n v="1672595.0"/>
        <n v="4107943.0"/>
        <n v="51053.76"/>
        <n v="216519.5"/>
        <n v="137178.0"/>
        <n v="1810983.0"/>
        <n v="53404.92"/>
        <n v="3519406.0"/>
        <n v="276492.6"/>
        <n v="2996868.0"/>
        <n v="850635.5"/>
        <n v="2513026.0"/>
        <n v="514714.5"/>
        <n v="266971.0"/>
        <n v="1063025.0"/>
        <n v="2004714.0"/>
        <n v="1244189.0"/>
        <n v="1177172.0"/>
        <n v="1309594.0"/>
        <n v="2051035.0"/>
        <n v="442787.2"/>
        <n v="51380.31"/>
        <n v="377037.7"/>
        <n v="4953886.0"/>
        <n v="643841.0"/>
        <n v="206440.7"/>
        <n v="56694.08"/>
        <n v="1401998.0"/>
        <n v="38010.42"/>
        <n v="4599.69"/>
        <n v="10841.46"/>
        <n v="1466805.0"/>
        <n v="441296.9"/>
        <n v="1257259.0"/>
        <n v="267570.6"/>
        <n v="228376.9"/>
        <n v="4090880.0"/>
        <n v="809453.9"/>
        <n v="744887.2"/>
        <n v="1019082.0"/>
        <n v="2814530.0"/>
        <n v="37960.0"/>
        <n v="2909775.0"/>
        <n v="66553.92"/>
        <n v="528206.3"/>
        <n v="1592692.0"/>
        <n v="470122.6"/>
        <n v="151352.8"/>
        <n v="2303519.0"/>
        <n v="391599.5"/>
        <n v="4437981.0"/>
        <n v="2120420.0"/>
        <n v="344678.2"/>
        <n v="873088.4"/>
        <n v="6008715.0"/>
        <n v="936841.2"/>
        <n v="568840.8"/>
        <n v="321501.8"/>
        <n v="68771.43"/>
        <n v="116631.9"/>
        <n v="1244745.0"/>
        <n v="459268.6"/>
        <n v="984135.3"/>
        <n v="879184.3"/>
        <n v="203359.2"/>
        <n v="356966.4"/>
        <n v="75350.6"/>
        <n v="12511.56"/>
        <n v="175394.4"/>
        <n v="84698.25"/>
        <n v="77299.05"/>
        <n v="275020.2"/>
        <n v="85162.66"/>
        <n v="72578.07"/>
        <n v="146378.4"/>
        <n v="55019.01"/>
        <n v="234640.3"/>
        <n v="208053.2"/>
        <n v="1893922.0"/>
        <n v="53162.34"/>
        <n v="2202045.0"/>
        <n v="2619093.0"/>
        <n v="73238.4"/>
        <n v="130192.8"/>
        <n v="1521563.0"/>
        <n v="439814.1"/>
        <n v="2749551.0"/>
        <n v="861771.8"/>
        <n v="1012174.0"/>
        <n v="3458576.0"/>
        <n v="101588.8"/>
        <n v="304771.4"/>
        <n v="300322.0"/>
        <n v="1486217.0"/>
        <n v="4941857.0"/>
        <n v="5305408.0"/>
        <n v="4803325.0"/>
        <n v="1157777.0"/>
        <n v="30956.94"/>
        <n v="4099168.0"/>
        <n v="6438113.0"/>
        <n v="914953.6"/>
        <n v="30210.54"/>
        <n v="622349.6"/>
        <n v="904712.3"/>
        <n v="853338.3"/>
        <n v="117011.7"/>
        <n v="547320.3"/>
        <n v="361164.9"/>
        <n v="941876.3"/>
        <n v="2665079.0"/>
        <n v="64730.16"/>
        <n v="827468.2"/>
        <n v="181732.6"/>
        <n v="942.33"/>
        <n v="759714.6"/>
        <n v="679666.7"/>
        <n v="4768160.0"/>
        <n v="1406876.0"/>
        <n v="3967519.0"/>
        <n v="1277674.0"/>
        <n v="401521.9"/>
        <n v="413858.9"/>
        <n v="250093.8"/>
        <n v="2490227.0"/>
        <n v="32283.35"/>
        <n v="644433.0"/>
        <n v="2427157.0"/>
        <n v="1405872.0"/>
        <n v="3558220.0"/>
        <n v="126488.8"/>
        <n v="27672.78"/>
        <n v="525485.5"/>
        <n v="2014670.0"/>
        <n v="1675325.0"/>
        <n v="4151464.0"/>
        <n v="199545.3"/>
        <n v="38066.4"/>
        <n v="729276.8"/>
        <n v="3869153.0"/>
        <n v="6464844.0"/>
        <n v="1505598.0"/>
        <n v="153443.8"/>
        <n v="728569.8"/>
        <n v="350934.0"/>
        <n v="374855.0"/>
        <n v="1404806.0"/>
        <n v="1825310.0"/>
        <n v="3267121.0"/>
        <n v="672837.0"/>
        <n v="5183102.0"/>
        <n v="65384.64"/>
        <n v="478490.9"/>
        <n v="335380.3"/>
        <n v="122023.8"/>
        <n v="405229.0"/>
        <n v="157330.3"/>
        <n v="1040367.0"/>
        <n v="1081653.0"/>
        <n v="558379.4"/>
        <n v="15572.08"/>
        <n v="2754609.0"/>
        <n v="47403.4"/>
        <n v="467572.1"/>
        <n v="1414728.0"/>
        <n v="371818.2"/>
        <n v="643659.2"/>
        <n v="161472.4"/>
        <n v="489392.4"/>
        <n v="1065008.0"/>
        <n v="33736.95"/>
        <n v="1408771.0"/>
        <n v="948161.8"/>
        <n v="2221329.0"/>
        <n v="1228532.0"/>
        <n v="537439.0"/>
        <n v="1706802.0"/>
        <n v="919720.2"/>
        <n v="612811.5"/>
        <n v="880691.8"/>
        <n v="1407916.0"/>
        <n v="724127.8"/>
        <n v="37970.1"/>
        <n v="1094904.0"/>
        <n v="487798.3"/>
        <n v="80965.74"/>
        <n v="1213013.0"/>
        <n v="652598.2"/>
        <n v="417149.9"/>
        <n v="2930026.0"/>
        <n v="18961.36"/>
        <n v="23045.1"/>
        <n v="487493.1"/>
        <n v="1369406.0"/>
        <n v="3675540.0"/>
        <n v="3114176.0"/>
        <n v="424630.1"/>
        <n v="737.07"/>
        <n v="1179690.0"/>
        <n v="2283793.0"/>
        <n v="1003081.0"/>
        <n v="1421910.0"/>
        <n v="615345.2"/>
        <n v="1426324.0"/>
        <n v="1174561.0"/>
        <n v="117393.7"/>
        <n v="1388478.0"/>
        <n v="1769338.0"/>
        <n v="562319.0"/>
        <n v="78869.45"/>
        <n v="1470923.0"/>
        <n v="674148.3"/>
        <n v="361886.9"/>
        <n v="163155.0"/>
        <n v="1192261.0"/>
        <n v="1137594.0"/>
        <n v="84968.31"/>
        <n v="71458.47"/>
        <n v="863660.4"/>
        <n v="1870692.0"/>
        <n v="2087193.0"/>
        <n v="1436236.0"/>
        <n v="871979.6"/>
        <n v="1240183.0"/>
        <n v="890741.3"/>
        <n v="89204.13"/>
        <n v="1227700.0"/>
        <n v="219540.8"/>
        <n v="28950.99"/>
        <n v="910183.7"/>
        <n v="2935042.0"/>
        <n v="459098.8"/>
        <n v="234497.9"/>
        <n v="54001.92"/>
        <n v="1114277.0"/>
        <n v="794415.6"/>
        <n v="426148.5"/>
        <n v="128076.2"/>
        <n v="61590.1"/>
        <n v="303442.8"/>
        <n v="346443.7"/>
        <n v="1071600.0"/>
        <n v="4784440.0"/>
        <n v="5558002.0"/>
        <n v="536346.2"/>
        <n v="146763.0"/>
        <n v="1354605.0"/>
        <n v="37865.1"/>
        <n v="1526500.0"/>
        <n v="51957.75"/>
        <n v="185026.1"/>
        <n v="2335812.0"/>
        <n v="2849044.0"/>
        <n v="89857.23"/>
        <n v="1786710.0"/>
        <n v="662666.8"/>
        <n v="530918.1"/>
        <n v="774718.7"/>
        <n v="3073060.0"/>
        <n v="3020178.0"/>
        <n v="226310.4"/>
        <n v="662018.2"/>
        <n v="1119669.0"/>
        <n v="3404836.0"/>
        <n v="5685641.0"/>
        <n v="714227.0"/>
        <n v="615018.3"/>
        <n v="74462.73"/>
        <n v="2303902.0"/>
        <n v="288552.0"/>
        <n v="750998.8"/>
        <n v="181016.0"/>
        <n v="1469498.0"/>
        <n v="441617.2"/>
        <n v="615.78"/>
        <n v="3840465.0"/>
        <n v="869052.5"/>
        <n v="914346.1"/>
        <n v="392411.5"/>
        <n v="5322102.0"/>
        <n v="258556.5"/>
        <n v="478610.9"/>
        <n v="2118234.0"/>
        <n v="423256.9"/>
        <n v="788633.1"/>
        <n v="207973.4"/>
        <n v="2231469.0"/>
        <n v="1819828.0"/>
        <n v="1419201.0"/>
        <n v="2881087.0"/>
        <n v="1905755.0"/>
        <n v="227954.5"/>
        <n v="1519392.0"/>
        <n v="695195.4"/>
        <n v="1220771.0"/>
        <n v="2635879.0"/>
        <n v="1167324.0"/>
        <n v="1993852.0"/>
        <n v="169363.8"/>
        <n v="1195968.0"/>
        <n v="1121806.0"/>
        <n v="7491.99"/>
        <n v="1898611.0"/>
        <n v="164195.6"/>
        <n v="2290054.0"/>
        <n v="19098.51"/>
        <n v="1562703.0"/>
        <n v="839256.0"/>
        <n v="2501221.0"/>
        <n v="308367.3"/>
        <n v="14209.59"/>
        <n v="1910747.0"/>
        <n v="446884.1"/>
        <n v="105595.2"/>
        <n v="4224135.0"/>
        <n v="449653.3"/>
        <n v="693587.2"/>
        <n v="1527813.0"/>
        <n v="3080641.0"/>
        <n v="154833.6"/>
        <n v="71934.3"/>
        <n v="2168512.0"/>
        <n v="4275816.0"/>
        <n v="64022.46"/>
        <n v="451087.7"/>
        <n v="16187.55"/>
        <n v="990951.0"/>
        <n v="3267116.0"/>
        <n v="666791.4"/>
        <n v="847276.7"/>
        <n v="201241.5"/>
        <n v="77681.58"/>
        <n v="319520.4"/>
        <n v="755044.4"/>
        <n v="761641.9"/>
        <n v="598113.6"/>
        <n v="724089.3"/>
        <n v="857960.1"/>
        <n v="8480.97"/>
        <n v="6407255.0"/>
        <n v="243568.9"/>
        <n v="1598502.0"/>
        <n v="214913.7"/>
        <n v="346943.1"/>
        <n v="1156837.0"/>
        <n v="2330029.0"/>
        <n v="2606253.0"/>
        <n v="1008356.0"/>
        <n v="4164659.0"/>
        <n v="2309290.0"/>
        <n v="1782944.0"/>
        <n v="162479.2"/>
        <n v="2588210.0"/>
        <n v="414717.9"/>
        <n v="246089.0"/>
        <n v="627813.6"/>
        <n v="2528387.0"/>
        <n v="19615.2"/>
        <n v="1473018.0"/>
        <n v="866433.4"/>
        <n v="2468558.0"/>
        <n v="3067562.0"/>
        <n v="523654.6"/>
        <n v="3379780.0"/>
        <n v="313739.4"/>
        <n v="2536753.0"/>
        <n v="92105.76"/>
        <n v="521273.9"/>
        <n v="491765.3"/>
        <n v="756448.8"/>
        <n v="3590615.0"/>
        <n v="659684.9"/>
        <n v="178136.2"/>
        <n v="213904.6"/>
        <n v="4308405.0"/>
        <n v="52574.55"/>
        <n v="310805.5"/>
        <n v="2224003.0"/>
        <n v="470029.2"/>
        <n v="421273.6"/>
        <n v="1638812.0"/>
        <n v="812477.9"/>
        <n v="57957.96"/>
        <n v="137085.4"/>
        <n v="3670021.0"/>
        <n v="1484209.0"/>
        <n v="4152241.0"/>
        <n v="1964435.0"/>
        <n v="535658.4"/>
        <n v="757292.6"/>
        <n v="391415.1"/>
        <n v="55224.27"/>
        <n v="2886571.0"/>
        <n v="9288.8"/>
        <n v="320097.7"/>
        <n v="235209.7"/>
        <n v="2057558.0"/>
        <n v="302319.3"/>
        <n v="52879.31"/>
        <n v="863470.0"/>
        <n v="283324.0"/>
        <n v="1635315.0"/>
        <n v="2300546.0"/>
        <n v="352335.2"/>
        <n v="594046.1"/>
        <n v="5447069.0"/>
        <n v="280239.7"/>
        <n v="98484.65"/>
        <n v="5591289.0"/>
        <n v="1481133.0"/>
        <n v="2014159.0"/>
        <n v="831439.4"/>
        <n v="186865.0"/>
        <n v="3228302.0"/>
        <n v="4361130.0"/>
        <n v="1256621.0"/>
        <n v="1096592.0"/>
        <n v="3312664.0"/>
        <n v="3116362.0"/>
        <n v="415017.6"/>
        <n v="671404.8"/>
        <n v="513834.6"/>
        <n v="3346696.0"/>
        <n v="3875903.0"/>
        <n v="202848.8"/>
        <n v="2825600.0"/>
        <n v="3567328.0"/>
        <n v="535294.6"/>
        <n v="452130.4"/>
        <n v="277462.1"/>
        <n v="314742.2"/>
        <n v="1963377.0"/>
        <n v="262272.0"/>
        <n v="2294660.0"/>
        <n v="357762.7"/>
        <n v="24094.77"/>
        <n v="220935.8"/>
        <n v="51837.48"/>
        <n v="92031.12"/>
        <n v="185482.1"/>
        <n v="202089.6"/>
        <n v="4158646.0"/>
        <n v="251390.1"/>
        <n v="86563.74"/>
        <n v="1264027.0"/>
        <n v="403791.3"/>
        <n v="116869.4"/>
        <n v="1615209.0"/>
        <n v="85691.2"/>
        <n v="4344873.0"/>
        <n v="1280146.0"/>
        <n v="5044102.0"/>
        <n v="264478.3"/>
        <n v="612076.0"/>
        <n v="1430438.0"/>
        <n v="93216.03"/>
        <n v="4991309.0"/>
        <n v="93429.05"/>
        <n v="104364.7"/>
        <n v="134615.7"/>
        <n v="222208.4"/>
        <n v="1970898.0"/>
        <n v="1569697.0"/>
        <n v="287568.6"/>
        <n v="80159.1"/>
        <n v="64551.14"/>
        <n v="843309.7"/>
        <n v="46833.15"/>
        <n v="6217584.0"/>
        <n v="765036.1"/>
        <n v="90361.05"/>
        <n v="565244.7"/>
        <n v="4902429.0"/>
        <n v="394063.7"/>
        <n v="442813.1"/>
        <n v="692961.9"/>
        <n v="784444.5"/>
        <n v="980722.3"/>
        <n v="5890194.0"/>
        <n v="214222.3"/>
        <n v="191128.6"/>
        <n v="312431.5"/>
        <n v="1498494.0"/>
        <n v="5253311.0"/>
        <n v="530019.1"/>
        <n v="1067789.0"/>
        <n v="44061.16"/>
        <n v="535144.2"/>
        <n v="342203.5"/>
        <n v="3246.84"/>
        <n v="621474.9"/>
        <n v="1840314.0"/>
        <n v="1070703.0"/>
        <n v="561240.6"/>
        <n v="645486.6"/>
        <n v="2929.62"/>
        <n v="538028.6"/>
        <n v="258620.5"/>
        <n v="104342.6"/>
        <n v="451961.3"/>
        <n v="90155.0"/>
        <n v="3837581.0"/>
        <n v="15560.06"/>
        <n v="31677.8"/>
        <n v="303545.2"/>
        <n v="835222.9"/>
        <n v="1440122.0"/>
        <n v="1545836.0"/>
        <n v="599734.7"/>
        <n v="913719.4"/>
        <n v="938154.0"/>
        <n v="1766282.0"/>
        <n v="1245113.0"/>
        <n v="3421106.0"/>
        <n v="815093.3"/>
        <n v="756564.6"/>
        <n v="59834.45"/>
        <n v="782150.8"/>
        <n v="695130.1"/>
        <n v="2076315.0"/>
        <n v="178743.5"/>
        <n v="122323.6"/>
        <n v="666263.0"/>
        <n v="78731.28"/>
        <n v="504355.8"/>
        <n v="67170.16"/>
        <n v="6139.14"/>
        <n v="185995.0"/>
        <n v="1754004.0"/>
        <n v="56241.24"/>
        <n v="4019180.0"/>
        <n v="134532.6"/>
        <n v="2974727.0"/>
        <n v="443846.9"/>
        <n v="5904521.0"/>
        <n v="2444642.0"/>
        <n v="6418065.0"/>
        <n v="962779.8"/>
        <n v="957020.7"/>
        <n v="1841015.0"/>
        <n v="415085.3"/>
        <n v="193928.2"/>
        <n v="152504.3"/>
        <n v="2021307.0"/>
        <n v="196490.5"/>
        <n v="4158570.0"/>
        <n v="5802.83"/>
        <n v="767417.9"/>
        <n v="2340662.0"/>
        <n v="5351644.0"/>
        <n v="323063.8"/>
        <n v="910444.9"/>
        <n v="311355.3"/>
        <n v="489793.0"/>
        <n v="1942382.0"/>
        <n v="52947.75"/>
        <n v="1647863.0"/>
        <n v="604369.4"/>
        <n v="27094.32"/>
        <n v="296704.9"/>
        <n v="1637262.0"/>
        <n v="214953.8"/>
        <n v="352612.4"/>
        <n v="1318595.0"/>
        <n v="133910.7"/>
        <n v="416793.9"/>
        <n v="5298245.0"/>
        <n v="262473.2"/>
        <n v="5297376.0"/>
        <n v="2104681.0"/>
        <n v="876755.5"/>
        <n v="301022.8"/>
        <n v="6409378.0"/>
        <n v="57596.0"/>
        <n v="31691.2"/>
        <n v="167688.3"/>
        <n v="8900.82"/>
        <n v="603553.4"/>
        <n v="791842.9"/>
        <n v="1256976.0"/>
        <n v="4897751.0"/>
        <n v="3813486.0"/>
        <n v="204244.3"/>
        <n v="851797.7"/>
        <n v="1028523.0"/>
        <n v="1015564.0"/>
        <n v="449541.3"/>
        <n v="419274.8"/>
        <n v="4254207.0"/>
        <n v="2034214.0"/>
        <n v="3498300.0"/>
        <n v="2007838.0"/>
        <n v="1472855.0"/>
        <n v="42744.79"/>
        <n v="2057136.0"/>
        <n v="3167951.0"/>
        <n v="752079.5"/>
        <n v="2828205.0"/>
        <n v="508089.9"/>
        <n v="953795.8"/>
        <n v="50223.56"/>
        <n v="1512253.0"/>
        <n v="2601777.0"/>
        <n v="2430010.0"/>
        <n v="3644936.0"/>
        <n v="950940.1"/>
        <n v="76020.84"/>
        <n v="46015.56"/>
        <n v="1316905.0"/>
        <n v="65020.77"/>
        <n v="793568.6"/>
        <n v="22802.67"/>
        <n v="1289945.0"/>
        <n v="1013572.0"/>
        <n v="498205.4"/>
        <n v="8145.09"/>
        <n v="557316.9"/>
        <n v="1960405.0"/>
        <n v="2240213.0"/>
        <n v="1318700.0"/>
        <n v="1132173.0"/>
        <n v="864295.5"/>
        <n v="1327997.0"/>
        <n v="3817683.0"/>
        <n v="1165406.0"/>
        <n v="531210.1"/>
        <n v="390133.9"/>
        <n v="3061656.0"/>
        <n v="404985.8"/>
        <n v="100601.2"/>
        <n v="2359298.0"/>
        <n v="214407.4"/>
        <n v="383135.7"/>
        <n v="91242.84"/>
        <n v="1066992.0"/>
        <n v="5519656.0"/>
        <n v="5121767.0"/>
        <n v="1386.54"/>
        <n v="4535548.0"/>
        <n v="322096.4"/>
        <n v="64600.92"/>
        <n v="863322.9"/>
        <n v="2631647.0"/>
        <n v="2088446.0"/>
        <n v="923435.6"/>
        <n v="1305813.0"/>
        <n v="772814.9"/>
        <n v="307657.8"/>
        <n v="18458.05"/>
        <n v="76114.14"/>
        <n v="680720.4"/>
        <n v="2264844.0"/>
        <n v="50587.26"/>
        <n v="3740246.0"/>
        <n v="1158580.0"/>
        <n v="1800827.0"/>
        <n v="523398.9"/>
        <n v="2176819.0"/>
        <n v="1026983.0"/>
        <n v="1333460.0"/>
        <n v="1779099.0"/>
        <n v="224267.1"/>
        <n v="3885770.0"/>
        <n v="249408.6"/>
        <n v="1906431.0"/>
        <n v="585350.3"/>
        <n v="82243.95"/>
        <n v="1405161.0"/>
        <n v="3448529.0"/>
        <n v="546142.7"/>
        <n v="947216.6"/>
        <n v="3389465.0"/>
        <n v="288496.0"/>
        <n v="3150900.0"/>
        <n v="532431.4"/>
        <n v="284409.1"/>
        <n v="1001082.0"/>
        <n v="32263.14"/>
        <n v="1499004.0"/>
        <n v="1358420.0"/>
        <n v="1210282.0"/>
        <n v="831839.4"/>
        <n v="2238806.0"/>
        <n v="228870.0"/>
        <n v="57118.26"/>
        <n v="236395.9"/>
        <n v="4985962.0"/>
        <n v="2172884.0"/>
        <n v="41708.55"/>
        <n v="3173198.0"/>
        <n v="950951.1"/>
        <n v="2436392.0"/>
        <n v="269752.4"/>
        <n v="2320902.0"/>
        <n v="3857923.0"/>
        <n v="564168.8"/>
        <n v="6353243.0"/>
        <n v="598661.9"/>
        <n v="1632068.0"/>
        <n v="6032809.0"/>
        <n v="312868.6"/>
        <n v="700375.5"/>
        <n v="581787.5"/>
        <n v="927133.1"/>
        <n v="490134.8"/>
        <n v="410346.4"/>
        <n v="63013.6"/>
        <n v="3403165.0"/>
        <n v="2748757.0"/>
        <n v="5860060.0"/>
        <n v="670805.1"/>
        <n v="468568.8"/>
        <n v="1854646.0"/>
        <n v="4520178.0"/>
        <n v="2529825.0"/>
        <n v="1940639.0"/>
        <n v="341165.5"/>
        <n v="628002.1"/>
        <n v="675867.8"/>
        <n v="2649469.0"/>
        <n v="653516.8"/>
        <n v="18454.74"/>
        <n v="133321.6"/>
        <n v="1090301.0"/>
        <n v="192442.1"/>
        <n v="2679423.0"/>
        <n v="1180054.0"/>
        <n v="1948808.0"/>
        <n v="2027181.0"/>
        <n v="21489.93"/>
        <n v="233675.2"/>
        <n v="5184934.0"/>
        <n v="3118611.0"/>
        <n v="77774.88"/>
        <n v="4502135.0"/>
        <n v="5308.77"/>
        <n v="1234279.0"/>
        <n v="61335.42"/>
        <n v="36299.25"/>
        <n v="503347.9"/>
        <n v="4740.34"/>
        <n v="3868615.0"/>
        <n v="2516927.0"/>
        <n v="1139578.0"/>
        <n v="2670612.0"/>
        <n v="806266.5"/>
        <n v="2264696.0"/>
        <n v="4121047.0"/>
        <n v="4938515.0"/>
        <n v="3389.32"/>
        <n v="6294435.0"/>
        <n v="780294.1"/>
        <n v="34306.41"/>
        <n v="762118.5"/>
        <n v="67754.17"/>
        <n v="1811012.0"/>
        <n v="1704014.0"/>
        <n v="1029804.0"/>
        <n v="1382072.0"/>
        <n v="539661.9"/>
        <n v="309675.0"/>
        <n v="1883389.0"/>
        <n v="2205619.0"/>
        <n v="900248.6"/>
        <n v="8602.26"/>
        <n v="360620.0"/>
        <n v="1180003.0"/>
        <n v="2065623.0"/>
        <n v="1064092.0"/>
        <n v="204367.2"/>
        <n v="1086442.0"/>
        <n v="72452.64"/>
        <n v="785243.8"/>
        <n v="1780716.0"/>
        <n v="137984.6"/>
        <n v="1365744.0"/>
        <n v="2877213.0"/>
        <n v="6202214.0"/>
        <n v="833744.5"/>
        <n v="1372225.0"/>
        <n v="329535.4"/>
        <n v="3764103.0"/>
        <n v="6335.07"/>
        <n v="53428.7"/>
        <n v="821972.1"/>
        <n v="1000442.0"/>
        <n v="473408.7"/>
        <n v="1102085.0"/>
        <n v="449841.9"/>
        <n v="1107708.0"/>
        <n v="972138.2"/>
        <n v="42417.87"/>
        <n v="576686.9"/>
        <n v="1425097.0"/>
        <n v="209159.6"/>
        <n v="4120857.0"/>
        <n v="130917.4"/>
        <n v="1398148.0"/>
        <n v="1830159.0"/>
        <n v="4202868.0"/>
        <n v="2111874.0"/>
        <n v="837316.1"/>
        <n v="91676.58"/>
        <n v="1384978.0"/>
        <n v="214331.7"/>
        <n v="57715.38"/>
        <n v="1271813.0"/>
        <n v="108708.0"/>
        <n v="43897.65"/>
        <n v="954014.4"/>
        <n v="625500.7"/>
        <n v="92544.27"/>
        <n v="876102.0"/>
        <n v="131484.0"/>
        <n v="1849860.0"/>
        <n v="317915.0"/>
        <n v="6282874.0"/>
        <n v="744839.7"/>
        <n v="68233.1"/>
        <n v="3474428.0"/>
        <n v="410938.4"/>
        <n v="4292776.0"/>
        <n v="33420.06"/>
        <n v="3922121.0"/>
        <n v="1799944.0"/>
        <n v="3059526.0"/>
        <n v="481244.2"/>
        <n v="1046190.0"/>
        <n v="76216.77"/>
        <n v="97681.5"/>
        <n v="5493179.0"/>
        <n v="246958.2"/>
        <n v="2865846.0"/>
        <n v="111234.5"/>
        <n v="275226.6"/>
        <n v="182018.2"/>
        <n v="2106013.0"/>
        <n v="649560.3"/>
        <n v="1380299.0"/>
        <n v="3102808.0"/>
        <n v="542137.1"/>
        <n v="4026612.0"/>
        <n v="468885.0"/>
        <n v="62492.34"/>
        <n v="129206.4"/>
        <n v="1652683.0"/>
        <n v="3354869.0"/>
        <n v="503293.3"/>
        <n v="248949.6"/>
        <n v="703107.5"/>
        <n v="1575333.0"/>
        <n v="872168.0"/>
        <n v="4962573.0"/>
        <n v="1702207.0"/>
        <n v="1063483.0"/>
        <n v="3587273.0"/>
        <n v="55326.9"/>
        <n v="519626.4"/>
        <n v="758627.8"/>
        <n v="1164795.0"/>
        <n v="3062500.0"/>
        <n v="2423758.0"/>
        <n v="924071.7"/>
        <n v="3793584.0"/>
        <n v="1026253.0"/>
        <n v="3224141.0"/>
        <n v="298662.2"/>
        <n v="625241.0"/>
        <n v="1485292.0"/>
        <n v="5134987.0"/>
        <n v="640961.2"/>
        <n v="834765.2"/>
        <n v="203205.1"/>
        <n v="756656.3"/>
        <n v="1255212.0"/>
        <n v="3879258.0"/>
        <n v="335566.4"/>
        <n v="767835.0"/>
        <n v="2304863.0"/>
        <n v="5374436.0"/>
        <n v="1440477.0"/>
        <n v="76947.2"/>
        <n v="37553.25"/>
        <n v="1957742.0"/>
        <n v="523834.6"/>
        <n v="63831.2"/>
        <n v="402554.9"/>
        <n v="778069.6"/>
        <n v="290512.3"/>
        <n v="22511.68"/>
        <n v="393931.4"/>
        <n v="3985952.0"/>
        <n v="66056.4"/>
        <n v="1447182.0"/>
        <n v="497533.6"/>
        <n v="775592.8"/>
        <n v="1884602.0"/>
        <n v="807508.4"/>
        <n v="142919.4"/>
        <n v="1964742.0"/>
        <n v="381715.0"/>
        <n v="1146486.0"/>
        <n v="1172272.0"/>
        <n v="70898.67"/>
        <n v="1204161.0"/>
        <n v="251571.1"/>
        <n v="3072625.0"/>
        <n v="3289898.0"/>
        <n v="991141.6"/>
        <n v="6017180.0"/>
        <n v="1338279.0"/>
        <n v="814276.0"/>
        <n v="1059470.0"/>
        <n v="64190.4"/>
        <n v="1903878.0"/>
        <n v="6285079.0"/>
        <n v="1589033.0"/>
        <n v="1033024.0"/>
        <n v="80779.14"/>
        <n v="367092.6"/>
        <n v="388982.6"/>
        <n v="580251.4"/>
        <n v="839489.0"/>
        <n v="209492.3"/>
        <n v="2996217.0"/>
        <n v="100447.1"/>
        <n v="1075643.0"/>
        <n v="42208.92"/>
        <n v="621458.3"/>
        <n v="2528038.0"/>
        <n v="191960.0"/>
        <n v="4145279.0"/>
        <n v="2033417.0"/>
        <n v="2333336.0"/>
        <n v="993119.6"/>
        <n v="752858.4"/>
        <n v="1073194.0"/>
        <n v="579230.3"/>
        <n v="392696.2"/>
        <n v="303347.9"/>
        <n v="77343.2"/>
        <n v="916853.2"/>
        <n v="1257033.0"/>
        <n v="851951.8"/>
        <n v="1264438.0"/>
        <n v="285477.2"/>
        <n v="556306.7"/>
        <n v="2894628.0"/>
        <n v="202801.3"/>
        <n v="2259012.0"/>
        <n v="4032944.0"/>
        <n v="690700.2"/>
        <n v="5639.37"/>
        <n v="248897.0"/>
        <n v="1864671.0"/>
        <n v="135659.6"/>
        <n v="5760604.0"/>
        <n v="252054.4"/>
        <n v="359386.3"/>
        <n v="1992781.0"/>
        <n v="483433.0"/>
        <n v="1861132.0"/>
        <n v="65617.89"/>
        <n v="850363.8"/>
        <n v="1015409.0"/>
        <n v="25694.82"/>
        <n v="250347.5"/>
        <n v="293525.7"/>
        <n v="84865.68"/>
        <n v="10285.0"/>
        <n v="514567.9"/>
        <n v="7163.31"/>
        <n v="3610957.0"/>
        <n v="1850668.0"/>
        <n v="1059933.0"/>
        <n v="31535.4"/>
        <n v="1766906.0"/>
        <n v="259462.4"/>
        <n v="2222095.0"/>
        <n v="676711.6"/>
        <n v="316159.4"/>
        <n v="2936957.0"/>
        <n v="810756.5"/>
        <n v="6510146.0"/>
        <n v="2500964.0"/>
        <n v="537756.0"/>
        <n v="19411.56"/>
        <n v="1692401.0"/>
        <n v="3843889.0"/>
        <n v="928601.9"/>
        <n v="1112621.0"/>
        <n v="1756472.0"/>
        <n v="967655.0"/>
        <n v="480067.0"/>
        <n v="1197143.0"/>
        <n v="1434607.0"/>
        <n v="5566021.0"/>
        <n v="300733.4"/>
        <n v="1115360.0"/>
        <n v="309372.8"/>
        <n v="260148.9"/>
        <n v="535848.5"/>
        <n v="285351.3"/>
        <n v="2907244.0"/>
        <n v="800302.8"/>
        <n v="2679763.0"/>
        <n v="609456.8"/>
        <n v="1005157.0"/>
        <n v="2135672.0"/>
        <n v="88731.5"/>
        <n v="461024.2"/>
        <n v="186953.0"/>
        <n v="33662.64"/>
        <n v="802670.3"/>
        <n v="180483.0"/>
        <n v="59973.24"/>
        <n v="1065794.0"/>
        <n v="810258.7"/>
        <n v="1476669.0"/>
        <n v="301345.5"/>
        <n v="439707.4"/>
        <n v="1115857.0"/>
        <n v="1265952.0"/>
        <n v="279622.9"/>
        <n v="521243.8"/>
        <n v="1119937.0"/>
        <n v="1230718.0"/>
        <n v="533419.7"/>
        <n v="144951.0"/>
        <n v="5864738.0"/>
        <n v="3324469.0"/>
        <n v="63485.65"/>
        <n v="281900.5"/>
        <n v="1412336.0"/>
        <n v="1085939.0"/>
        <n v="109717.1"/>
        <n v="8968.05"/>
        <n v="670664.8"/>
        <n v="3015368.0"/>
        <n v="347679.4"/>
        <n v="1770871.0"/>
        <n v="65291.34"/>
        <n v="532199.0"/>
        <n v="859414.6"/>
        <n v="1430708.0"/>
        <n v="25265.64"/>
        <n v="863530.6"/>
        <n v="511581.1"/>
        <n v="2739932.0"/>
        <n v="37114.74"/>
        <n v="2384489.0"/>
        <n v="248867.9"/>
        <n v="501004.9"/>
        <n v="2581545.0"/>
        <n v="13584.48"/>
        <n v="775669.4"/>
        <n v="684796.7"/>
        <n v="187953.2"/>
        <n v="658302.7"/>
        <n v="1145186.0"/>
        <n v="650906.3"/>
        <n v="24891.51"/>
        <n v="938278.1"/>
        <n v="2346961.0"/>
        <n v="138345.9"/>
        <n v="675724.5"/>
        <n v="52378.62"/>
        <n v="6359717.0"/>
        <n v="457892.5"/>
        <n v="57939.3"/>
        <n v="1020974.0"/>
        <n v="1703813.0"/>
        <n v="276965.7"/>
        <n v="38700.84"/>
        <n v="658535.3"/>
        <n v="2986499.0"/>
        <n v="2012415.0"/>
        <n v="22494.63"/>
        <n v="61708.62"/>
        <n v="2367800.0"/>
        <n v="83606.9"/>
        <n v="2662126.0"/>
        <n v="2023362.0"/>
        <n v="462813.3"/>
        <n v="1384472.0"/>
        <n v="507152.0"/>
        <n v="401057.6"/>
        <n v="945663.6"/>
        <n v="241491.8"/>
        <n v="185608.8"/>
        <n v="3957972.0"/>
        <n v="175556.0"/>
        <n v="39363.27"/>
        <n v="235257.1"/>
        <n v="4068428.0"/>
        <n v="1624602.0"/>
        <n v="2873716.0"/>
        <n v="698045.9"/>
        <n v="57306.48"/>
        <n v="168352.6"/>
        <n v="1296733.0"/>
        <n v="695676.5"/>
        <n v="414665.6"/>
        <n v="69729.06"/>
        <n v="3640264.0"/>
        <n v="35856.3"/>
        <n v="5026727.0"/>
        <n v="537494.1"/>
        <n v="3248553.0"/>
        <n v="1068975.0"/>
        <n v="1163712.0"/>
        <n v="252813.6"/>
        <n v="649508.3"/>
        <n v="409960.1"/>
        <n v="2992634.0"/>
        <n v="319973.0"/>
        <n v="78007.8"/>
        <n v="339481.2"/>
        <n v="1233867.0"/>
        <n v="1611519.0"/>
        <n v="2742580.0"/>
        <n v="1199737.0"/>
        <n v="151125.8"/>
        <n v="2540802.0"/>
        <n v="131236.6"/>
        <n v="444606.5"/>
        <n v="6450235.0"/>
        <n v="1236948.0"/>
        <n v="1010480.0"/>
        <n v="87561.04"/>
        <n v="192556.0"/>
        <n v="30107.91"/>
        <n v="784630.4"/>
        <n v="938841.6"/>
        <n v="4208353.0"/>
        <n v="176696.3"/>
        <n v="5087904.0"/>
        <n v="846419.2"/>
        <n v="572504.7"/>
        <n v="1592437.0"/>
        <n v="308203.8"/>
        <n v="347510.4"/>
        <n v="314346.8"/>
        <n v="43617.75"/>
        <n v="154411.7"/>
        <n v="47946.87"/>
        <n v="2255411.0"/>
        <n v="379090.8"/>
        <n v="1895672.0"/>
        <n v="476965.1"/>
        <n v="714376.2"/>
        <n v="161661.9"/>
        <n v="548980.4"/>
        <n v="374431.3"/>
        <n v="4291992.0"/>
        <n v="301967.6"/>
        <n v="1460264.0"/>
        <n v="5492305.0"/>
        <n v="345554.4"/>
        <n v="575577.8"/>
        <n v="4095690.0"/>
        <n v="973460.4"/>
        <n v="347838.2"/>
        <n v="412198.2"/>
        <n v="3863099.0"/>
        <n v="700831.6"/>
        <n v="304091.9"/>
        <n v="575542.7"/>
        <n v="357192.4"/>
        <n v="1436846.0"/>
        <n v="1228440.0"/>
        <n v="2467120.0"/>
        <n v="262837.5"/>
        <n v="243608.3"/>
        <n v="47208.96"/>
        <n v="1495894.0"/>
        <n v="33261.45"/>
        <n v="2717186.0"/>
        <n v="175122.1"/>
        <n v="541810.2"/>
        <n v="235095.6"/>
        <n v="420656.5"/>
        <n v="56465.16"/>
        <n v="1044.96"/>
        <n v="1235527.0"/>
        <n v="91648.59"/>
        <n v="662502.4"/>
        <n v="30593.07"/>
        <n v="762704.4"/>
        <n v="3495781.0"/>
        <n v="451331.6"/>
        <n v="388995.1"/>
        <n v="2482401.0"/>
        <n v="1514967.0"/>
        <n v="196272.4"/>
        <n v="445849.6"/>
        <n v="1223557.0"/>
        <n v="5864797.0"/>
        <n v="503015.8"/>
        <n v="292870.4"/>
        <n v="577567.4"/>
        <n v="554664.1"/>
        <n v="3609523.0"/>
        <n v="1868973.0"/>
        <n v="405284.4"/>
        <n v="77916.64"/>
        <n v="824626.9"/>
        <n v="5714368.0"/>
        <n v="1805635.0"/>
        <n v="605437.4"/>
        <n v="369445.7"/>
        <n v="2495100.0"/>
        <n v="157043.5"/>
        <n v="55102.98"/>
        <n v="2866210.0"/>
        <n v="981334.4"/>
        <n v="155976.1"/>
        <n v="378899.4"/>
        <n v="1540763.0"/>
        <n v="601758.4"/>
        <n v="3397363.0"/>
        <n v="579138.8"/>
        <n v="68388.9"/>
        <n v="893085.8"/>
        <n v="2391208.0"/>
        <n v="1774707.0"/>
        <n v="2926538.0"/>
        <n v="1089084.0"/>
        <n v="2137459.0"/>
        <n v="551841.0"/>
        <n v="1886269.0"/>
        <n v="440358.0"/>
        <n v="824736.2"/>
        <n v="758558.2"/>
        <n v="545139.1"/>
        <n v="2792396.0"/>
        <n v="339394.2"/>
        <n v="351319.8"/>
        <n v="474755.6"/>
        <n v="3908389.0"/>
        <n v="1953147.0"/>
        <n v="82859.73"/>
        <n v="213001.7"/>
        <n v="52891.77"/>
        <n v="1893674.0"/>
        <n v="650976.3"/>
        <n v="2360319.0"/>
        <n v="74782.95"/>
        <n v="178089.7"/>
        <n v="178951.3"/>
        <n v="127966.9"/>
        <n v="34204.64"/>
        <n v="89395.8"/>
        <n v="79099.15"/>
        <n v="1616303.0"/>
        <n v="2342705.0"/>
        <n v="33877.23"/>
        <n v="4115959.0"/>
        <n v="79249.02"/>
        <n v="1189308.0"/>
        <n v="298880.8"/>
        <n v="71223.12"/>
        <n v="42152.94"/>
        <n v="2763380.0"/>
        <n v="492525.0"/>
        <n v="698628.0"/>
        <n v="278341.7"/>
        <n v="53041.05"/>
        <n v="656295.6"/>
        <n v="6431350.0"/>
        <n v="73259.16"/>
        <n v="844530.3"/>
        <n v="798399.7"/>
        <n v="1461106.0"/>
        <n v="472971.5"/>
        <n v="944265.5"/>
        <n v="83587.47"/>
        <n v="608872.0"/>
        <n v="1272571.0"/>
        <n v="943195.7"/>
        <n v="1156163.0"/>
        <n v="2335085.0"/>
        <n v="35919.65"/>
        <n v="1055569.0"/>
        <n v="1437534.0"/>
        <n v="165911.9"/>
        <n v="3550626.0"/>
        <n v="2128780.0"/>
        <n v="1336625.0"/>
        <n v="1285014.0"/>
        <n v="499852.1"/>
        <n v="118753.7"/>
        <n v="1213685.0"/>
        <n v="6406704.0"/>
        <n v="6036.51"/>
        <n v="1102607.0"/>
        <n v="947986.8"/>
        <n v="51198.55"/>
        <n v="277250.4"/>
        <n v="62523.45"/>
        <n v="1460059.0"/>
        <n v="75843.57"/>
        <n v="1825747.0"/>
        <n v="3200879.0"/>
        <n v="72232.86"/>
        <n v="923414.2"/>
        <n v="197266.3"/>
        <n v="452628.3"/>
        <n v="4149902.0"/>
        <n v="7544.55"/>
        <n v="71412.25"/>
        <n v="19863.57"/>
        <n v="71477.13"/>
        <n v="629671.4"/>
        <n v="53381.25"/>
        <n v="199132.1"/>
        <n v="3189488.0"/>
        <n v="47881.56"/>
        <n v="505470.9"/>
        <n v="42012.99"/>
        <n v="1763477.0"/>
        <n v="82458.54"/>
        <n v="278436.6"/>
        <n v="415482.6"/>
        <n v="510993.3"/>
        <n v="1929406.0"/>
        <n v="1495600.0"/>
        <n v="158183.3"/>
        <n v="767444.7"/>
        <n v="1007181.0"/>
        <n v="15161.25"/>
        <n v="479817.9"/>
        <n v="333385.8"/>
        <n v="195607.6"/>
        <n v="2287066.0"/>
        <n v="1709161.0"/>
        <n v="1065017.0"/>
        <n v="37590.64"/>
        <n v="206011.0"/>
        <n v="645692.3"/>
        <n v="719714.4"/>
        <n v="359179.0"/>
        <n v="14676.09"/>
        <n v="160517.7"/>
        <n v="1518978.0"/>
        <n v="644497.9"/>
        <n v="2771817.0"/>
        <n v="10818.72"/>
        <n v="124698.6"/>
        <n v="190037.3"/>
        <n v="52716.95"/>
        <n v="435768.5"/>
        <n v="3375221.0"/>
        <n v="2558763.0"/>
        <n v="24057.15"/>
        <n v="1415783.0"/>
        <n v="429000.8"/>
        <n v="271176.8"/>
        <n v="30376.08"/>
        <n v="284747.3"/>
        <n v="3434606.0"/>
        <n v="77131.11"/>
        <n v="1306523.0"/>
        <n v="1323175.0"/>
        <n v="1412576.0"/>
        <n v="6037819.0"/>
        <n v="78297.34"/>
        <n v="518822.0"/>
        <n v="1539055.0"/>
        <n v="272242.6"/>
        <n v="1224747.0"/>
        <n v="801591.0"/>
        <n v="1758369.0"/>
        <n v="1330262.0"/>
        <n v="1599840.0"/>
        <n v="39213.99"/>
        <n v="2445945.0"/>
        <n v="59357.46"/>
        <n v="72829.98"/>
        <n v="139578.4"/>
        <n v="77968.38"/>
        <n v="5535285.0"/>
        <n v="3706304.0"/>
        <n v="973722.1"/>
        <n v="861921.3"/>
        <n v="1219725.0"/>
        <n v="179642.5"/>
        <n v="176608.9"/>
        <n v="299540.5"/>
        <n v="104918.4"/>
        <n v="512363.6"/>
        <n v="21874.45"/>
        <n v="291526.0"/>
        <n v="4934218.0"/>
        <n v="5237900.0"/>
        <n v="78661.23"/>
        <n v="1576603.0"/>
        <n v="70455.63"/>
        <n v="758008.4"/>
        <n v="961840.0"/>
        <n v="274261.0"/>
        <n v="60103.86"/>
        <n v="53666.16"/>
        <n v="3083594.0"/>
        <n v="142373.7"/>
        <n v="352364.1"/>
        <n v="565163.0"/>
        <n v="1397324.0"/>
        <n v="1057990.0"/>
        <n v="265970.1"/>
        <n v="4204134.0"/>
        <n v="714018.2"/>
        <n v="728897.6"/>
        <n v="208835.6"/>
        <n v="2005.95"/>
        <n v="2540763.0"/>
        <n v="511793.3"/>
        <n v="1953773.0"/>
        <n v="612368.9"/>
        <n v="4943193.0"/>
        <n v="682971.9"/>
        <n v="5870007.0"/>
        <n v="1557744.0"/>
        <n v="2270716.0"/>
        <n v="1288505.0"/>
        <n v="1379607.0"/>
        <n v="796323.4"/>
        <n v="742165.6"/>
        <n v="3190686.0"/>
        <n v="798338.6"/>
        <n v="1946128.0"/>
        <n v="1409045.0"/>
        <n v="1941602.0"/>
        <n v="1042370.0"/>
        <n v="831461.8"/>
        <n v="808606.7"/>
        <n v="2041729.0"/>
        <n v="802570.8"/>
        <n v="44476.96"/>
        <n v="69611.85"/>
        <n v="3623514.0"/>
        <n v="5243.46"/>
        <n v="4136631.0"/>
        <n v="364934.9"/>
        <n v="857804.8"/>
        <n v="872819.4"/>
        <n v="12520.86"/>
        <n v="2321969.0"/>
        <n v="310901.6"/>
        <n v="768903.4"/>
        <n v="327879.5"/>
        <n v="1126024.0"/>
        <n v="4207.83"/>
        <n v="69480.51"/>
        <n v="439583.0"/>
        <n v="142729.6"/>
        <n v="4086471.0"/>
        <n v="5024054.0"/>
        <n v="42610.11"/>
        <n v="1096631.0"/>
        <n v="1314947.0"/>
        <n v="697892.5"/>
        <n v="67931.73"/>
        <n v="990231.1"/>
        <n v="1918603.0"/>
        <n v="2545816.0"/>
        <n v="1303110.0"/>
        <n v="2201739.0"/>
        <n v="699884.5"/>
        <n v="3128172.0"/>
        <n v="1797682.0"/>
        <n v="65167.38"/>
        <n v="3751000.0"/>
        <n v="65783.62"/>
        <n v="43981.62"/>
        <n v="3578586.0"/>
        <n v="194115.6"/>
        <n v="78110.76"/>
        <n v="959384.8"/>
        <n v="2169358.0"/>
        <n v="63826.53"/>
        <n v="418433.1"/>
        <n v="180214.7"/>
        <n v="1301162.0"/>
        <n v="4994129.0"/>
        <n v="434232.7"/>
        <n v="675981.4"/>
        <n v="347746.1"/>
        <n v="3959283.0"/>
        <n v="1314132.0"/>
        <n v="872760.6"/>
        <n v="320951.8"/>
        <n v="689993.9"/>
        <n v="398532.6"/>
        <n v="2334267.0"/>
        <n v="994448.0"/>
        <n v="732863.4"/>
        <n v="1072637.0"/>
        <n v="696351.2"/>
        <n v="1247769.0"/>
        <n v="1994467.0"/>
        <n v="1479873.0"/>
        <n v="31162.2"/>
        <n v="992762.6"/>
        <n v="86786.05"/>
        <n v="669236.6"/>
        <n v="904178.1"/>
        <n v="5614733.0"/>
        <n v="1646932.0"/>
        <n v="3845226.0"/>
        <n v="1689443.0"/>
        <n v="836083.6"/>
        <n v="2135969.0"/>
        <n v="5409601.0"/>
        <n v="31696.6"/>
        <n v="825829.0"/>
        <n v="5337317.0"/>
        <n v="1599935.0"/>
        <n v="49435.92"/>
        <n v="2492181.0"/>
        <n v="681342.3"/>
        <n v="497258.2"/>
        <n v="2307731.0"/>
        <n v="3572538.0"/>
        <n v="786014.1"/>
        <n v="22615.92"/>
        <n v="84147.27"/>
        <n v="402660.7"/>
        <n v="68992.3"/>
        <n v="64038.08"/>
        <n v="1422675.0"/>
        <n v="386148.1"/>
        <n v="1796661.0"/>
        <n v="470961.4"/>
        <n v="37441.29"/>
        <n v="1066136.0"/>
        <n v="1093083.0"/>
        <n v="3353080.0"/>
        <n v="6286781.0"/>
        <n v="707046.2"/>
        <n v="4776126.0"/>
        <n v="447603.2"/>
        <n v="5216516.0"/>
        <n v="91552.99"/>
        <n v="187733.8"/>
        <n v="6314483.0"/>
        <n v="1654365.0"/>
        <n v="4164767.0"/>
        <n v="376231.1"/>
        <n v="21281.73"/>
        <n v="1267006.0"/>
        <n v="1387077.0"/>
        <n v="443894.8"/>
        <n v="1231115.0"/>
        <n v="70644.54"/>
        <n v="1375783.0"/>
        <n v="1260357.0"/>
        <n v="2477760.0"/>
        <n v="754761.2"/>
        <n v="899702.2"/>
        <n v="352700.0"/>
        <n v="4849635.0"/>
        <n v="337391.4"/>
        <n v="363273.5"/>
        <n v="123902.7"/>
        <n v="3642740.0"/>
        <n v="2944370.0"/>
        <n v="617998.3"/>
        <n v="1900874.0"/>
        <n v="273596.7"/>
        <n v="13687.11"/>
        <n v="86927.61"/>
        <n v="6069928.0"/>
        <n v="1482943.0"/>
        <n v="147544.9"/>
        <n v="1213230.0"/>
        <n v="577749.4"/>
        <n v="2680431.0"/>
        <n v="515758.3"/>
        <n v="61913.88"/>
        <n v="1714781.0"/>
        <n v="58349.82"/>
        <n v="678956.6"/>
        <n v="557562.1"/>
        <n v="490885.8"/>
        <n v="217892.2"/>
        <n v="323466.7"/>
        <n v="1442034.0"/>
        <n v="1049687.0"/>
        <n v="436438.2"/>
        <n v="178506.9"/>
        <n v="152274.8"/>
        <n v="1481552.0"/>
        <n v="6244453.0"/>
        <n v="602460.8"/>
        <n v="321568.7"/>
        <n v="33830.58"/>
        <n v="305870.3"/>
        <n v="5159537.0"/>
        <n v="917245.6"/>
        <n v="1446136.0"/>
        <n v="619627.4"/>
        <n v="887847.8"/>
        <n v="107996.2"/>
        <n v="278059.2"/>
        <n v="536455.5"/>
        <n v="56655.3"/>
        <n v="403945.3"/>
        <n v="1111489.0"/>
        <n v="5588033.0"/>
        <n v="778723.4"/>
        <n v="690618.5"/>
        <n v="5621245.0"/>
        <n v="170945.2"/>
        <n v="936376.7"/>
        <n v="1294270.0"/>
        <n v="5868079.0"/>
        <n v="1442587.0"/>
        <n v="2596733.0"/>
        <n v="852056.2"/>
        <n v="5409.3"/>
        <n v="6299154.0"/>
        <n v="781392.3"/>
        <n v="495753.8"/>
        <n v="1223853.0"/>
        <n v="5059250.0"/>
        <n v="2078490.0"/>
        <n v="719379.0"/>
        <n v="3314850.0"/>
        <n v="49010.49"/>
        <n v="453087.1"/>
        <n v="1180307.0"/>
        <n v="474603.0"/>
        <n v="3251019.0"/>
        <n v="653104.4"/>
        <n v="56101.29"/>
        <n v="1546376.0"/>
        <n v="4063644.0"/>
        <n v="1109752.0"/>
        <n v="425009.7"/>
        <n v="319433.1"/>
        <n v="66728.16"/>
        <n v="3585914.0"/>
        <n v="4320410.0"/>
        <n v="202085.3"/>
        <n v="810199.8"/>
        <n v="16075.59"/>
        <n v="38253.0"/>
        <n v="419932.5"/>
        <n v="1450783.0"/>
        <n v="537066.0"/>
        <n v="2921166.0"/>
        <n v="231283.7"/>
        <n v="1221770.0"/>
        <n v="444929.1"/>
        <n v="936111.8"/>
        <n v="402966.3"/>
        <n v="1384361.0"/>
        <n v="90556.98"/>
        <n v="2461154.0"/>
        <n v="4766857.0"/>
        <n v="85749.96"/>
        <n v="85966.62"/>
        <n v="105586.7"/>
        <n v="473727.1"/>
        <n v="1037378.0"/>
        <n v="2623200.0"/>
        <n v="345792.5"/>
        <n v="1445686.0"/>
        <n v="1311118.0"/>
        <n v="3501556.0"/>
        <n v="56651.76"/>
        <n v="194844.3"/>
        <n v="308614.8"/>
        <n v="546339.2"/>
        <n v="883859.6"/>
        <n v="1236966.0"/>
        <n v="9413.97"/>
        <n v="1329375.0"/>
        <n v="602528.7"/>
        <n v="3061338.0"/>
        <n v="237465.4"/>
        <n v="1744328.0"/>
        <n v="4871051.0"/>
        <n v="443474.0"/>
        <n v="1035905.0"/>
        <n v="674585.4"/>
        <n v="767286.0"/>
        <n v="4325712.0"/>
        <n v="1075842.0"/>
        <n v="4841616.0"/>
        <n v="134710.6"/>
        <n v="2908254.0"/>
        <n v="726532.4"/>
        <n v="2342955.0"/>
        <n v="660597.6"/>
        <n v="1006166.0"/>
        <n v="2014009.0"/>
        <n v="898169.8"/>
        <n v="1706547.0"/>
        <n v="219073.3"/>
        <n v="234498.0"/>
        <n v="2584652.0"/>
        <n v="10833.18"/>
        <n v="1022496.0"/>
        <n v="445541.5"/>
        <n v="416005.7"/>
        <n v="639585.2"/>
        <n v="612157.7"/>
        <n v="91645.52"/>
        <n v="1968712.0"/>
        <n v="2769225.0"/>
        <n v="86703.69"/>
        <n v="1364047.0"/>
        <n v="4299862.0"/>
        <n v="4916462.0"/>
        <n v="2402314.0"/>
        <n v="88271.13"/>
        <n v="599244.4"/>
        <n v="1786194.0"/>
        <n v="118952.1"/>
        <n v="52527.9"/>
        <n v="2765970.0"/>
        <n v="2294864.0"/>
        <n v="873923.8"/>
        <n v="608471.0"/>
        <n v="983700.0"/>
        <n v="1442464.0"/>
        <n v="393092.7"/>
        <n v="328828.5"/>
        <n v="5527470.0"/>
        <n v="552098.8"/>
        <n v="407796.8"/>
        <n v="2304632.0"/>
        <n v="617225.0"/>
        <n v="1359335.0"/>
        <n v="724536.5"/>
        <n v="460405.5"/>
        <n v="3175619.0"/>
        <n v="510990.4"/>
        <n v="896712.7"/>
        <n v="577262.8"/>
        <n v="256324.9"/>
        <n v="575355.2"/>
        <n v="3794479.0"/>
        <n v="3484921.0"/>
        <n v="3217720.0"/>
        <n v="1671107.0"/>
        <n v="2358993.0"/>
        <n v="81087.03"/>
        <n v="1707721.0"/>
        <n v="1386189.0"/>
        <n v="391977.1"/>
        <n v="133430.9"/>
        <n v="181174.6"/>
        <n v="6355916.0"/>
        <n v="3419840.0"/>
        <n v="222604.2"/>
        <n v="5847363.0"/>
        <n v="719567.3"/>
        <n v="716935.6"/>
        <n v="608254.9"/>
        <n v="976278.2"/>
        <n v="6512.1"/>
        <n v="433409.9"/>
        <n v="26021.37"/>
        <n v="755757.3"/>
        <n v="472466.9"/>
        <n v="31927.26"/>
        <n v="3795105.0"/>
        <n v="1179604.0"/>
        <n v="100594.0"/>
        <n v="1237256.0"/>
        <n v="758621.8"/>
        <n v="1493225.0"/>
        <n v="89194.8"/>
        <n v="811407.7"/>
        <n v="796528.3"/>
        <n v="1288452.0"/>
        <n v="2129290.0"/>
        <n v="915766.4"/>
        <n v="54403.23"/>
        <n v="99048.64"/>
        <n v="581422.4"/>
        <n v="3170273.0"/>
        <n v="1785088.0"/>
        <n v="1976777.0"/>
        <n v="763869.3"/>
        <n v="870747.1"/>
        <n v="825638.7"/>
        <n v="1240782.0"/>
        <n v="478120.5"/>
        <n v="304391.8"/>
        <n v="2010306.0"/>
        <n v="1021506.0"/>
        <n v="795707.8"/>
        <n v="1568430.0"/>
        <n v="1204595.0"/>
        <n v="1122686.0"/>
        <n v="1264430.0"/>
        <n v="1336753.0"/>
        <n v="60019.89"/>
        <n v="708264.0"/>
        <n v="1027888.0"/>
        <n v="79032.91"/>
        <n v="3853861.0"/>
        <n v="6659979.0"/>
        <n v="391768.8"/>
        <n v="880396.0"/>
        <n v="326445.9"/>
        <n v="426416.1"/>
        <n v="40473.54"/>
        <n v="438322.1"/>
        <n v="3692803.0"/>
        <n v="355815.7"/>
        <n v="872990.8"/>
        <n v="447308.3"/>
        <n v="416085.7"/>
        <n v="5897483.0"/>
        <n v="3635004.0"/>
        <n v="1015504.0"/>
        <n v="5746277.0"/>
        <n v="38206.35"/>
        <n v="1847767.0"/>
        <n v="1235555.0"/>
        <n v="21962.82"/>
        <n v="357650.5"/>
        <n v="305922.9"/>
        <n v="860038.3"/>
        <n v="1272060.0"/>
        <n v="15366.51"/>
        <n v="1003816.0"/>
        <n v="610311.9"/>
        <n v="819299.0"/>
        <n v="1788236.0"/>
        <n v="382823.3"/>
        <n v="439566.8"/>
        <n v="920028.3"/>
        <n v="2208253.0"/>
        <n v="5409646.0"/>
        <n v="1804064.0"/>
        <n v="791043.8"/>
        <n v="668465.8"/>
        <n v="178459.5"/>
        <n v="1533494.0"/>
        <n v="64423.65"/>
        <n v="216851.2"/>
        <n v="1075801.0"/>
        <n v="1091405.0"/>
        <n v="2252080.0"/>
        <n v="280747.2"/>
        <n v="2009634.0"/>
        <n v="621022.1"/>
        <n v="1284931.0"/>
        <n v="1123533.0"/>
        <n v="191935.3"/>
        <n v="881993.5"/>
        <n v="216751.6"/>
        <n v="1703739.0"/>
        <n v="2261636.0"/>
        <n v="2203953.0"/>
        <n v="5875217.0"/>
        <n v="37438.05"/>
        <n v="16616.73"/>
        <n v="2309728.0"/>
        <n v="76536.85"/>
        <n v="796473.6"/>
        <n v="5980061.0"/>
        <n v="132556.6"/>
        <n v="625561.4"/>
        <n v="3787728.0"/>
        <n v="127688.0"/>
        <n v="77700.24"/>
        <n v="268501.0"/>
        <n v="300521.2"/>
        <n v="1944468.0"/>
        <n v="494987.9"/>
        <n v="563223.2"/>
        <n v="1066538.0"/>
        <n v="1415027.0"/>
        <n v="3217355.0"/>
        <n v="4197120.0"/>
        <n v="356497.1"/>
        <n v="1988103.0"/>
        <n v="2527527.0"/>
        <n v="121661.8"/>
        <n v="430563.2"/>
        <n v="2694465.0"/>
        <n v="3258485.0"/>
        <n v="1414506.0"/>
        <n v="3005966.0"/>
        <n v="1595615.0"/>
        <n v="3205942.0"/>
        <n v="314088.4"/>
        <n v="271081.9"/>
        <n v="4137224.0"/>
        <n v="2258753.0"/>
        <n v="132005.9"/>
        <n v="772765.0"/>
        <n v="1160534.0"/>
        <n v="71561.1"/>
        <n v="52945.26"/>
        <n v="1659588.0"/>
        <n v="586833.6"/>
        <n v="417558.9"/>
        <n v="4689919.0"/>
        <n v="861503.5"/>
        <n v="963588.8"/>
        <n v="4374495.0"/>
        <n v="149522.4"/>
        <n v="1026108.0"/>
        <n v="365760.2"/>
        <n v="506714.8"/>
        <n v="3667615.0"/>
        <n v="2435844.0"/>
        <n v="449250.1"/>
        <n v="1253435.0"/>
        <n v="895986.7"/>
        <n v="2098560.0"/>
        <n v="1511175.0"/>
        <n v="346195.2"/>
        <n v="171347.3"/>
        <n v="877945.3"/>
        <n v="771939.9"/>
        <n v="59870.61"/>
        <n v="1209349.0"/>
        <n v="1118322.0"/>
        <n v="721856.0"/>
        <n v="127782.9"/>
        <n v="220648.5"/>
        <n v="4211985.0"/>
        <n v="925273.8"/>
        <n v="4882121.0"/>
        <n v="1079069.0"/>
        <n v="3456967.0"/>
        <n v="487601.2"/>
        <n v="1262998.0"/>
        <n v="1834378.0"/>
        <n v="674272.5"/>
        <n v="1071179.0"/>
        <n v="809840.9"/>
        <n v="57855.33"/>
        <n v="418130.7"/>
        <n v="166027.6"/>
        <n v="4142606.0"/>
        <n v="2150373.0"/>
        <n v="448375.8"/>
        <n v="634580.2"/>
        <n v="2103252.0"/>
        <n v="2678580.0"/>
        <n v="80727.44"/>
        <n v="803487.6"/>
        <n v="827302.2"/>
        <n v="811742.1"/>
        <n v="6310876.0"/>
        <n v="3795252.0"/>
        <n v="442939.7"/>
        <n v="1104764.0"/>
        <n v="4505071.0"/>
        <n v="4859329.0"/>
        <n v="672181.3"/>
        <n v="804956.5"/>
        <n v="4894494.0"/>
        <n v="11742.88"/>
        <n v="65937.68"/>
        <n v="779871.1"/>
        <n v="4543568.0"/>
        <n v="3887582.0"/>
        <n v="159293.5"/>
        <n v="2530602.0"/>
        <n v="12016.68"/>
        <n v="86890.29"/>
        <n v="510554.8"/>
        <n v="365499.2"/>
        <n v="291340.5"/>
        <n v="4311010.0"/>
        <n v="1113986.0"/>
        <n v="3204676.0"/>
        <n v="2031493.0"/>
        <n v="1564356.0"/>
        <n v="331905.5"/>
        <n v="709334.7"/>
        <n v="2961246.0"/>
        <n v="647543.6"/>
        <n v="2114406.0"/>
        <n v="132317.5"/>
        <n v="1449705.0"/>
        <n v="763797.8"/>
        <n v="564977.6"/>
        <n v="4809539.0"/>
        <n v="257791.5"/>
        <n v="46216.3"/>
        <n v="255803.0"/>
        <n v="545197.9"/>
        <n v="180044.4"/>
        <n v="614203.7"/>
        <n v="747012.2"/>
        <n v="3885834.0"/>
        <n v="302506.8"/>
        <n v="212416.3"/>
        <n v="263810.8"/>
        <n v="1838426.0"/>
        <n v="5005851.0"/>
        <n v="750535.0"/>
        <n v="401949.0"/>
        <n v="953930.2"/>
        <n v="55952.01"/>
        <n v="79799.34"/>
        <n v="1194455.0"/>
        <n v="28115.12"/>
        <n v="156270.4"/>
        <n v="421261.1"/>
        <n v="3688453.0"/>
        <n v="755605.0"/>
        <n v="1912187.0"/>
        <n v="4718668.0"/>
        <n v="1038364.0"/>
        <n v="901290.1"/>
        <n v="401212.6"/>
        <n v="610835.0"/>
        <n v="152694.1"/>
        <n v="874677.1"/>
        <n v="551688.9"/>
        <n v="2303170.0"/>
        <n v="268298.5"/>
        <n v="277391.6"/>
        <n v="417668.8"/>
        <n v="846361.3"/>
        <n v="747308.1"/>
        <n v="3117767.0"/>
        <n v="147746.6"/>
        <n v="774576.6"/>
        <n v="3582854.0"/>
        <n v="3545172.0"/>
        <n v="117694.6"/>
        <n v="1328477.0"/>
        <n v="1028325.0"/>
        <n v="377447.0"/>
      </sharedItems>
    </cacheField>
    <cacheField name="Total Cost" numFmtId="0">
      <sharedItems containsSemiMixedTypes="0" containsString="0" containsNumber="1">
        <n v="87999.84"/>
        <n v="211152.5"/>
        <n v="151892.6"/>
        <n v="1055864.0"/>
        <n v="734892.5"/>
        <n v="2720.16"/>
        <n v="295966.7"/>
        <n v="33223.68"/>
        <n v="316861.4"/>
        <n v="1565026.0"/>
        <n v="1944452.0"/>
        <n v="1943902.0"/>
        <n v="1143228.0"/>
        <n v="1786957.0"/>
        <n v="1024752.0"/>
        <n v="1346800.0"/>
        <n v="657689.8"/>
        <n v="3289399.0"/>
        <n v="55378.18"/>
        <n v="824520.2"/>
        <n v="54615.22"/>
        <n v="569448.2"/>
        <n v="34309.36"/>
        <n v="226726.3"/>
        <n v="329152.3"/>
        <n v="470196.7"/>
        <n v="9618.8"/>
        <n v="2564430.0"/>
        <n v="942172.2"/>
        <n v="283258.1"/>
        <n v="1672146.0"/>
        <n v="134185.0"/>
        <n v="165795.8"/>
        <n v="2028406.0"/>
        <n v="35638.0"/>
        <n v="1056566.0"/>
        <n v="1273991.0"/>
        <n v="662970.6"/>
        <n v="175903.7"/>
        <n v="216151.0"/>
        <n v="678323.4"/>
        <n v="193074.7"/>
        <n v="2013818.0"/>
        <n v="8184.96"/>
        <n v="159898.3"/>
        <n v="4842231.0"/>
        <n v="2032381.0"/>
        <n v="3262490.0"/>
        <n v="241000.0"/>
        <n v="8289.84"/>
        <n v="487687.2"/>
        <n v="298177.3"/>
        <n v="3624849.0"/>
        <n v="605560.7"/>
        <n v="96552.96"/>
        <n v="693432.2"/>
        <n v="153646.1"/>
        <n v="453076.7"/>
        <n v="714253.9"/>
        <n v="1085682.0"/>
        <n v="590468.6"/>
        <n v="182347.4"/>
        <n v="84652.02"/>
        <n v="175858.6"/>
        <n v="2251882.0"/>
        <n v="1552432.0"/>
        <n v="127061.8"/>
        <n v="311859.9"/>
        <n v="283709.4"/>
        <n v="168963.9"/>
        <n v="133683.2"/>
        <n v="698746.0"/>
        <n v="240695.4"/>
        <n v="1240128.0"/>
        <n v="99216.59"/>
        <n v="1872007.0"/>
        <n v="55539.92"/>
        <n v="1282477.0"/>
        <n v="2407167.0"/>
        <n v="36182.88"/>
        <n v="849070.9"/>
        <n v="2424790.0"/>
        <n v="474178.4"/>
        <n v="3390637.0"/>
        <n v="2073197.0"/>
        <n v="2533235.0"/>
        <n v="2265090.0"/>
        <n v="3246470.0"/>
        <n v="31090.62"/>
        <n v="87676.82"/>
        <n v="771520.7"/>
        <n v="971701.0"/>
        <n v="5226502.0"/>
        <n v="910576.8"/>
        <n v="57852.34"/>
        <n v="454798.7"/>
        <n v="3719.43"/>
        <n v="32489.4"/>
        <n v="1627727.0"/>
        <n v="502907.5"/>
        <n v="3404709.0"/>
        <n v="374631.6"/>
        <n v="36339.54"/>
        <n v="1005155.0"/>
        <n v="166643.2"/>
        <n v="20289.44"/>
        <n v="368411.7"/>
        <n v="3934888.0"/>
        <n v="29747.2"/>
        <n v="44585.56"/>
        <n v="694978.0"/>
        <n v="2327673.0"/>
        <n v="4647471.0"/>
        <n v="564829.9"/>
        <n v="502946.3"/>
        <n v="1862413.0"/>
        <n v="31984.24"/>
        <n v="4627522.0"/>
        <n v="312195.0"/>
        <n v="503436.6"/>
        <n v="1811112.0"/>
        <n v="1323345.0"/>
        <n v="1500861.0"/>
        <n v="396311.7"/>
        <n v="76121.5"/>
        <n v="211719.1"/>
        <n v="2274572.0"/>
        <n v="20917.82"/>
        <n v="559434.5"/>
        <n v="39463.62"/>
        <n v="93055.2"/>
        <n v="118544.9"/>
        <n v="44982.85"/>
        <n v="1351541.0"/>
        <n v="226645.4"/>
        <n v="2199081.0"/>
        <n v="2043723.0"/>
        <n v="61352.72"/>
        <n v="320922.2"/>
        <n v="103075.8"/>
        <n v="3433921.0"/>
        <n v="119364.0"/>
        <n v="3295174.0"/>
        <n v="1526765.0"/>
        <n v="2149036.0"/>
        <n v="2223150.0"/>
        <n v="4977146.0"/>
        <n v="759617.1"/>
        <n v="3594669.0"/>
        <n v="3206354.0"/>
        <n v="18724.31"/>
        <n v="26275.24"/>
        <n v="448714.3"/>
        <n v="147060.5"/>
        <n v="575244.3"/>
        <n v="975430.1"/>
        <n v="834525.9"/>
        <n v="1043333.0"/>
        <n v="2043967.0"/>
        <n v="116051.0"/>
        <n v="4584476.0"/>
        <n v="1831197.0"/>
        <n v="404911.3"/>
        <n v="803374.6"/>
        <n v="963826.6"/>
        <n v="2138687.0"/>
        <n v="28939.68"/>
        <n v="2140318.0"/>
        <n v="637478.1"/>
        <n v="653590.9"/>
        <n v="19264.74"/>
        <n v="4373103.0"/>
        <n v="1900606.0"/>
        <n v="46972.96"/>
        <n v="24801.28"/>
        <n v="2887805.0"/>
        <n v="855822.5"/>
        <n v="273426.5"/>
        <n v="332652.9"/>
        <n v="1589099.0"/>
        <n v="496932.5"/>
        <n v="868381.5"/>
        <n v="82171.5"/>
        <n v="722712.5"/>
        <n v="521756.3"/>
        <n v="869896.7"/>
        <n v="321467.0"/>
        <n v="100424.6"/>
        <n v="853196.2"/>
        <n v="2552356.0"/>
        <n v="1334556.0"/>
        <n v="142015.0"/>
        <n v="97075.71"/>
        <n v="414607.2"/>
        <n v="437054.5"/>
        <n v="90408.92"/>
        <n v="55629.88"/>
        <n v="1375373.0"/>
        <n v="1065960.0"/>
        <n v="1643306.0"/>
        <n v="1846332.0"/>
        <n v="1546316.0"/>
        <n v="485037.7"/>
        <n v="482838.3"/>
        <n v="626520.6"/>
        <n v="1142209.0"/>
        <n v="466689.4"/>
        <n v="125070.7"/>
        <n v="1502887.0"/>
        <n v="68110.56"/>
        <n v="1281577.0"/>
        <n v="4867429.0"/>
        <n v="869108.9"/>
        <n v="173767.8"/>
        <n v="458573.6"/>
        <n v="478733.9"/>
        <n v="2791107.0"/>
        <n v="2532971.0"/>
        <n v="578314.8"/>
        <n v="822128.9"/>
        <n v="723199.7"/>
        <n v="582409.9"/>
        <n v="4281049.0"/>
        <n v="1211845.0"/>
        <n v="75565.08"/>
        <n v="212503.4"/>
        <n v="2315197.0"/>
        <n v="173764.1"/>
        <n v="11549.12"/>
        <n v="256363.5"/>
        <n v="128343.0"/>
        <n v="1606903.0"/>
        <n v="9549.6"/>
        <n v="158684.1"/>
        <n v="4113062.0"/>
        <n v="262990.6"/>
        <n v="353346.6"/>
        <n v="93725.33"/>
        <n v="624416.3"/>
        <n v="3534940.0"/>
        <n v="63470.24"/>
        <n v="214645.8"/>
        <n v="530204.5"/>
        <n v="534511.4"/>
        <n v="1243958.0"/>
        <n v="50181.6"/>
        <n v="636510.0"/>
        <n v="104660.4"/>
        <n v="4350344.0"/>
        <n v="560767.2"/>
        <n v="252317.2"/>
        <n v="624154.7"/>
        <n v="4783960.0"/>
        <n v="1119766.0"/>
        <n v="423891.6"/>
        <n v="179773.4"/>
        <n v="68060.67"/>
        <n v="545902.1"/>
        <n v="343173.3"/>
        <n v="758765.3"/>
        <n v="1155173.0"/>
        <n v="4469591.0"/>
        <n v="115524.9"/>
        <n v="570091.5"/>
        <n v="2864.88"/>
        <n v="6857.07"/>
        <n v="228833.8"/>
        <n v="56268.8"/>
        <n v="742352.5"/>
        <n v="488835.4"/>
        <n v="55090.12"/>
        <n v="510941.1"/>
        <n v="766176.2"/>
        <n v="348400.6"/>
        <n v="12580.74"/>
        <n v="1339823.0"/>
        <n v="233425.9"/>
        <n v="792818.7"/>
        <n v="20503.96"/>
        <n v="230052.9"/>
        <n v="438455.8"/>
        <n v="468869.8"/>
        <n v="84891.66"/>
        <n v="82141.92"/>
        <n v="867785.1"/>
        <n v="53216.46"/>
        <n v="571890.5"/>
        <n v="520329.6"/>
        <n v="47942.82"/>
        <n v="43284.6"/>
        <n v="228792.6"/>
        <n v="486496.5"/>
        <n v="23230.44"/>
        <n v="317582.1"/>
        <n v="453558.8"/>
        <n v="1089396.0"/>
        <n v="1757.68"/>
        <n v="959013.8"/>
        <n v="67961.32"/>
        <n v="1444505.0"/>
        <n v="217825.1"/>
        <n v="722217.4"/>
        <n v="683151.8"/>
        <n v="373928.6"/>
        <n v="769358.7"/>
        <n v="1472084.0"/>
        <n v="169948.2"/>
        <n v="1040216.0"/>
        <n v="14192.64"/>
        <n v="18718.6"/>
        <n v="1547490.0"/>
        <n v="549075.6"/>
        <n v="2905485.0"/>
        <n v="184259.0"/>
        <n v="683922.4"/>
        <n v="43077.0"/>
        <n v="367731.6"/>
        <n v="246516.6"/>
        <n v="2803168.0"/>
        <n v="380511.9"/>
        <n v="463885.7"/>
        <n v="2280174.0"/>
        <n v="495960.9"/>
        <n v="241060.1"/>
        <n v="52799.6"/>
        <n v="3604375.0"/>
        <n v="2597687.0"/>
        <n v="520627.3"/>
        <n v="102588.4"/>
        <n v="198582.7"/>
        <n v="1118869.0"/>
        <n v="132267.8"/>
        <n v="574768.5"/>
        <n v="301623.5"/>
        <n v="1801441.0"/>
        <n v="2721254.0"/>
        <n v="1086547.0"/>
        <n v="2276004.0"/>
        <n v="136601.6"/>
        <n v="985644.2"/>
        <n v="286750.2"/>
        <n v="224779.0"/>
        <n v="409894.1"/>
        <n v="692557.9"/>
        <n v="2364703.0"/>
        <n v="59726.52"/>
        <n v="87565.59"/>
        <n v="1177795.0"/>
        <n v="201802.9"/>
        <n v="3033127.0"/>
        <n v="419443.0"/>
        <n v="324572.6"/>
        <n v="290432.8"/>
        <n v="3592826.0"/>
        <n v="327448.7"/>
        <n v="562228.8"/>
        <n v="428042.7"/>
        <n v="2507955.0"/>
        <n v="20473.44"/>
        <n v="1636.74"/>
        <n v="1145289.0"/>
        <n v="53025.72"/>
        <n v="2437.12"/>
        <n v="506189.7"/>
        <n v="2396378.0"/>
        <n v="1369577.0"/>
        <n v="677701.3"/>
        <n v="1893470.0"/>
        <n v="49642.92"/>
        <n v="317578.7"/>
        <n v="682520.6"/>
        <n v="382069.1"/>
        <n v="3501.52"/>
        <n v="781468.8"/>
        <n v="176116.6"/>
        <n v="158332.7"/>
        <n v="388463.4"/>
        <n v="183651.8"/>
        <n v="3605425.0"/>
        <n v="690766.9"/>
        <n v="1114186.0"/>
        <n v="28279.23"/>
        <n v="1084375.0"/>
        <n v="35768.32"/>
        <n v="253201.6"/>
        <n v="129130.2"/>
        <n v="63725.76"/>
        <n v="3496234.0"/>
        <n v="3107888.0"/>
        <n v="55097.04"/>
        <n v="984064.2"/>
        <n v="602956.8"/>
        <n v="522661.9"/>
        <n v="643784.4"/>
        <n v="9431.96"/>
        <n v="3127306.0"/>
        <n v="2772738.0"/>
        <n v="1824236.0"/>
        <n v="61214.32"/>
        <n v="42502.5"/>
        <n v="103508.2"/>
        <n v="88202.24"/>
        <n v="545940.9"/>
        <n v="502206.4"/>
        <n v="3383602.0"/>
        <n v="529864.5"/>
        <n v="542102.2"/>
        <n v="1541797.0"/>
        <n v="106432.9"/>
        <n v="1507157.0"/>
        <n v="24593.68"/>
        <n v="641874.9"/>
        <n v="267417.5"/>
        <n v="735260.0"/>
        <n v="325984.1"/>
        <n v="708940.7"/>
        <n v="705270.7"/>
        <n v="54371.52"/>
        <n v="18373.6"/>
        <n v="302887.8"/>
        <n v="500744.2"/>
        <n v="1097045.0"/>
        <n v="294461.4"/>
        <n v="4535424.0"/>
        <n v="51401.76"/>
        <n v="1318882.0"/>
        <n v="1254534.0"/>
        <n v="801032.4"/>
        <n v="65158.72"/>
        <n v="1090450.0"/>
        <n v="162608.4"/>
        <n v="333028.4"/>
        <n v="751377.8"/>
        <n v="35285.08"/>
        <n v="2286242.0"/>
        <n v="44621.6"/>
        <n v="118926.4"/>
        <n v="366144.9"/>
        <n v="717071.2"/>
        <n v="3085596.0"/>
        <n v="1068592.0"/>
        <n v="321619.4"/>
        <n v="32457.59"/>
        <n v="887331.7"/>
        <n v="34852.05"/>
        <n v="58849.28"/>
        <n v="603704.0"/>
        <n v="1340965.0"/>
        <n v="76880.16"/>
        <n v="970230.1"/>
        <n v="7060.48"/>
        <n v="327779.3"/>
        <n v="404608.0"/>
        <n v="198591.1"/>
        <n v="407074.4"/>
        <n v="49824.0"/>
        <n v="8124.08"/>
        <n v="836476.7"/>
        <n v="356907.7"/>
        <n v="102936.0"/>
        <n v="195854.4"/>
        <n v="154838.0"/>
        <n v="225263.3"/>
        <n v="4628393.0"/>
        <n v="57072.36"/>
        <n v="412110.1"/>
        <n v="12608.24"/>
        <n v="15339.52"/>
        <n v="244072.0"/>
        <n v="297331.9"/>
        <n v="184540.2"/>
        <n v="1158062.0"/>
        <n v="26703.6"/>
        <n v="108149.6"/>
        <n v="4866379.0"/>
        <n v="313290.5"/>
        <n v="421596.0"/>
        <n v="513935.8"/>
        <n v="4985020.0"/>
        <n v="789999.8"/>
        <n v="2574010.0"/>
        <n v="3882604.0"/>
        <n v="36272.39"/>
        <n v="640549.6"/>
        <n v="22825.22"/>
        <n v="724439.3"/>
        <n v="2506112.0"/>
        <n v="304672.8"/>
        <n v="909012.8"/>
        <n v="55373.84"/>
        <n v="5216528.0"/>
        <n v="172206.4"/>
        <n v="37264.2"/>
        <n v="1477762.0"/>
        <n v="245164.5"/>
        <n v="1061364.0"/>
        <n v="182103.0"/>
        <n v="2032644.0"/>
        <n v="794720.6"/>
        <n v="3440063.0"/>
        <n v="9841.44"/>
        <n v="454833.4"/>
        <n v="598410.3"/>
        <n v="1478089.0"/>
        <n v="326362.5"/>
        <n v="881637.1"/>
        <n v="4170579.0"/>
        <n v="1162317.0"/>
        <n v="669790.4"/>
        <n v="554400.2"/>
        <n v="2270695.0"/>
        <n v="3457261.0"/>
        <n v="21459.48"/>
        <n v="1181562.0"/>
        <n v="279263.0"/>
        <n v="782735.5"/>
        <n v="4864587.0"/>
        <n v="540065.1"/>
        <n v="1669512.0"/>
        <n v="81291.42"/>
        <n v="57293.37"/>
        <n v="637160.2"/>
        <n v="510248.3"/>
        <n v="307070.6"/>
        <n v="5009168.0"/>
        <n v="96615.75"/>
        <n v="261155.3"/>
        <n v="25273.05"/>
        <n v="4048.2"/>
        <n v="2808478.0"/>
        <n v="1388276.0"/>
        <n v="769085.9"/>
        <n v="4962447.0"/>
        <n v="904431.2"/>
        <n v="4419337.0"/>
        <n v="163796.6"/>
        <n v="170746.4"/>
        <n v="55627.25"/>
        <n v="290662.4"/>
        <n v="327325.9"/>
        <n v="1004248.0"/>
        <n v="396520.0"/>
        <n v="4287671.0"/>
        <n v="192456.7"/>
        <n v="219699.2"/>
        <n v="50931.2"/>
        <n v="2699645.0"/>
        <n v="248883.9"/>
        <n v="2481095.0"/>
        <n v="1810657.0"/>
        <n v="384303.4"/>
        <n v="624882.7"/>
        <n v="1132041.0"/>
        <n v="430174.2"/>
        <n v="541708.5"/>
        <n v="1134911.0"/>
        <n v="2351821.0"/>
        <n v="146710.9"/>
        <n v="1200273.0"/>
        <n v="1917905.0"/>
        <n v="389379.6"/>
        <n v="23970.88"/>
        <n v="288157.2"/>
        <n v="348237.2"/>
        <n v="934157.3"/>
        <n v="1364899.0"/>
        <n v="64117.76"/>
        <n v="1856637.0"/>
        <n v="721893.3"/>
        <n v="435395.6"/>
        <n v="493142.3"/>
        <n v="3888904.0"/>
        <n v="658515.1"/>
        <n v="968527.7"/>
        <n v="1470171.0"/>
        <n v="4225859.0"/>
        <n v="89234.53"/>
        <n v="340813.4"/>
        <n v="2280438.0"/>
        <n v="309798.5"/>
        <n v="3627207.0"/>
        <n v="318.84"/>
        <n v="1222632.0"/>
        <n v="3876091.0"/>
        <n v="1046210.0"/>
        <n v="539915.0"/>
        <n v="211149.2"/>
        <n v="52402.67"/>
        <n v="1102563.0"/>
        <n v="129382.4"/>
        <n v="500478.7"/>
        <n v="141137.9"/>
        <n v="1319020.0"/>
        <n v="12781.24"/>
        <n v="1125778.0"/>
        <n v="58672.11"/>
        <n v="60432.36"/>
        <n v="2796635.0"/>
        <n v="2247879.0"/>
        <n v="2730317.0"/>
        <n v="353298.1"/>
        <n v="525.92"/>
        <n v="1758170.0"/>
        <n v="534375.8"/>
        <n v="978998.2"/>
        <n v="182487.7"/>
        <n v="3289124.0"/>
        <n v="42086.88"/>
        <n v="118235.2"/>
        <n v="995239.0"/>
        <n v="759636.3"/>
        <n v="70894.17"/>
        <n v="61657.2"/>
        <n v="53580.8"/>
        <n v="171852.8"/>
        <n v="427911.3"/>
        <n v="47305.12"/>
        <n v="73275.95"/>
        <n v="512440.2"/>
        <n v="240128.0"/>
        <n v="4794232.0"/>
        <n v="3266.24"/>
        <n v="558340.4"/>
        <n v="897536.4"/>
        <n v="851186.5"/>
        <n v="208202.5"/>
        <n v="281754.8"/>
        <n v="257290.7"/>
        <n v="64045.12"/>
        <n v="4650505.0"/>
        <n v="22455.4"/>
        <n v="3444132.0"/>
        <n v="1121167.0"/>
        <n v="254828.6"/>
        <n v="127565.3"/>
        <n v="1154439.0"/>
        <n v="344889.0"/>
        <n v="73652.04"/>
        <n v="304747.5"/>
        <n v="77878.15"/>
        <n v="3808751.0"/>
        <n v="303695.1"/>
        <n v="1216971.0"/>
        <n v="1808139.0"/>
        <n v="140605.9"/>
        <n v="2016581.0"/>
        <n v="1875.61"/>
        <n v="995083.7"/>
        <n v="353059.8"/>
        <n v="108631.0"/>
        <n v="466214.9"/>
        <n v="353823.0"/>
        <n v="459877.1"/>
        <n v="532303.4"/>
        <n v="37735.95"/>
        <n v="637195.5"/>
        <n v="87668.49"/>
        <n v="455909.2"/>
        <n v="148586.5"/>
        <n v="2135870.0"/>
        <n v="173573.4"/>
        <n v="48.44"/>
        <n v="65773.51"/>
        <n v="127032.8"/>
        <n v="164227.1"/>
        <n v="3513760.0"/>
        <n v="283673.6"/>
        <n v="476538.0"/>
        <n v="214287.4"/>
        <n v="9123.87"/>
        <n v="3949274.0"/>
        <n v="605775.7"/>
        <n v="1613153.0"/>
        <n v="33402.84"/>
        <n v="42938.6"/>
        <n v="2136062.0"/>
        <n v="77844.48"/>
        <n v="614066.9"/>
        <n v="3382500.0"/>
        <n v="695633.4"/>
        <n v="743534.6"/>
        <n v="560919.7"/>
        <n v="14144.48"/>
        <n v="2767632.0"/>
        <n v="3286109.0"/>
        <n v="33259.52"/>
        <n v="312368.5"/>
        <n v="137618.9"/>
        <n v="81668.51"/>
        <n v="1715866.0"/>
        <n v="2892721.0"/>
        <n v="83418.24"/>
        <n v="10926.68"/>
        <n v="766133.6"/>
        <n v="879308.0"/>
        <n v="245324.4"/>
        <n v="1416287.0"/>
        <n v="878942.5"/>
        <n v="228229.1"/>
        <n v="746990.0"/>
        <n v="67774.48"/>
        <n v="2057216.0"/>
        <n v="713650.6"/>
        <n v="822491.0"/>
        <n v="5051690.0"/>
        <n v="343865.8"/>
        <n v="353167.4"/>
        <n v="116700.8"/>
        <n v="1342789.0"/>
        <n v="70838.88"/>
        <n v="903366.2"/>
        <n v="4810733.0"/>
        <n v="709850.4"/>
        <n v="91248.64"/>
        <n v="6144.96"/>
        <n v="9091.94"/>
        <n v="325512.5"/>
        <n v="418894.6"/>
        <n v="4476.61"/>
        <n v="1053756.0"/>
        <n v="512004.9"/>
        <n v="8989.08"/>
        <n v="62658.09"/>
        <n v="4248.88"/>
        <n v="4451661.0"/>
        <n v="2332314.0"/>
        <n v="1036237.0"/>
        <n v="25161.48"/>
        <n v="329542.1"/>
        <n v="72735.52"/>
        <n v="2815732.0"/>
        <n v="345715.9"/>
        <n v="248781.3"/>
        <n v="3468531.0"/>
        <n v="1260375.0"/>
        <n v="3015743.0"/>
        <n v="216680.6"/>
        <n v="4026853.0"/>
        <n v="501699.2"/>
        <n v="229276.3"/>
        <n v="952375.1"/>
        <n v="109263.6"/>
        <n v="7811.58"/>
        <n v="956671.6"/>
        <n v="840147.1"/>
        <n v="256746.8"/>
        <n v="81941.88"/>
        <n v="496655.9"/>
        <n v="521119.8"/>
        <n v="908751.8"/>
        <n v="90020.7"/>
        <n v="535474.8"/>
        <n v="1108926.0"/>
        <n v="25417.16"/>
        <n v="1788537.0"/>
        <n v="38316.04"/>
        <n v="560310.7"/>
        <n v="394083.2"/>
        <n v="115799.0"/>
        <n v="74388.6"/>
        <n v="3158945.0"/>
        <n v="3138887.0"/>
        <n v="38883.48"/>
        <n v="2598634.0"/>
        <n v="350049.3"/>
        <n v="1038837.0"/>
        <n v="1477823.0"/>
        <n v="910284.5"/>
        <n v="33153.72"/>
        <n v="806608.3"/>
        <n v="2500318.0"/>
        <n v="60538.54"/>
        <n v="822552.8"/>
        <n v="3478079.0"/>
        <n v="51118.32"/>
        <n v="471245.5"/>
        <n v="918728.0"/>
        <n v="164831.2"/>
        <n v="52136.4"/>
        <n v="171313.4"/>
        <n v="633262.6"/>
        <n v="816937.0"/>
        <n v="722840.9"/>
        <n v="516573.3"/>
        <n v="11540.48"/>
        <n v="667018.0"/>
        <n v="630412.0"/>
        <n v="353677.5"/>
        <n v="737476.9"/>
        <n v="75744.69"/>
        <n v="293550.6"/>
        <n v="6199.73"/>
        <n v="150144.2"/>
        <n v="371671.7"/>
        <n v="229985.3"/>
        <n v="16061.32"/>
        <n v="2978052.0"/>
        <n v="1078955.0"/>
        <n v="137877.6"/>
        <n v="2229088.0"/>
        <n v="1862558.0"/>
        <n v="393181.3"/>
        <n v="642699.7"/>
        <n v="1371964.0"/>
        <n v="1522384.0"/>
        <n v="492462.3"/>
        <n v="1984028.0"/>
        <n v="24386.08"/>
        <n v="295519.8"/>
        <n v="825317.3"/>
        <n v="67013.32"/>
        <n v="298556.2"/>
        <n v="2119280.0"/>
        <n v="326072.3"/>
        <n v="167851.2"/>
        <n v="4039042.0"/>
        <n v="30925.48"/>
        <n v="1518361.0"/>
        <n v="279020.8"/>
        <n v="718100.9"/>
        <n v="1411350.0"/>
        <n v="44737.56"/>
        <n v="54744.12"/>
        <n v="315981.8"/>
        <n v="412111.5"/>
        <n v="486852.0"/>
        <n v="1274563.0"/>
        <n v="36343.84"/>
        <n v="260605.4"/>
        <n v="629232.0"/>
        <n v="2278851.0"/>
        <n v="107068.7"/>
        <n v="280519.1"/>
        <n v="720460.7"/>
        <n v="81070.08"/>
        <n v="1576971.0"/>
        <n v="685157.6"/>
        <n v="223641.6"/>
        <n v="48924.4"/>
        <n v="962025.1"/>
        <n v="86648.43"/>
        <n v="86383.5"/>
        <n v="649955.3"/>
        <n v="4664270.0"/>
        <n v="2622.68"/>
        <n v="891636.1"/>
        <n v="4513081.0"/>
        <n v="196689.9"/>
        <n v="532528.0"/>
        <n v="642231.2"/>
        <n v="336733.1"/>
        <n v="584847.3"/>
        <n v="379626.2"/>
        <n v="2981570.0"/>
        <n v="715114.4"/>
        <n v="153859.1"/>
        <n v="2419476.0"/>
        <n v="263965.9"/>
        <n v="56594.1"/>
        <n v="2080941.0"/>
        <n v="57197.28"/>
        <n v="3559010.0"/>
        <n v="784197.1"/>
        <n v="128844.9"/>
        <n v="398642.4"/>
        <n v="990384.1"/>
        <n v="67933.64"/>
        <n v="57408.32"/>
        <n v="470607.8"/>
        <n v="2520595.0"/>
        <n v="55083.24"/>
        <n v="1006588.0"/>
        <n v="724245.1"/>
        <n v="79602.16"/>
        <n v="1088520.0"/>
        <n v="3376.96"/>
        <n v="919021.7"/>
        <n v="445992.9"/>
        <n v="1354345.0"/>
        <n v="4758237.0"/>
        <n v="182999.0"/>
        <n v="6802.36"/>
        <n v="123567.7"/>
        <n v="21050.64"/>
        <n v="149508.4"/>
        <n v="650604.2"/>
        <n v="181743.4"/>
        <n v="1233273.0"/>
        <n v="1210476.0"/>
        <n v="165550.6"/>
        <n v="111137.8"/>
        <n v="268879.8"/>
        <n v="2393406.0"/>
        <n v="2614077.0"/>
        <n v="404448.5"/>
        <n v="3598.4"/>
        <n v="255241.7"/>
        <n v="2607898.0"/>
        <n v="462030.5"/>
        <n v="1081394.0"/>
        <n v="3336549.0"/>
        <n v="1384403.0"/>
        <n v="202711.0"/>
        <n v="355317.8"/>
        <n v="2195646.0"/>
        <n v="958712.2"/>
        <n v="12866.56"/>
        <n v="4132485.0"/>
        <n v="719399.5"/>
        <n v="3111963.0"/>
        <n v="271452.2"/>
        <n v="765721.5"/>
        <n v="802556.4"/>
        <n v="81141.76"/>
        <n v="688344.6"/>
        <n v="246292.5"/>
        <n v="612995.0"/>
        <n v="28780.28"/>
        <n v="126101.2"/>
        <n v="831942.7"/>
        <n v="384165.9"/>
        <n v="220145.8"/>
        <n v="2705270.0"/>
        <n v="312954.9"/>
        <n v="57941.16"/>
        <n v="1547064.0"/>
        <n v="1244592.0"/>
        <n v="269616.5"/>
        <n v="202979.2"/>
        <n v="1664772.0"/>
        <n v="3653968.0"/>
        <n v="41201.68"/>
        <n v="597112.3"/>
        <n v="570404.8"/>
        <n v="563849.9"/>
        <n v="949831.3"/>
        <n v="20171.8"/>
        <n v="346177.2"/>
        <n v="32330.24"/>
        <n v="32998.02"/>
        <n v="187133.9"/>
        <n v="3561927.0"/>
        <n v="1625717.0"/>
        <n v="201688.5"/>
        <n v="806458.2"/>
        <n v="528504.4"/>
        <n v="248624.5"/>
        <n v="2364285.0"/>
        <n v="3158580.0"/>
        <n v="3644797.0"/>
        <n v="647683.7"/>
        <n v="162828.4"/>
        <n v="1075447.0"/>
        <n v="721256.8"/>
        <n v="338289.2"/>
        <n v="466640.2"/>
        <n v="988174.2"/>
        <n v="2773467.0"/>
        <n v="375923.5"/>
        <n v="28528.64"/>
        <n v="1442432.0"/>
        <n v="149315.3"/>
        <n v="2614827.0"/>
        <n v="4249478.0"/>
        <n v="123599.5"/>
        <n v="2232655.0"/>
        <n v="3867905.0"/>
        <n v="97944.99"/>
        <n v="105066.2"/>
        <n v="553439.2"/>
        <n v="5017862.0"/>
        <n v="425761.7"/>
        <n v="1496635.0"/>
        <n v="879929.6"/>
        <n v="1179192.0"/>
        <n v="674479.7"/>
        <n v="1090009.0"/>
        <n v="76677.48"/>
        <n v="106256.3"/>
        <n v="288709.6"/>
        <n v="175131.1"/>
        <n v="1723969.0"/>
        <n v="51803.12"/>
        <n v="51865.4"/>
        <n v="752621.8"/>
        <n v="2002888.0"/>
        <n v="45851.92"/>
        <n v="904633.0"/>
        <n v="599134.8"/>
        <n v="362747.4"/>
        <n v="146424.7"/>
        <n v="79188.89"/>
        <n v="182587.4"/>
        <n v="54322.0"/>
        <n v="3537180.0"/>
        <n v="236779.2"/>
        <n v="83148.1"/>
        <n v="139748.8"/>
        <n v="265033.2"/>
        <n v="2217206.0"/>
        <n v="3429564.0"/>
        <n v="202209.3"/>
        <n v="168878.1"/>
        <n v="1884525.0"/>
        <n v="672336.0"/>
        <n v="187956.2"/>
        <n v="1515727.0"/>
        <n v="92868.23"/>
        <n v="1270215.0"/>
        <n v="485912.2"/>
        <n v="522301.9"/>
        <n v="353239.0"/>
        <n v="68500.32"/>
        <n v="179041.3"/>
        <n v="62446.08"/>
        <n v="231749.1"/>
        <n v="26794.24"/>
        <n v="676578.5"/>
        <n v="82837.23"/>
        <n v="267322.1"/>
        <n v="297615.4"/>
        <n v="2203257.0"/>
        <n v="3375059.0"/>
        <n v="830578.6"/>
        <n v="4679150.0"/>
        <n v="421017.9"/>
        <n v="638936.9"/>
        <n v="469970.2"/>
        <n v="15258.6"/>
        <n v="64861.16"/>
        <n v="155990.5"/>
        <n v="396293.3"/>
        <n v="1154837.0"/>
        <n v="611548.4"/>
        <n v="43522.56"/>
        <n v="214072.3"/>
        <n v="1291370.0"/>
        <n v="964051.1"/>
        <n v="37174.24"/>
        <n v="186332.2"/>
        <n v="519842.4"/>
        <n v="1005.08"/>
        <n v="239906.7"/>
        <n v="972841.0"/>
        <n v="1042513.0"/>
        <n v="303880.6"/>
        <n v="156341.9"/>
        <n v="39035.72"/>
        <n v="107741.2"/>
        <n v="1218606.0"/>
        <n v="188144.4"/>
        <n v="876217.0"/>
        <n v="212961.2"/>
        <n v="2519805.0"/>
        <n v="453717.6"/>
        <n v="412082.8"/>
        <n v="247738.7"/>
        <n v="23188.48"/>
        <n v="295883.5"/>
        <n v="6684.72"/>
        <n v="417343.2"/>
        <n v="603251.0"/>
        <n v="62515.28"/>
        <n v="102840.7"/>
        <n v="5111011.0"/>
        <n v="54190.08"/>
        <n v="59283.64"/>
        <n v="343952.1"/>
        <n v="971687.7"/>
        <n v="109033.1"/>
        <n v="1519151.0"/>
        <n v="193034.2"/>
        <n v="1270259.0"/>
        <n v="1375955.0"/>
        <n v="41180.92"/>
        <n v="40786.48"/>
        <n v="2075830.0"/>
        <n v="2440542.0"/>
        <n v="2224745.0"/>
        <n v="350264.3"/>
        <n v="4396220.0"/>
        <n v="47229.0"/>
        <n v="3271535.0"/>
        <n v="132437.8"/>
        <n v="186766.3"/>
        <n v="5003.16"/>
        <n v="3942450.0"/>
        <n v="866923.7"/>
        <n v="536012.5"/>
        <n v="570494.8"/>
        <n v="18974.64"/>
        <n v="464496.5"/>
        <n v="15185.31"/>
        <n v="315033.6"/>
        <n v="52017.64"/>
        <n v="2642355.0"/>
        <n v="252889.5"/>
        <n v="1801103.0"/>
        <n v="256148.5"/>
        <n v="2855935.0"/>
        <n v="381427.3"/>
        <n v="542670.2"/>
        <n v="220845.1"/>
        <n v="215854.7"/>
        <n v="220318.4"/>
        <n v="39896.45"/>
        <n v="70796.33"/>
        <n v="241127.2"/>
        <n v="243034.6"/>
        <n v="2390583.0"/>
        <n v="972130.1"/>
        <n v="4868105.0"/>
        <n v="861695.4"/>
        <n v="56840.52"/>
        <n v="27258.27"/>
        <n v="270334.9"/>
        <n v="2931316.0"/>
        <n v="3848451.0"/>
        <n v="231156.9"/>
        <n v="19071.52"/>
        <n v="266495.6"/>
        <n v="698433.3"/>
        <n v="400819.4"/>
        <n v="2185044.0"/>
        <n v="50854.98"/>
        <n v="1143041.0"/>
        <n v="794122.9"/>
        <n v="1538777.0"/>
        <n v="48135.52"/>
        <n v="45682.23"/>
        <n v="1037665.0"/>
        <n v="238524.0"/>
        <n v="129203.2"/>
        <n v="526848.4"/>
        <n v="4675294.0"/>
        <n v="199915.5"/>
        <n v="2025124.0"/>
        <n v="4873729.0"/>
        <n v="160762.0"/>
        <n v="464070.6"/>
        <n v="341606.8"/>
        <n v="20455.52"/>
        <n v="192890.9"/>
        <n v="613686.6"/>
        <n v="90711.04"/>
        <n v="36212.36"/>
        <n v="4929899.0"/>
        <n v="45478.24"/>
        <n v="34007.82"/>
        <n v="750167.8"/>
        <n v="381970.3"/>
        <n v="168253.2"/>
        <n v="1776040.0"/>
        <n v="1805390.0"/>
        <n v="348042.2"/>
        <n v="71007.51"/>
        <n v="485767.1"/>
        <n v="3430338.0"/>
        <n v="1059665.0"/>
        <n v="612595.4"/>
        <n v="2662072.0"/>
        <n v="779015.7"/>
        <n v="829896.5"/>
        <n v="32759.28"/>
        <n v="703556.0"/>
        <n v="827683.4"/>
        <n v="231213.5"/>
        <n v="50466.15"/>
        <n v="512208.7"/>
        <n v="3579090.0"/>
        <n v="57505.2"/>
        <n v="1516562.0"/>
        <n v="1547823.0"/>
        <n v="58072.64"/>
        <n v="47457.36"/>
        <n v="629326.5"/>
        <n v="1443708.0"/>
        <n v="385448.2"/>
        <n v="56949.76"/>
        <n v="806731.0"/>
        <n v="2517435.0"/>
        <n v="1246346.0"/>
        <n v="976229.0"/>
        <n v="1249853.0"/>
        <n v="8282.4"/>
        <n v="5916.6"/>
        <n v="289299.4"/>
        <n v="8816.08"/>
        <n v="896125.7"/>
        <n v="50516.0"/>
        <n v="31043.12"/>
        <n v="1207766.0"/>
        <n v="782634.5"/>
        <n v="2423000.0"/>
        <n v="253603.8"/>
        <n v="503667.4"/>
        <n v="1983023.0"/>
        <n v="226257.9"/>
        <n v="544846.9"/>
        <n v="205793.3"/>
        <n v="715696.8"/>
        <n v="426331.3"/>
        <n v="1557334.0"/>
        <n v="539760.0"/>
        <n v="656013.3"/>
        <n v="2073724.0"/>
        <n v="714995.5"/>
        <n v="225105.0"/>
        <n v="5023342.0"/>
        <n v="14085.12"/>
        <n v="178567.2"/>
        <n v="4258021.0"/>
        <n v="820188.6"/>
        <n v="407821.1"/>
        <n v="642324.5"/>
        <n v="372358.4"/>
        <n v="247326.2"/>
        <n v="871230.3"/>
        <n v="636419.1"/>
        <n v="64079.2"/>
        <n v="423769.8"/>
        <n v="1378186.0"/>
        <n v="5083188.0"/>
        <n v="4664576.0"/>
        <n v="524301.5"/>
        <n v="3404746.0"/>
        <n v="68909.36"/>
        <n v="4760059.0"/>
        <n v="355897.3"/>
        <n v="277996.3"/>
        <n v="499941.1"/>
        <n v="291453.8"/>
        <n v="1085989.0"/>
        <n v="1186565.0"/>
        <n v="143976.9"/>
        <n v="807581.8"/>
        <n v="1140331.0"/>
        <n v="344422.4"/>
        <n v="65387.08"/>
        <n v="666056.8"/>
        <n v="1748117.0"/>
        <n v="124544.0"/>
        <n v="845289.3"/>
        <n v="259597.1"/>
        <n v="957157.7"/>
        <n v="742818.4"/>
        <n v="35731.96"/>
        <n v="503569.6"/>
        <n v="77478.12"/>
        <n v="277940.0"/>
        <n v="304783.4"/>
        <n v="11411.08"/>
        <n v="1050811.0"/>
        <n v="280811.3"/>
        <n v="64407.84"/>
        <n v="207167.6"/>
        <n v="42412.68"/>
        <n v="1474613.0"/>
        <n v="1526584.0"/>
        <n v="414277.1"/>
        <n v="251586.1"/>
        <n v="16857.12"/>
        <n v="20034.56"/>
        <n v="36849.0"/>
        <n v="268739.5"/>
        <n v="1303259.0"/>
        <n v="283694.0"/>
        <n v="1099312.0"/>
        <n v="543124.9"/>
        <n v="559839.6"/>
        <n v="301705.7"/>
        <n v="65328.45"/>
        <n v="1443797.0"/>
        <n v="2676460.0"/>
        <n v="1443070.0"/>
        <n v="1377548.0"/>
        <n v="278766.5"/>
        <n v="63158.84"/>
        <n v="130757.3"/>
        <n v="2240826.0"/>
        <n v="816005.8"/>
        <n v="158789.3"/>
        <n v="3039518.0"/>
        <n v="768404.4"/>
        <n v="2317567.0"/>
        <n v="131783.7"/>
        <n v="420491.4"/>
        <n v="458014.4"/>
        <n v="1790047.0"/>
        <n v="827265.0"/>
        <n v="52135.6"/>
        <n v="41119.68"/>
        <n v="272408.5"/>
        <n v="468944.3"/>
        <n v="134865.9"/>
        <n v="225361.9"/>
        <n v="830736.5"/>
        <n v="148702.1"/>
        <n v="62985.84"/>
        <n v="55000.16"/>
        <n v="91507.08"/>
        <n v="493113.4"/>
        <n v="1491539.0"/>
        <n v="40405.71"/>
        <n v="2158253.0"/>
        <n v="232346.2"/>
        <n v="177484.4"/>
        <n v="314657.4"/>
        <n v="856659.7"/>
        <n v="242208.0"/>
        <n v="1200911.0"/>
        <n v="296493.0"/>
        <n v="103095.0"/>
        <n v="894954.6"/>
        <n v="4650096.0"/>
        <n v="497052.6"/>
        <n v="41104.47"/>
        <n v="234101.6"/>
        <n v="564489.9"/>
        <n v="4769787.0"/>
        <n v="616141.7"/>
        <n v="765484.3"/>
        <n v="220523.5"/>
        <n v="1861480.0"/>
        <n v="455195.6"/>
        <n v="1885179.0"/>
        <n v="723894.2"/>
        <n v="1280621.0"/>
        <n v="151774.6"/>
        <n v="1252244.0"/>
        <n v="160857.4"/>
        <n v="50446.8"/>
        <n v="30391.24"/>
        <n v="863925.9"/>
        <n v="763721.1"/>
        <n v="24391.26"/>
        <n v="1482765.0"/>
        <n v="3889954.0"/>
        <n v="4059518.0"/>
        <n v="109656.5"/>
        <n v="93108.81"/>
        <n v="626780.5"/>
        <n v="1500142.0"/>
        <n v="2092947.0"/>
        <n v="320869.9"/>
        <n v="1713469.0"/>
        <n v="276218.9"/>
        <n v="558607.7"/>
        <n v="1524852.0"/>
        <n v="65730.56"/>
        <n v="263284.8"/>
        <n v="27098.72"/>
        <n v="524848.0"/>
        <n v="628293.1"/>
        <n v="31119.24"/>
        <n v="1151650.0"/>
        <n v="2488280.0"/>
        <n v="269373.4"/>
        <n v="65347.38"/>
        <n v="2432116.0"/>
        <n v="26759.64"/>
        <n v="662592.0"/>
        <n v="1181780.0"/>
        <n v="1874910.0"/>
        <n v="1148382.0"/>
        <n v="873928.2"/>
        <n v="2588.08"/>
        <n v="1629223.0"/>
        <n v="204975.4"/>
        <n v="663024.5"/>
        <n v="556740.9"/>
        <n v="919729.9"/>
        <n v="393743.2"/>
        <n v="642602.3"/>
        <n v="2946895.0"/>
        <n v="1068629.0"/>
        <n v="3525094.0"/>
        <n v="2374710.0"/>
        <n v="1900355.0"/>
        <n v="2583464.0"/>
        <n v="135158.0"/>
        <n v="302895.1"/>
        <n v="31055.16"/>
        <n v="161781.8"/>
        <n v="17459.16"/>
        <n v="316899.7"/>
        <n v="166071.0"/>
        <n v="411934.2"/>
        <n v="289013.8"/>
        <n v="122868.4"/>
        <n v="167629.9"/>
        <n v="174061.1"/>
        <n v="506032.3"/>
        <n v="471381.1"/>
        <n v="324889.6"/>
        <n v="71.68"/>
        <n v="374305.4"/>
        <n v="125210.6"/>
        <n v="4449992.0"/>
        <n v="221002.1"/>
        <n v="83514.01"/>
        <n v="759629.2"/>
        <n v="2786961.0"/>
        <n v="441176.0"/>
        <n v="16085.74"/>
        <n v="145026.0"/>
        <n v="41765.79"/>
        <n v="3595976.0"/>
        <n v="1399072.0"/>
        <n v="404615.1"/>
        <n v="496752.7"/>
        <n v="827481.6"/>
        <n v="3108288.0"/>
        <n v="7653.52"/>
        <n v="951308.2"/>
        <n v="698259.6"/>
        <n v="60820.48"/>
        <n v="2371287.0"/>
        <n v="481468.3"/>
        <n v="139685.3"/>
        <n v="450753.2"/>
        <n v="17037.04"/>
        <n v="1312824.0"/>
        <n v="431995.4"/>
        <n v="127.16"/>
        <n v="2476610.0"/>
        <n v="1691632.0"/>
        <n v="2469772.0"/>
        <n v="832122.8"/>
        <n v="664061.8"/>
        <n v="57961.92"/>
        <n v="484958.9"/>
        <n v="1435766.0"/>
        <n v="296060.3"/>
        <n v="3428815.0"/>
        <n v="947701.4"/>
        <n v="128463.4"/>
        <n v="4268450.0"/>
        <n v="563884.7"/>
        <n v="813096.1"/>
        <n v="75978.1"/>
        <n v="1062422.0"/>
        <n v="68708.68"/>
        <n v="3987655.0"/>
        <n v="175393.7"/>
        <n v="872001.1"/>
        <n v="373.68"/>
        <n v="321709.6"/>
        <n v="10165.48"/>
        <n v="307005.4"/>
        <n v="45828.72"/>
        <n v="2372308.0"/>
        <n v="450042.7"/>
        <n v="2039754.0"/>
        <n v="373512.0"/>
        <n v="3520382.0"/>
        <n v="289378.8"/>
        <n v="149756.9"/>
        <n v="329894.0"/>
        <n v="1265157.0"/>
        <n v="205184.0"/>
        <n v="804763.7"/>
        <n v="248263.7"/>
        <n v="2007618.0"/>
        <n v="54654.16"/>
        <n v="383372.6"/>
        <n v="210915.1"/>
        <n v="753737.8"/>
        <n v="154147.8"/>
        <n v="476649.8"/>
        <n v="201858.5"/>
        <n v="89255.04"/>
        <n v="90443.12"/>
        <n v="42646.17"/>
        <n v="684066.4"/>
        <n v="2470562.0"/>
        <n v="528169.5"/>
        <n v="66196.72"/>
        <n v="4520850.0"/>
        <n v="37630.96"/>
        <n v="737403.2"/>
        <n v="221579.7"/>
        <n v="399728.3"/>
        <n v="58640.08"/>
        <n v="4625948.0"/>
        <n v="913157.8"/>
        <n v="89028.57"/>
        <n v="669869.2"/>
        <n v="1122616.0"/>
        <n v="146670.1"/>
        <n v="598549.1"/>
        <n v="62771.32"/>
        <n v="55336.96"/>
        <n v="733108.6"/>
        <n v="952802.4"/>
        <n v="122105.4"/>
        <n v="566643.3"/>
        <n v="1816521.0"/>
        <n v="2009442.0"/>
        <n v="2804336.0"/>
        <n v="8360.77"/>
        <n v="301089.6"/>
        <n v="491385.6"/>
        <n v="865949.3"/>
        <n v="243129.9"/>
        <n v="40814.16"/>
        <n v="1053607.0"/>
        <n v="3569221.0"/>
        <n v="267653.1"/>
        <n v="277177.0"/>
        <n v="451926.7"/>
        <n v="190184.5"/>
        <n v="180418.6"/>
        <n v="1807497.0"/>
        <n v="4236427.0"/>
        <n v="33949.52"/>
        <n v="902157.8"/>
        <n v="1487025.0"/>
        <n v="353434.1"/>
        <n v="949942.6"/>
        <n v="453680.6"/>
        <n v="44384.69"/>
        <n v="1201573.0"/>
        <n v="1166643.0"/>
        <n v="667153.4"/>
        <n v="44101.16"/>
        <n v="1962921.0"/>
        <n v="297127.4"/>
        <n v="286555.1"/>
        <n v="320481.3"/>
        <n v="14352.08"/>
        <n v="698157.6"/>
        <n v="2513203.0"/>
        <n v="108054.2"/>
        <n v="1109608.0"/>
        <n v="1324302.0"/>
        <n v="21826.56"/>
        <n v="160698.5"/>
        <n v="1126481.0"/>
        <n v="2450286.0"/>
        <n v="419758.2"/>
        <n v="1470331.0"/>
        <n v="344780.8"/>
        <n v="2872581.0"/>
        <n v="510860.2"/>
        <n v="110570.9"/>
        <n v="239188.0"/>
        <n v="248156.1"/>
        <n v="807582.7"/>
        <n v="1671092.0"/>
        <n v="4343956.0"/>
        <n v="2393818.0"/>
        <n v="536602.1"/>
        <n v="4988212.0"/>
        <n v="4352443.0"/>
        <n v="2956542.0"/>
        <n v="1913882.0"/>
        <n v="468464.1"/>
        <n v="4057005.0"/>
        <n v="1389834.0"/>
        <n v="132070.4"/>
        <n v="401819.7"/>
        <n v="1144048.0"/>
        <n v="2774021.0"/>
        <n v="160885.8"/>
        <n v="243115.5"/>
        <n v="1356505.0"/>
        <n v="297236.5"/>
        <n v="2621125.0"/>
        <n v="3066678.0"/>
        <n v="544315.4"/>
        <n v="18242.56"/>
        <n v="12175.57"/>
        <n v="980093.6"/>
        <n v="147092.3"/>
        <n v="43935.08"/>
        <n v="156409.2"/>
        <n v="4085.76"/>
        <n v="1067636.0"/>
        <n v="248820.3"/>
        <n v="428164.1"/>
        <n v="5483.52"/>
        <n v="250498.3"/>
        <n v="29863.05"/>
        <n v="5234901.0"/>
        <n v="345261.2"/>
        <n v="2284783.0"/>
        <n v="284329.8"/>
        <n v="866128.9"/>
        <n v="227942.4"/>
        <n v="399000.8"/>
        <n v="521874.0"/>
        <n v="1279467.0"/>
        <n v="369364.9"/>
        <n v="57857.8"/>
        <n v="2319428.0"/>
        <n v="3328825.0"/>
        <n v="340193.3"/>
        <n v="2033170.0"/>
        <n v="2870508.0"/>
        <n v="784986.7"/>
        <n v="66746.4"/>
        <n v="934360.6"/>
        <n v="1351772.0"/>
        <n v="3636398.0"/>
        <n v="746520.4"/>
        <n v="98390.05"/>
        <n v="71972.56"/>
        <n v="1898094.0"/>
        <n v="2341004.0"/>
        <n v="466164.5"/>
        <n v="32457.41"/>
        <n v="1409592.0"/>
        <n v="207461.5"/>
        <n v="163179.5"/>
        <n v="9438.88"/>
        <n v="266470.4"/>
        <n v="42724.56"/>
        <n v="1498867.0"/>
        <n v="735993.9"/>
        <n v="1281890.0"/>
        <n v="307661.4"/>
        <n v="42332.49"/>
        <n v="38156.88"/>
        <n v="586771.3"/>
        <n v="232734.6"/>
        <n v="1422656.0"/>
        <n v="286523.3"/>
        <n v="3771563.0"/>
        <n v="8691.52"/>
        <n v="1099929.0"/>
        <n v="258478.1"/>
        <n v="877942.2"/>
        <n v="248179.7"/>
        <n v="3461496.0"/>
        <n v="528417.1"/>
        <n v="64030.76"/>
        <n v="233175.0"/>
        <n v="50820.48"/>
        <n v="3267258.0"/>
        <n v="18279.25"/>
        <n v="4434337.0"/>
        <n v="226463.8"/>
        <n v="305279.5"/>
        <n v="148078.7"/>
        <n v="358676.6"/>
        <n v="1380477.0"/>
        <n v="857139.2"/>
        <n v="355922.9"/>
        <n v="3948224.0"/>
        <n v="810603.4"/>
        <n v="166297.6"/>
        <n v="4760.28"/>
        <n v="36530.68"/>
        <n v="460245.5"/>
        <n v="1306604.0"/>
        <n v="558492.1"/>
        <n v="128527.6"/>
        <n v="926029.4"/>
        <n v="644368.5"/>
        <n v="132437.1"/>
        <n v="1910155.0"/>
        <n v="69255.79"/>
        <n v="538025.0"/>
        <n v="3452885.0"/>
        <n v="2608183.0"/>
        <n v="209452.3"/>
        <n v="1060197.0"/>
        <n v="170227.7"/>
        <n v="234451.3"/>
        <n v="230666.2"/>
        <n v="178793.9"/>
        <n v="4611774.0"/>
        <n v="45761.96"/>
        <n v="1109085.0"/>
        <n v="789553.9"/>
        <n v="91635.39"/>
        <n v="655089.1"/>
        <n v="188451.1"/>
        <n v="882293.8"/>
        <n v="314745.2"/>
        <n v="481129.6"/>
        <n v="843830.4"/>
        <n v="98295.33"/>
        <n v="2970011.0"/>
        <n v="78731.52"/>
        <n v="45601.92"/>
        <n v="91352.04"/>
        <n v="1274882.0"/>
        <n v="306471.4"/>
        <n v="46101.04"/>
        <n v="3469461.0"/>
        <n v="255467.5"/>
        <n v="120650.4"/>
        <n v="17694.44"/>
        <n v="161963.1"/>
        <n v="59608.88"/>
        <n v="199800.2"/>
        <n v="405551.9"/>
        <n v="627169.9"/>
        <n v="3904233.0"/>
        <n v="310541.3"/>
        <n v="149254.1"/>
        <n v="552505.4"/>
        <n v="68542.6"/>
        <n v="461747.2"/>
        <n v="249173.5"/>
        <n v="3768045.0"/>
        <n v="87952.22"/>
        <n v="589317.3"/>
        <n v="3421157.0"/>
        <n v="255525.0"/>
        <n v="2195597.0"/>
        <n v="317982.2"/>
        <n v="124078.1"/>
        <n v="714709.8"/>
        <n v="232798.2"/>
        <n v="143404.7"/>
        <n v="289829.4"/>
        <n v="754177.1"/>
        <n v="1186828.0"/>
        <n v="565992.6"/>
        <n v="436864.5"/>
        <n v="439464.7"/>
        <n v="44262.4"/>
        <n v="2574577.0"/>
        <n v="229411.8"/>
        <n v="288653.2"/>
        <n v="1416660.0"/>
        <n v="2443689.0"/>
        <n v="843343.2"/>
        <n v="83382.81"/>
        <n v="415732.0"/>
        <n v="762027.6"/>
        <n v="363841.0"/>
        <n v="2842869.0"/>
        <n v="175879.2"/>
        <n v="1438835.0"/>
        <n v="249088.0"/>
        <n v="2268061.0"/>
        <n v="3585632.0"/>
        <n v="531663.3"/>
        <n v="114952.6"/>
        <n v="596792.6"/>
        <n v="2081466.0"/>
        <n v="1142876.0"/>
        <n v="4747738.0"/>
        <n v="211066.8"/>
        <n v="302513.6"/>
        <n v="27645.4"/>
        <n v="4295209.0"/>
        <n v="1577620.0"/>
        <n v="473730.7"/>
        <n v="3897.6"/>
        <n v="266542.1"/>
        <n v="4639596.0"/>
        <n v="3214855.0"/>
        <n v="844236.0"/>
        <n v="163564.9"/>
        <n v="299567.4"/>
        <n v="248152.7"/>
        <n v="800820.5"/>
        <n v="1687785.0"/>
        <n v="579042.2"/>
        <n v="77271.04"/>
        <n v="122067.2"/>
        <n v="1296473.0"/>
        <n v="1469645.0"/>
        <n v="31050.04"/>
        <n v="1002579.0"/>
        <n v="21576.56"/>
        <n v="878244.8"/>
        <n v="6347.04"/>
        <n v="23105.88"/>
        <n v="1376113.0"/>
        <n v="46572.35"/>
        <n v="508491.6"/>
        <n v="862143.4"/>
        <n v="60626.12"/>
        <n v="89277.44"/>
        <n v="294375.4"/>
        <n v="60605.36"/>
        <n v="713624.3"/>
        <n v="1573635.0"/>
        <n v="32648.33"/>
        <n v="27652.32"/>
        <n v="274188.8"/>
        <n v="286158.9"/>
        <n v="1268828.0"/>
        <n v="1025549.0"/>
        <n v="102969.4"/>
        <n v="113617.5"/>
        <n v="4588150.0"/>
        <n v="43933.78"/>
        <n v="430692.0"/>
        <n v="83217.24"/>
        <n v="662708.9"/>
        <n v="204854.7"/>
        <n v="2899650.0"/>
        <n v="676428.3"/>
        <n v="34172.72"/>
        <n v="958662.5"/>
        <n v="66473.91"/>
        <n v="24934.8"/>
        <n v="706071.2"/>
        <n v="423352.7"/>
        <n v="2006160.0"/>
        <n v="5052740.0"/>
        <n v="17666.76"/>
        <n v="759443.7"/>
        <n v="3279950.0"/>
        <n v="9727.74"/>
        <n v="4900268.0"/>
        <n v="73954.35"/>
        <n v="4384662.0"/>
        <n v="708890.3"/>
        <n v="487225.8"/>
        <n v="237617.3"/>
        <n v="749808.8"/>
        <n v="235500.3"/>
        <n v="83321.59"/>
        <n v="3600176.0"/>
        <n v="4408.32"/>
        <n v="141592.7"/>
        <n v="1044387.0"/>
        <n v="1214741.0"/>
        <n v="1541432.0"/>
        <n v="1548838.0"/>
        <n v="503752.2"/>
        <n v="324511.8"/>
        <n v="800494.6"/>
        <n v="204526.6"/>
        <n v="759934.6"/>
        <n v="20863.8"/>
        <n v="302069.5"/>
        <n v="36126.72"/>
        <n v="563810.7"/>
        <n v="3739400.0"/>
        <n v="514767.2"/>
        <n v="43555.47"/>
        <n v="1463064.0"/>
        <n v="76490.4"/>
        <n v="1878333.0"/>
        <n v="48447.96"/>
        <n v="516664.3"/>
        <n v="1332751.0"/>
        <n v="55318.74"/>
        <n v="3448873.0"/>
        <n v="2785077.0"/>
        <n v="2876256.0"/>
        <n v="293207.0"/>
        <n v="3497377.0"/>
        <n v="4031168.0"/>
        <n v="677792.2"/>
        <n v="2990113.0"/>
        <n v="847290.9"/>
        <n v="1180824.0"/>
        <n v="935131.7"/>
        <n v="284997.4"/>
        <n v="4044292.0"/>
        <n v="13858.22"/>
        <n v="49969.32"/>
        <n v="1276452.0"/>
        <n v="226186.2"/>
        <n v="232783.7"/>
        <n v="549464.2"/>
        <n v="13743.12"/>
        <n v="57906.56"/>
        <n v="36385.36"/>
        <n v="81411.48"/>
        <n v="83162.64"/>
        <n v="63567.12"/>
        <n v="269324.9"/>
        <n v="714839.4"/>
        <n v="4895745.0"/>
        <n v="129703.2"/>
        <n v="3065241.0"/>
        <n v="60736.84"/>
        <n v="1383447.0"/>
        <n v="4388666.0"/>
        <n v="425970.2"/>
        <n v="1833685.0"/>
        <n v="150525.7"/>
        <n v="1170143.0"/>
        <n v="417238.1"/>
        <n v="199485.4"/>
        <n v="1621697.0"/>
        <n v="201326.1"/>
        <n v="1575503.0"/>
        <n v="111595.1"/>
        <n v="536381.6"/>
        <n v="59104.5"/>
        <n v="812636.4"/>
        <n v="96260.12"/>
        <n v="853769.3"/>
        <n v="238313.7"/>
        <n v="2381293.0"/>
        <n v="364388.1"/>
        <n v="368865.0"/>
        <n v="32883.84"/>
        <n v="1336224.0"/>
        <n v="911467.1"/>
        <n v="275778.3"/>
        <n v="4994745.0"/>
        <n v="258110.4"/>
        <n v="460840.4"/>
        <n v="3726837.0"/>
        <n v="63723.52"/>
        <n v="69027.0"/>
        <n v="19313.72"/>
        <n v="1282374.0"/>
        <n v="316388.6"/>
        <n v="268064.8"/>
        <n v="642966.0"/>
        <n v="40634.24"/>
        <n v="2431024.0"/>
        <n v="141751.6"/>
        <n v="1001955.0"/>
        <n v="2265454.0"/>
        <n v="19267.8"/>
        <n v="57126.63"/>
        <n v="325569.2"/>
        <n v="697781.3"/>
        <n v="504540.3"/>
        <n v="66542.72"/>
        <n v="5293.8"/>
        <n v="905346.2"/>
        <n v="3520907.0"/>
        <n v="22344.68"/>
        <n v="1752724.0"/>
        <n v="194647.0"/>
        <n v="1473.42"/>
        <n v="930790.3"/>
        <n v="494842.4"/>
        <n v="4695767.0"/>
        <n v="700203.8"/>
        <n v="288812.2"/>
        <n v="1157852.0"/>
        <n v="10608.36"/>
        <n v="1836310.0"/>
        <n v="311347.3"/>
        <n v="96230.4"/>
        <n v="3103147.0"/>
        <n v="1559414.0"/>
        <n v="105689.6"/>
        <n v="826911.5"/>
        <n v="35880.2"/>
        <n v="2536607.0"/>
        <n v="131388.1"/>
        <n v="2575015.0"/>
        <n v="669705.1"/>
        <n v="43464.54"/>
        <n v="476520.6"/>
        <n v="248184.5"/>
        <n v="3240271.0"/>
        <n v="3425889.0"/>
        <n v="2547724.0"/>
        <n v="271804.5"/>
        <n v="594227.6"/>
        <n v="1321751.0"/>
        <n v="424694.9"/>
        <n v="2580040.0"/>
        <n v="284923.1"/>
        <n v="1098811.0"/>
        <n v="496659.7"/>
        <n v="358256.6"/>
        <n v="56615.95"/>
        <n v="2460928.0"/>
        <n v="594072.5"/>
        <n v="3232337.0"/>
        <n v="90930.0"/>
        <n v="267142.4"/>
        <n v="4201234.0"/>
        <n v="4902780.0"/>
        <n v="313600.0"/>
        <n v="70669.17"/>
        <n v="1063944.0"/>
        <n v="618223.7"/>
        <n v="4411296.0"/>
        <n v="2305654.0"/>
        <n v="552192.5"/>
        <n v="973769.7"/>
        <n v="3358169.0"/>
        <n v="1875436.0"/>
        <n v="2060499.0"/>
        <n v="149632.0"/>
        <n v="1102868.0"/>
        <n v="1873413.0"/>
        <n v="67235.85"/>
        <n v="2980247.0"/>
        <n v="551023.2"/>
        <n v="125411.6"/>
        <n v="1172345.0"/>
        <n v="2949750.0"/>
        <n v="927511.2"/>
        <n v="4452002.0"/>
        <n v="4185506.0"/>
        <n v="178120.3"/>
        <n v="286904.8"/>
        <n v="165053.7"/>
        <n v="254002.1"/>
        <n v="242660.9"/>
        <n v="1316012.0"/>
        <n v="956471.0"/>
        <n v="63938.56"/>
        <n v="62321.52"/>
        <n v="393723.8"/>
        <n v="4600749.0"/>
        <n v="220559.4"/>
        <n v="58861.52"/>
        <n v="529667.3"/>
        <n v="14226.24"/>
        <n v="85767.96"/>
        <n v="290232.3"/>
        <n v="4869004.0"/>
        <n v="23872.8"/>
        <n v="98294.68"/>
        <n v="28157.48"/>
        <n v="10117.04"/>
        <n v="309726.4"/>
        <n v="1403055.0"/>
        <n v="249356.0"/>
        <n v="1016136.0"/>
        <n v="1097607.0"/>
        <n v="3722.96"/>
        <n v="2756934.0"/>
        <n v="610461.6"/>
        <n v="2232283.0"/>
        <n v="1163129.0"/>
        <n v="302164.0"/>
        <n v="835450.6"/>
        <n v="391850.1"/>
        <n v="678864.7"/>
        <n v="48813.68"/>
        <n v="260285.3"/>
        <n v="842056.4"/>
        <n v="673549.5"/>
        <n v="2056871.0"/>
        <n v="470313.8"/>
        <n v="3941421.0"/>
        <n v="575496.0"/>
        <n v="345132.5"/>
        <n v="507298.5"/>
        <n v="315765.2"/>
        <n v="491895.6"/>
        <n v="254356.5"/>
        <n v="590937.1"/>
        <n v="368518.1"/>
        <n v="642227.0"/>
        <n v="998020.7"/>
        <n v="2818324.0"/>
        <n v="279014.4"/>
        <n v="2820610.0"/>
        <n v="812186.8"/>
        <n v="320337.9"/>
        <n v="1519759.0"/>
        <n v="123629.9"/>
        <n v="712618.4"/>
        <n v="1050160.0"/>
        <n v="1164709.0"/>
        <n v="47062.92"/>
        <n v="329592.7"/>
        <n v="260391.9"/>
        <n v="2022901.0"/>
        <n v="11637.66"/>
        <n v="2154829.0"/>
        <n v="1806444.0"/>
        <n v="4012279.0"/>
        <n v="130715.0"/>
        <n v="36717.52"/>
        <n v="62556.48"/>
        <n v="2183796.0"/>
        <n v="3846382.0"/>
        <n v="804094.0"/>
        <n v="154478.0"/>
        <n v="452864.4"/>
        <n v="2483586.0"/>
        <n v="157655.9"/>
        <n v="29596.84"/>
        <n v="268800.0"/>
        <n v="3905238.0"/>
        <n v="16864.04"/>
        <n v="572752.3"/>
        <n v="1642928.0"/>
        <n v="924454.6"/>
        <n v="176753.7"/>
        <n v="172970.7"/>
        <n v="101842.2"/>
        <n v="196146.7"/>
        <n v="5089.28"/>
        <n v="830578.2"/>
        <n v="314053.4"/>
        <n v="1011187.0"/>
        <n v="1405766.0"/>
        <n v="113394.9"/>
        <n v="1039117.0"/>
        <n v="144735.2"/>
        <n v="252691.5"/>
        <n v="386305.1"/>
        <n v="291486.8"/>
        <n v="1820561.0"/>
        <n v="1195040.0"/>
        <n v="411489.1"/>
        <n v="549126.3"/>
        <n v="67880.96"/>
        <n v="446956.3"/>
        <n v="1882020.0"/>
        <n v="471219.8"/>
        <n v="99979.55"/>
        <n v="572768.1"/>
        <n v="2914578.0"/>
        <n v="133231.9"/>
        <n v="403810.9"/>
        <n v="266061.2"/>
        <n v="170275.8"/>
        <n v="917689.9"/>
        <n v="488385.0"/>
        <n v="1548828.0"/>
        <n v="29397.76"/>
        <n v="208947.2"/>
        <n v="816373.8"/>
        <n v="1043776.0"/>
        <n v="851430.7"/>
        <n v="964605.1"/>
        <n v="2742916.0"/>
        <n v="84972.77"/>
        <n v="1813737.0"/>
        <n v="750970.1"/>
        <n v="712800.3"/>
        <n v="2090038.0"/>
        <n v="299954.3"/>
        <n v="51685.48"/>
        <n v="2746066.0"/>
        <n v="486455.3"/>
        <n v="342845.4"/>
        <n v="230223.2"/>
        <n v="317719.4"/>
        <n v="1081233.0"/>
        <n v="50387.15"/>
        <n v="616455.5"/>
        <n v="2938201.0"/>
        <n v="691886.4"/>
        <n v="3497808.0"/>
        <n v="945780.4"/>
        <n v="4621860.0"/>
        <n v="2312974.0"/>
        <n v="41209.97"/>
        <n v="1033496.0"/>
        <n v="555819.4"/>
        <n v="50149.24"/>
        <n v="713361.0"/>
        <n v="954229.9"/>
        <n v="1455345.0"/>
        <n v="395597.6"/>
        <n v="1121669.0"/>
        <n v="1952329.0"/>
        <n v="244179.0"/>
        <n v="608506.1"/>
        <n v="354779.0"/>
        <n v="636600.9"/>
        <n v="43975.92"/>
        <n v="2035795.0"/>
        <n v="219240.0"/>
        <n v="1409527.0"/>
        <n v="981430.9"/>
        <n v="4658495.0"/>
        <n v="107195.9"/>
        <n v="105511.0"/>
        <n v="294448.7"/>
        <n v="374267.9"/>
        <n v="16040.56"/>
        <n v="24263.68"/>
        <n v="117971.8"/>
        <n v="34025.64"/>
        <n v="701607.4"/>
        <n v="113571.6"/>
        <n v="153927.2"/>
        <n v="3458961.0"/>
        <n v="279609.8"/>
        <n v="12544.0"/>
        <n v="124724.0"/>
        <n v="1170765.0"/>
        <n v="1080808.0"/>
        <n v="299250.6"/>
        <n v="595125.8"/>
        <n v="215289.3"/>
        <n v="1306101.0"/>
        <n v="1417769.0"/>
        <n v="692120.1"/>
        <n v="1587983.0"/>
        <n v="178904.2"/>
        <n v="110109.8"/>
        <n v="2408048.0"/>
        <n v="3006869.0"/>
        <n v="54065.96"/>
        <n v="806803.2"/>
        <n v="546978.8"/>
        <n v="2080416.0"/>
        <n v="141716.3"/>
        <n v="20911.23"/>
        <n v="387071.8"/>
        <n v="360230.4"/>
        <n v="806863.5"/>
        <n v="145761.3"/>
        <n v="813914.4"/>
        <n v="54010.88"/>
        <n v="62854.36"/>
        <n v="41928.28"/>
        <n v="4445469.0"/>
        <n v="28229.52"/>
        <n v="274391.0"/>
        <n v="150671.0"/>
        <n v="675246.2"/>
        <n v="234035.2"/>
        <n v="300855.6"/>
        <n v="1625536.0"/>
        <n v="1049.92"/>
        <n v="1967550.0"/>
        <n v="3331808.0"/>
        <n v="576181.2"/>
        <n v="13051.12"/>
        <n v="54342.76"/>
        <n v="18455.64"/>
        <n v="266813.5"/>
        <n v="1516016.0"/>
        <n v="3091477.0"/>
        <n v="227834.9"/>
        <n v="173250.6"/>
        <n v="55180.08"/>
        <n v="985349.9"/>
        <n v="1541910.0"/>
        <n v="207302.6"/>
        <n v="165401.6"/>
        <n v="4293648.0"/>
        <n v="991687.5"/>
        <n v="4405768.0"/>
        <n v="65006.48"/>
        <n v="983568.9"/>
        <n v="732623.0"/>
        <n v="47644.2"/>
        <n v="1215099.0"/>
        <n v="118449.1"/>
        <n v="365692.3"/>
        <n v="221742.1"/>
        <n v="2008945.0"/>
        <n v="27561.93"/>
        <n v="723909.7"/>
        <n v="905186.8"/>
        <n v="1015109.0"/>
        <n v="459039.8"/>
        <n v="343813.1"/>
        <n v="3080570.0"/>
        <n v="1074250.0"/>
        <n v="301524.0"/>
        <n v="244927.7"/>
        <n v="467897.3"/>
        <n v="2338697.0"/>
        <n v="1931764.0"/>
        <n v="135031.1"/>
        <n v="365351.5"/>
        <n v="2587744.0"/>
        <n v="2569047.0"/>
        <n v="1683995.0"/>
        <n v="1826457.0"/>
        <n v="303031.6"/>
        <n v="25258.0"/>
        <n v="396818.5"/>
        <n v="456873.5"/>
        <n v="245111.2"/>
        <n v="220407.2"/>
        <n v="82562.55"/>
        <n v="163337.0"/>
        <n v="544712.0"/>
        <n v="45879.6"/>
        <n v="265859.0"/>
        <n v="1824761.0"/>
        <n v="3089289.0"/>
        <n v="2312864.0"/>
        <n v="309952.5"/>
        <n v="762811.8"/>
        <n v="634810.4"/>
        <n v="480474.1"/>
        <n v="174600.3"/>
        <n v="164958.3"/>
        <n v="132666.9"/>
        <n v="278798.3"/>
        <n v="341833.4"/>
        <n v="63587.88"/>
        <n v="352147.4"/>
        <n v="1108716.0"/>
        <n v="27112.56"/>
        <n v="204323.8"/>
        <n v="937191.5"/>
        <n v="163791.3"/>
        <n v="73507.84"/>
        <n v="19948.48"/>
        <n v="2319147.0"/>
        <n v="2531391.0"/>
        <n v="522120.1"/>
        <n v="3775080.0"/>
        <n v="231145.1"/>
        <n v="139812.4"/>
        <n v="2117.52"/>
        <n v="194718.1"/>
        <n v="1554309.0"/>
        <n v="151713.4"/>
        <n v="59673.51"/>
        <n v="1138197.0"/>
        <n v="1341140.0"/>
        <n v="82590.42"/>
        <n v="1656874.0"/>
        <n v="686346.6"/>
        <n v="1336926.0"/>
        <n v="237905.9"/>
        <n v="1180969.0"/>
        <n v="159903.7"/>
        <n v="341447.7"/>
        <n v="1230882.0"/>
        <n v="112028.0"/>
        <n v="250409.8"/>
        <n v="988804.2"/>
        <n v="185086.6"/>
        <n v="777883.8"/>
        <n v="2883072.0"/>
        <n v="1120328.0"/>
        <n v="72131.51"/>
        <n v="1752860.0"/>
        <n v="1429949.0"/>
        <n v="327088.2"/>
        <n v="1013592.0"/>
        <n v="164456.3"/>
        <n v="438795.8"/>
        <n v="1311867.0"/>
        <n v="794728.2"/>
        <n v="2858448.0"/>
        <n v="294414.5"/>
        <n v="2358420.0"/>
        <n v="430008.0"/>
        <n v="227552.8"/>
        <n v="322619.6"/>
        <n v="1974185.0"/>
        <n v="1128355.0"/>
        <n v="1318665.0"/>
        <n v="3231654.0"/>
        <n v="981963.2"/>
        <n v="278893.7"/>
        <n v="866614.0"/>
        <n v="2839854.0"/>
        <n v="191317.9"/>
        <n v="236962.7"/>
        <n v="2478798.0"/>
        <n v="50834.32"/>
        <n v="1128056.0"/>
        <n v="90111.63"/>
        <n v="194809.1"/>
        <n v="3440588.0"/>
        <n v="979859.4"/>
        <n v="1712949.0"/>
        <n v="25303.04"/>
        <n v="780725.0"/>
        <n v="674124.8"/>
        <n v="1416456.0"/>
        <n v="1538637.0"/>
        <n v="60584.6"/>
        <n v="2608526.0"/>
        <n v="1941815.0"/>
        <n v="3596501.0"/>
        <n v="1246255.0"/>
        <n v="105984.6"/>
        <n v="1165245.0"/>
        <n v="512523.5"/>
        <n v="758042.1"/>
        <n v="2982823.0"/>
        <n v="872937.9"/>
        <n v="1232795.0"/>
        <n v="318892.6"/>
        <n v="1681586.0"/>
        <n v="164576.2"/>
        <n v="802028.6"/>
        <n v="1510635.0"/>
        <n v="451546.6"/>
        <n v="532031.4"/>
        <n v="2770550.0"/>
        <n v="723622.7"/>
        <n v="584598.1"/>
        <n v="211635.2"/>
        <n v="1299592.0"/>
        <n v="1505244.0"/>
        <n v="770360.6"/>
        <n v="25638.6"/>
        <n v="642622.0"/>
        <n v="4074594.0"/>
        <n v="213491.0"/>
        <n v="534607.2"/>
        <n v="19640.32"/>
        <n v="1972078.0"/>
        <n v="350085.1"/>
        <n v="1992748.0"/>
        <n v="1099540.0"/>
        <n v="92159.21"/>
        <n v="2991118.0"/>
        <n v="2447435.0"/>
        <n v="3540330.0"/>
        <n v="306709.9"/>
        <n v="589901.8"/>
        <n v="488665.4"/>
        <n v="252564.5"/>
        <n v="172843.5"/>
        <n v="305281.3"/>
        <n v="471999.4"/>
        <n v="4642465.0"/>
        <n v="1341998.0"/>
        <n v="1084907.0"/>
        <n v="250177.3"/>
        <n v="3146545.0"/>
        <n v="387665.5"/>
        <n v="1092611.0"/>
        <n v="142554.7"/>
        <n v="48283.83"/>
        <n v="1658716.0"/>
        <n v="302419.7"/>
        <n v="396318.1"/>
        <n v="135439.7"/>
        <n v="858197.3"/>
        <n v="203898.2"/>
        <n v="62750.56"/>
        <n v="365734.5"/>
        <n v="40080.64"/>
        <n v="365748.2"/>
        <n v="233748.5"/>
        <n v="2329248.0"/>
        <n v="21394.67"/>
        <n v="436173.1"/>
        <n v="5734.4"/>
        <n v="4781166.0"/>
        <n v="915448.8"/>
        <n v="2853158.0"/>
        <n v="1930669.0"/>
        <n v="429208.2"/>
        <n v="1158983.0"/>
        <n v="2598014.0"/>
        <n v="1905983.0"/>
        <n v="214660.3"/>
        <n v="344458.2"/>
        <n v="121846.2"/>
        <n v="207724.3"/>
        <n v="3051.72"/>
        <n v="11964.68"/>
        <n v="1361416.0"/>
        <n v="19389.84"/>
        <n v="1938152.0"/>
        <n v="4491200.0"/>
        <n v="1063172.0"/>
        <n v="825391.3"/>
        <n v="3651958.0"/>
        <n v="3437438.0"/>
        <n v="36494.92"/>
        <n v="4700257.0"/>
        <n v="1706115.0"/>
        <n v="3601314.0"/>
        <n v="27133.32"/>
        <n v="457287.0"/>
        <n v="777727.5"/>
        <n v="384543.0"/>
        <n v="78999.0"/>
        <n v="64978.8"/>
        <n v="1540285.0"/>
        <n v="156534.0"/>
        <n v="545469.1"/>
        <n v="3893177.0"/>
        <n v="7362.88"/>
        <n v="3654471.0"/>
        <n v="1869401.0"/>
        <n v="194001.9"/>
        <n v="579768.0"/>
        <n v="3309226.0"/>
        <n v="2203782.0"/>
        <n v="276003.8"/>
        <n v="295730.4"/>
        <n v="56571.0"/>
        <n v="291235.8"/>
        <n v="315452.2"/>
        <n v="4007020.0"/>
        <n v="2683024.0"/>
        <n v="79636.48"/>
        <n v="3879979.0"/>
        <n v="2540842.0"/>
        <n v="338329.6"/>
        <n v="904069.5"/>
        <n v="2844758.0"/>
        <n v="98202.72"/>
        <n v="2564834.0"/>
        <n v="77772.8"/>
        <n v="64480.56"/>
        <n v="545448.8"/>
        <n v="568651.1"/>
        <n v="1012650.0"/>
        <n v="515401.1"/>
        <n v="2697612.0"/>
        <n v="3272601.0"/>
        <n v="1042926.0"/>
        <n v="1574977.0"/>
        <n v="2434223.0"/>
        <n v="1534757.0"/>
        <n v="66190.56"/>
        <n v="4708800.0"/>
        <n v="239711.6"/>
        <n v="296918.6"/>
        <n v="54232.04"/>
        <n v="962707.2"/>
        <n v="44364.12"/>
        <n v="146970.1"/>
        <n v="218175.9"/>
        <n v="89774.96"/>
        <n v="275911.2"/>
        <n v="88235.19"/>
        <n v="777997.1"/>
        <n v="560520.7"/>
        <n v="1322731.0"/>
        <n v="737806.0"/>
        <n v="22358.52"/>
        <n v="2649838.0"/>
        <n v="2781056.0"/>
        <n v="630754.5"/>
        <n v="191304.0"/>
        <n v="3423345.0"/>
        <n v="330419.0"/>
        <n v="276096.2"/>
        <n v="757498.6"/>
        <n v="35935.56"/>
        <n v="661221.6"/>
        <n v="875572.3"/>
        <n v="262807.9"/>
        <n v="1593562.0"/>
        <n v="260837.0"/>
        <n v="146806.2"/>
        <n v="452793.3"/>
        <n v="289511.5"/>
        <n v="40039.12"/>
        <n v="2872663.0"/>
        <n v="71750.03"/>
        <n v="54252.8"/>
        <n v="297652.3"/>
        <n v="2215395.0"/>
        <n v="44156.52"/>
        <n v="396838.3"/>
        <n v="3950467.0"/>
        <n v="245347.4"/>
        <n v="2850407.0"/>
        <n v="864215.8"/>
        <n v="784460.1"/>
        <n v="233508.2"/>
        <n v="308568.2"/>
        <n v="476871.4"/>
        <n v="324949.2"/>
        <n v="47145.96"/>
        <n v="161173.6"/>
        <n v="835042.0"/>
        <n v="252380.8"/>
        <n v="2524018.0"/>
        <n v="698524.3"/>
        <n v="887988.2"/>
        <n v="476368.0"/>
        <n v="1632119.0"/>
        <n v="1146741.0"/>
        <n v="4172382.0"/>
        <n v="715886.5"/>
        <n v="38710.48"/>
        <n v="2428465.0"/>
        <n v="106369.6"/>
        <n v="1151762.0"/>
        <n v="678246.9"/>
        <n v="50291.78"/>
        <n v="2889905.0"/>
        <n v="351202.3"/>
        <n v="442394.4"/>
        <n v="214036.5"/>
        <n v="660955.3"/>
        <n v="3669547.0"/>
        <n v="347763.4"/>
        <n v="21507.36"/>
        <n v="176357.0"/>
        <n v="1022591.0"/>
        <n v="4240935.0"/>
        <n v="3028386.0"/>
        <n v="4050066.0"/>
        <n v="391806.2"/>
        <n v="50959.37"/>
        <n v="669510.2"/>
        <n v="117089.3"/>
        <n v="224573.4"/>
        <n v="4207265.0"/>
        <n v="2163885.0"/>
        <n v="495190.1"/>
        <n v="1769476.0"/>
        <n v="28095.2"/>
        <n v="2819035.0"/>
        <n v="303600.6"/>
        <n v="462833.7"/>
        <n v="387713.8"/>
        <n v="1560494.0"/>
        <n v="313528.3"/>
        <n v="836234.2"/>
        <n v="195058.1"/>
        <n v="107671.2"/>
        <n v="322315.9"/>
        <n v="12283.0"/>
        <n v="246690.4"/>
        <n v="352317.4"/>
        <n v="142054.4"/>
        <n v="218947.7"/>
        <n v="235683.8"/>
        <n v="392293.4"/>
        <n v="1406244.0"/>
        <n v="1113126.0"/>
        <n v="3934050.0"/>
        <n v="1815062.0"/>
        <n v="397313.4"/>
        <n v="168649.9"/>
        <n v="136188.4"/>
        <n v="3419698.0"/>
        <n v="494672.4"/>
        <n v="959101.9"/>
        <n v="1185360.0"/>
        <n v="247400.2"/>
        <n v="2445546.0"/>
        <n v="460670.4"/>
        <n v="787916.1"/>
        <n v="952670.9"/>
        <n v="1457666.0"/>
        <n v="828436.2"/>
        <n v="20815.36"/>
        <n v="1303099.0"/>
        <n v="103523.2"/>
        <n v="750558.0"/>
        <n v="276864.0"/>
        <n v="2426365.0"/>
        <n v="80424.96"/>
        <n v="196207.9"/>
        <n v="96679.02"/>
        <n v="330159.4"/>
        <n v="557551.7"/>
        <n v="60315.36"/>
        <n v="615778.0"/>
        <n v="1239766.0"/>
        <n v="1585379.0"/>
        <n v="2905686.0"/>
        <n v="817984.0"/>
        <n v="680065.5"/>
        <n v="199259.7"/>
        <n v="3503709.0"/>
        <n v="75120.64"/>
        <n v="221312.0"/>
        <n v="390976.1"/>
        <n v="1112896.0"/>
        <n v="106767.4"/>
        <n v="452981.5"/>
        <n v="66769.92"/>
        <n v="1384722.0"/>
        <n v="21403.56"/>
        <n v="2950412.0"/>
        <n v="1763276.0"/>
        <n v="352486.4"/>
        <n v="2826712.0"/>
        <n v="3766035.0"/>
        <n v="586369.8"/>
        <n v="3013069.0"/>
        <n v="81177.6"/>
        <n v="28039.84"/>
        <n v="275609.6"/>
        <n v="3383959.0"/>
        <n v="228013.2"/>
        <n v="4120325.0"/>
        <n v="1307085.0"/>
        <n v="205598.4"/>
        <n v="22282.4"/>
        <n v="216068.0"/>
        <n v="39114.74"/>
        <n v="55823.64"/>
        <n v="1029056.0"/>
        <n v="1037520.0"/>
        <n v="262540.0"/>
        <n v="2692520.0"/>
        <n v="534122.8"/>
        <n v="67802.16"/>
        <n v="38060.0"/>
        <n v="4326869.0"/>
        <n v="3564478.0"/>
        <n v="1724984.0"/>
        <n v="328151.0"/>
        <n v="1006447.0"/>
        <n v="410458.0"/>
        <n v="474295.5"/>
        <n v="709168.3"/>
        <n v="1600520.0"/>
        <n v="1590413.0"/>
        <n v="21237.48"/>
        <n v="293380.6"/>
        <n v="67136.16"/>
        <n v="261608.2"/>
        <n v="49138.92"/>
        <n v="4287348.0"/>
        <n v="1558606.0"/>
        <n v="439234.4"/>
        <n v="10082.44"/>
        <n v="818412.6"/>
        <n v="2167206.0"/>
        <n v="1142291.0"/>
        <n v="529165.2"/>
        <n v="64992.48"/>
        <n v="12345.28"/>
        <n v="193217.0"/>
        <n v="16566.48"/>
        <n v="25527.37"/>
        <n v="1425852.0"/>
        <n v="9369.68"/>
        <n v="4823881.0"/>
        <n v="709265.8"/>
        <n v="2636874.0"/>
        <n v="174590.7"/>
        <n v="1335780.0"/>
        <n v="526955.5"/>
        <n v="169536.1"/>
        <n v="812914.2"/>
        <n v="2124513.0"/>
        <n v="132191.7"/>
        <n v="293890.6"/>
        <n v="3522303.0"/>
        <n v="13244.88"/>
        <n v="1255273.0"/>
        <n v="354636.8"/>
        <n v="586955.3"/>
        <n v="413294.3"/>
        <n v="160716.1"/>
        <n v="270429.2"/>
        <n v="804951.8"/>
        <n v="2762462.0"/>
        <n v="82094.11"/>
        <n v="466561.8"/>
        <n v="545093.1"/>
        <n v="65873.92"/>
        <n v="660838.1"/>
        <n v="1654239.0"/>
        <n v="159218.4"/>
        <n v="190772.2"/>
        <n v="203138.1"/>
        <n v="24496.8"/>
        <n v="953664.4"/>
        <n v="5785.78"/>
        <n v="2431791.0"/>
        <n v="972061.4"/>
        <n v="255422.4"/>
        <n v="1959175.0"/>
        <n v="4002295.0"/>
        <n v="518303.8"/>
        <n v="273376.1"/>
        <n v="340730.9"/>
        <n v="494508.0"/>
        <n v="636844.2"/>
        <n v="3192134.0"/>
        <n v="3603502.0"/>
        <n v="2185933.0"/>
        <n v="4153996.0"/>
        <n v="524013.5"/>
        <n v="2682660.0"/>
        <n v="61971.84"/>
        <n v="10077.43"/>
        <n v="658743.8"/>
        <n v="19465.96"/>
        <n v="9463.89"/>
        <n v="292904.6"/>
        <n v="1016281.0"/>
        <n v="55982.08"/>
        <n v="256545.3"/>
        <n v="58956.8"/>
        <n v="53692.28"/>
        <n v="4681593.0"/>
        <n v="1539519.0"/>
        <n v="49115.55"/>
        <n v="293171.2"/>
        <n v="17458.56"/>
        <n v="38420.22"/>
        <n v="4210704.0"/>
        <n v="511949.8"/>
        <n v="24980.48"/>
        <n v="1351936.0"/>
        <n v="361724.6"/>
        <n v="153897.0"/>
        <n v="182633.6"/>
        <n v="940101.1"/>
        <n v="709686.7"/>
        <n v="307051.9"/>
        <n v="103463.6"/>
        <n v="1065350.0"/>
        <n v="1133.4"/>
        <n v="341161.0"/>
        <n v="4996.24"/>
        <n v="188165.0"/>
        <n v="3322472.0"/>
        <n v="40564.04"/>
        <n v="367902.8"/>
        <n v="2490588.0"/>
        <n v="3193642.0"/>
        <n v="2007365.0"/>
        <n v="16662.24"/>
        <n v="16898.64"/>
        <n v="478333.0"/>
        <n v="461560.7"/>
        <n v="88919.04"/>
        <n v="1854373.0"/>
        <n v="1923099.0"/>
        <n v="4697342.0"/>
        <n v="3300424.0"/>
        <n v="364902.1"/>
        <n v="317148.2"/>
        <n v="443449.4"/>
        <n v="808410.3"/>
        <n v="793273.3"/>
        <n v="775100.0"/>
        <n v="257940.5"/>
        <n v="939321.6"/>
        <n v="99629.86"/>
        <n v="20695.29"/>
        <n v="199955.1"/>
        <n v="1564070.0"/>
        <n v="17687.52"/>
        <n v="149278.1"/>
        <n v="474435.4"/>
        <n v="265816.3"/>
        <n v="1157350.0"/>
        <n v="448767.3"/>
        <n v="272979.2"/>
        <n v="336895.7"/>
        <n v="698978.9"/>
        <n v="556102.7"/>
        <n v="2343946.0"/>
        <n v="1283969.0"/>
        <n v="1466054.0"/>
        <n v="280985.6"/>
        <n v="321390.7"/>
        <n v="105819.8"/>
        <n v="45782.72"/>
        <n v="214952.6"/>
        <n v="771541.1"/>
        <n v="56155.8"/>
        <n v="125463.5"/>
        <n v="1311389.0"/>
        <n v="329226.2"/>
        <n v="30814.76"/>
        <n v="179776.8"/>
        <n v="441639.6"/>
        <n v="857379.0"/>
        <n v="1425405.0"/>
        <n v="813520.3"/>
        <n v="2360638.0"/>
        <n v="2377544.0"/>
        <n v="43637.52"/>
        <n v="210452.5"/>
        <n v="64535.92"/>
        <n v="2579844.0"/>
        <n v="1229715.0"/>
        <n v="65511.64"/>
        <n v="161556.8"/>
        <n v="19568.64"/>
        <n v="4596231.0"/>
        <n v="116830.6"/>
        <n v="324459.5"/>
        <n v="761837.4"/>
        <n v="626172.7"/>
        <n v="2326722.0"/>
        <n v="1044520.0"/>
        <n v="3550987.0"/>
        <n v="37866.24"/>
        <n v="162823.0"/>
        <n v="91904.89"/>
        <n v="1031036.0"/>
        <n v="39610.08"/>
        <n v="3042244.0"/>
        <n v="191714.6"/>
        <n v="2415866.0"/>
        <n v="278978.6"/>
        <n v="1513621.0"/>
        <n v="303797.1"/>
        <n v="87557.12"/>
        <n v="678864.5"/>
        <n v="1251925.0"/>
        <n v="734350.7"/>
        <n v="694796.1"/>
        <n v="836327.5"/>
        <n v="1167704.0"/>
        <n v="282770.9"/>
        <n v="38108.44"/>
        <n v="252603.3"/>
        <n v="3725329.0"/>
        <n v="366554.3"/>
        <n v="131836.3"/>
        <n v="33462.24"/>
        <n v="875534.6"/>
        <n v="28192.08"/>
        <n v="3411.56"/>
        <n v="8041.04"/>
        <n v="865744.5"/>
        <n v="381465.7"/>
        <n v="802905.6"/>
        <n v="179263.8"/>
        <n v="153005.3"/>
        <n v="2463979.0"/>
        <n v="561259.7"/>
        <n v="516490.4"/>
        <n v="650801.8"/>
        <n v="2268877.0"/>
        <n v="25432.0"/>
        <n v="2515267.0"/>
        <n v="39281.76"/>
        <n v="456591.9"/>
        <n v="994621.4"/>
        <n v="154183.7"/>
        <n v="49638.4"/>
        <n v="1991207.0"/>
        <n v="244550.3"/>
        <n v="3337368.0"/>
        <n v="1277151.0"/>
        <n v="220117.0"/>
        <n v="525870.0"/>
        <n v="4843806.0"/>
        <n v="598281.6"/>
        <n v="394423.2"/>
        <n v="105441.3"/>
        <n v="51007.32"/>
        <n v="66401.37"/>
        <n v="777331.9"/>
        <n v="307695.4"/>
        <n v="580860.8"/>
        <n v="549042.5"/>
        <n v="120027.6"/>
        <n v="239156.2"/>
        <n v="50482.52"/>
        <n v="7990.08"/>
        <n v="57523.2"/>
        <n v="56745.15"/>
        <n v="57332.2"/>
        <n v="184254.8"/>
        <n v="59050.14"/>
        <n v="53830.68"/>
        <n v="101496.0"/>
        <n v="40807.24"/>
        <n v="157201.6"/>
        <n v="129927.3"/>
        <n v="1182737.0"/>
        <n v="39430.16"/>
        <n v="1375157.0"/>
        <n v="2263996.0"/>
        <n v="46771.2"/>
        <n v="81304.2"/>
        <n v="866262.7"/>
        <n v="294661.5"/>
        <n v="1656082.0"/>
        <n v="550341.1"/>
        <n v="597410.1"/>
        <n v="2788063.0"/>
        <n v="81893.76"/>
        <n v="204187.2"/>
        <n v="170980.6"/>
        <n v="877201.7"/>
        <n v="3716283.0"/>
        <n v="4276849.0"/>
        <n v="3872105.0"/>
        <n v="739374.7"/>
        <n v="22960.56"/>
        <n v="3082580.0"/>
        <n v="4841470.0"/>
        <n v="520905.3"/>
        <n v="22406.96"/>
        <n v="204108.8"/>
        <n v="564984.5"/>
        <n v="503661.3"/>
        <n v="78394.14"/>
        <n v="341796.5"/>
        <n v="250424.7"/>
        <n v="601497.1"/>
        <n v="2303747.0"/>
        <n v="44882.64"/>
        <n v="271380.5"/>
        <n v="59601.92"/>
        <n v="698.92"/>
        <n v="249159.7"/>
        <n v="471267.7"/>
        <n v="3843757.0"/>
        <n v="830372.8"/>
        <n v="2983580.0"/>
        <n v="1029972.0"/>
        <n v="269007.0"/>
        <n v="277272.4"/>
        <n v="173410.2"/>
        <n v="2007447.0"/>
        <n v="22384.65"/>
        <n v="380360.2"/>
        <n v="1825225.0"/>
        <n v="897812.2"/>
        <n v="3075795.0"/>
        <n v="80777.76"/>
        <n v="20524.72"/>
        <n v="335583.4"/>
        <n v="1258143.0"/>
        <n v="1448184.0"/>
        <n v="3346620.0"/>
        <n v="65443.84"/>
        <n v="28233.6"/>
        <n v="505666.4"/>
        <n v="3344572.0"/>
        <n v="4861572.0"/>
        <n v="1213708.0"/>
        <n v="90566.28"/>
        <n v="238945.3"/>
        <n v="224112.0"/>
        <n v="251141.0"/>
        <n v="877288.3"/>
        <n v="1099403.0"/>
        <n v="2633724.0"/>
        <n v="220666.9"/>
        <n v="3897700.0"/>
        <n v="48495.36"/>
        <n v="305571.8"/>
        <n v="109993.0"/>
        <n v="76202.76"/>
        <n v="230706.7"/>
        <n v="109089.8"/>
        <n v="614050.3"/>
        <n v="354744.3"/>
        <n v="387169.4"/>
        <n v="9724.62"/>
        <n v="2071470.0"/>
        <n v="32868.6"/>
        <n v="275972.6"/>
        <n v="1063877.0"/>
        <n v="249106.4"/>
        <n v="211097.6"/>
        <n v="108181.4"/>
        <n v="423040.4"/>
        <n v="680131.2"/>
        <n v="22602.69"/>
        <n v="899663.5"/>
        <n v="764341.8"/>
        <n v="1670443.0"/>
        <n v="739957.3"/>
        <n v="176261.1"/>
        <n v="1065882.0"/>
        <n v="795024.2"/>
        <n v="424911.7"/>
        <n v="562423.7"/>
        <n v="1134964.0"/>
        <n v="502096.2"/>
        <n v="32822.1"/>
        <n v="646239.5"/>
        <n v="311515.7"/>
        <n v="60051.76"/>
        <n v="690597.7"/>
        <n v="385179.5"/>
        <n v="289243.7"/>
        <n v="2532772.0"/>
        <n v="13147.44"/>
        <n v="17092.4"/>
        <n v="311320.8"/>
        <n v="874524.0"/>
        <n v="2213815.0"/>
        <n v="1875700.0"/>
        <n v="271175.5"/>
        <n v="546.68"/>
        <n v="671625.9"/>
        <n v="1841035.0"/>
        <n v="328975.4"/>
        <n v="887969.4"/>
        <n v="426668.4"/>
        <n v="812040.7"/>
        <n v="750093.1"/>
        <n v="69288.66"/>
        <n v="886704.0"/>
        <n v="1426316.0"/>
        <n v="331894.5"/>
        <n v="54686.55"/>
        <n v="918578.0"/>
        <n v="221097.0"/>
        <n v="213594.6"/>
        <n v="53509.12"/>
        <n v="1030614.0"/>
        <n v="685184.7"/>
        <n v="63020.44"/>
        <n v="53000.28"/>
        <n v="509753.6"/>
        <n v="1168230.0"/>
        <n v="1257137.0"/>
        <n v="917202.7"/>
        <n v="514663.8"/>
        <n v="731986.5"/>
        <n v="292131.8"/>
        <n v="66162.12"/>
        <n v="1061248.0"/>
        <n v="137101.2"/>
        <n v="21472.76"/>
        <n v="684459.5"/>
        <n v="2207156.0"/>
        <n v="270971.4"/>
        <n v="157106.2"/>
        <n v="46680.32"/>
        <n v="634384.9"/>
        <n v="550832.4"/>
        <n v="285506.0"/>
        <n v="42004.48"/>
        <n v="41263.42"/>
        <n v="203297.1"/>
        <n v="279278.7"/>
        <n v="351447.0"/>
        <n v="3856881.0"/>
        <n v="4179625.0"/>
        <n v="175902.7"/>
        <n v="48133.12"/>
        <n v="865072.3"/>
        <n v="25368.42"/>
        <n v="869073.3"/>
        <n v="34810.05"/>
        <n v="109206.9"/>
        <n v="1458693.0"/>
        <n v="2296700.0"/>
        <n v="66646.52"/>
        <n v="1017217.0"/>
        <n v="459480.4"/>
        <n v="368128.3"/>
        <n v="537174.9"/>
        <n v="2477286.0"/>
        <n v="1819084.0"/>
        <n v="156919.2"/>
        <n v="217118.7"/>
        <n v="674388.1"/>
        <n v="2560441.0"/>
        <n v="4275610.0"/>
        <n v="456116.6"/>
        <n v="426441.8"/>
        <n v="55228.52"/>
        <n v="1438766.0"/>
        <n v="173797.8"/>
        <n v="479599.7"/>
        <n v="103056.8"/>
        <n v="938444.6"/>
        <n v="295869.5"/>
        <n v="456.72"/>
        <n v="3319773.0"/>
        <n v="512936.1"/>
        <n v="539669.6"/>
        <n v="262903.3"/>
        <n v="4002229.0"/>
        <n v="84797.44"/>
        <n v="331859.5"/>
        <n v="1275834.0"/>
        <n v="270298.6"/>
        <n v="465470.7"/>
        <n v="139335.6"/>
        <n v="1344036.0"/>
        <n v="1036072.0"/>
        <n v="837647.2"/>
        <n v="2490468.0"/>
        <n v="1147855.0"/>
        <n v="145575.4"/>
        <n v="970307.5"/>
        <n v="482035.0"/>
        <n v="720529.3"/>
        <n v="1587617.0"/>
        <n v="703091.1"/>
        <n v="1723525.0"/>
        <n v="108158.4"/>
        <n v="705889.6"/>
        <n v="969710.7"/>
        <n v="5556.76"/>
        <n v="1080925.0"/>
        <n v="113850.0"/>
        <n v="1379323.0"/>
        <n v="14165.24"/>
        <n v="889684.7"/>
        <n v="477808.8"/>
        <n v="1506511.0"/>
        <n v="213815.9"/>
        <n v="10539.16"/>
        <n v="1087835.0"/>
        <n v="299398.2"/>
        <n v="73217.64"/>
        <n v="3176555.0"/>
        <n v="287155.7"/>
        <n v="599550.4"/>
        <n v="901752.8"/>
        <n v="2662966.0"/>
        <n v="133841.2"/>
        <n v="53353.2"/>
        <n v="1306117.0"/>
        <n v="2575367.0"/>
        <n v="47485.04"/>
        <n v="266243.0"/>
        <n v="12006.2"/>
        <n v="324997.1"/>
        <n v="2824159.0"/>
        <n v="416405.0"/>
        <n v="541084.3"/>
        <n v="173957.1"/>
        <n v="57615.92"/>
        <n v="188588.8"/>
        <n v="454770.9"/>
        <n v="528107.7"/>
        <n v="381964.8"/>
        <n v="237475.8"/>
        <n v="506389.2"/>
        <n v="6290.28"/>
        <n v="5165081.0"/>
        <n v="143760.3"/>
        <n v="1202076.0"/>
        <n v="126847.4"/>
        <n v="204774.4"/>
        <n v="682793.4"/>
        <n v="1878307.0"/>
        <n v="1959906.0"/>
        <n v="629709.0"/>
        <n v="3131829.0"/>
        <n v="1390909.0"/>
        <n v="1340777.0"/>
        <n v="112660.0"/>
        <n v="1946337.0"/>
        <n v="358490.3"/>
        <n v="170633.4"/>
        <n v="205900.8"/>
        <n v="2185587.0"/>
        <n v="13600.8"/>
        <n v="838624.7"/>
        <n v="511390.3"/>
        <n v="1541591.0"/>
        <n v="2651661.0"/>
        <n v="334414.1"/>
        <n v="2724542.0"/>
        <n v="210195.5"/>
        <n v="1907642.0"/>
        <n v="68314.24"/>
        <n v="361441.3"/>
        <n v="314049.1"/>
        <n v="653889.2"/>
        <n v="2700147.0"/>
        <n v="389362.3"/>
        <n v="101417.3"/>
        <n v="143309.3"/>
        <n v="3473135.0"/>
        <n v="38994.2"/>
        <n v="198485.3"/>
        <n v="1672453.0"/>
        <n v="325909.2"/>
        <n v="239841.3"/>
        <n v="933015.4"/>
        <n v="563356.5"/>
        <n v="42987.04"/>
        <n v="85608.54"/>
        <n v="3172438.0"/>
        <n v="1282979.0"/>
        <n v="3589279.0"/>
        <n v="1118401.0"/>
        <n v="371415.2"/>
        <n v="654618.6"/>
        <n v="262235.7"/>
        <n v="40959.48"/>
        <n v="2495209.0"/>
        <n v="3046.4"/>
        <n v="214455.3"/>
        <n v="157583.0"/>
        <n v="1778593.0"/>
        <n v="209622.3"/>
        <n v="36665.49"/>
        <n v="520076.8"/>
        <n v="189818.1"/>
        <n v="931024.5"/>
        <n v="1385642.0"/>
        <n v="207956.9"/>
        <n v="194826.2"/>
        <n v="4096204.0"/>
        <n v="187751.7"/>
        <n v="68287.35"/>
        <n v="4507307.0"/>
        <n v="874201.0"/>
        <n v="1257824.0"/>
        <n v="473358.6"/>
        <n v="116695.4"/>
        <n v="2790608.0"/>
        <n v="3279576.0"/>
        <n v="715425.0"/>
        <n v="700301.3"/>
        <n v="1995251.0"/>
        <n v="1877016.0"/>
        <n v="265036.8"/>
        <n v="382247.0"/>
        <n v="168519.7"/>
        <n v="2516720.0"/>
        <n v="3350407.0"/>
        <n v="135902.3"/>
        <n v="2277801.0"/>
        <n v="2875731.0"/>
        <n v="431517.1"/>
        <n v="313498.4"/>
        <n v="163764.9"/>
        <n v="218236.2"/>
        <n v="1476463.0"/>
        <n v="86016.0"/>
        <n v="1983549.0"/>
        <n v="309257.1"/>
        <n v="19423.52"/>
        <n v="141093.1"/>
        <n v="38447.52"/>
        <n v="68258.88"/>
        <n v="124267.1"/>
        <n v="135393.6"/>
        <n v="2504795.0"/>
        <n v="168423.4"/>
        <n v="64203.76"/>
        <n v="719641.0"/>
        <n v="238327.5"/>
        <n v="78298.77"/>
        <n v="1214639.0"/>
        <n v="51612.68"/>
        <n v="3502533.0"/>
        <n v="817521.6"/>
        <n v="3793172.0"/>
        <n v="183384.1"/>
        <n v="424401.6"/>
        <n v="913500.0"/>
        <n v="69137.72"/>
        <n v="3753471.0"/>
        <n v="62594.51"/>
        <n v="66648.96"/>
        <n v="90188.23"/>
        <n v="148872.6"/>
        <n v="1187092.0"/>
        <n v="893666.4"/>
        <n v="163719.8"/>
        <n v="69291.1"/>
        <n v="38099.67"/>
        <n v="538550.9"/>
        <n v="31376.73"/>
        <n v="4675632.0"/>
        <n v="488564.2"/>
        <n v="67020.2"/>
        <n v="391929.7"/>
        <n v="3686633.0"/>
        <n v="129239.0"/>
        <n v="307038.1"/>
        <n v="409003.1"/>
        <n v="543918.7"/>
        <n v="790589.8"/>
        <n v="4748263.0"/>
        <n v="136805.8"/>
        <n v="128050.1"/>
        <n v="102466.6"/>
        <n v="935795.4"/>
        <n v="4234852.0"/>
        <n v="367505.0"/>
        <n v="607918.0"/>
        <n v="26005.98"/>
        <n v="175508.5"/>
        <n v="237277.3"/>
        <n v="2408.16"/>
        <n v="430918.7"/>
        <n v="1149259.0"/>
        <n v="644895.2"/>
        <n v="331258.0"/>
        <n v="367491.2"/>
        <n v="2172.88"/>
        <n v="373058.6"/>
        <n v="194483.0"/>
        <n v="69906.21"/>
        <n v="302799.8"/>
        <n v="60401.0"/>
        <n v="3093589.0"/>
        <n v="9183.93"/>
        <n v="18034.94"/>
        <n v="210472.4"/>
        <n v="533386.6"/>
        <n v="1082974.0"/>
        <n v="880081.7"/>
        <n v="415844.5"/>
        <n v="520202.6"/>
        <n v="585868.5"/>
        <n v="1103027.0"/>
        <n v="734896.3"/>
        <n v="2957271.0"/>
        <n v="565169.9"/>
        <n v="430730.6"/>
        <n v="40087.19"/>
        <n v="471097.4"/>
        <n v="227978.2"/>
        <n v="1561392.0"/>
        <n v="123937.3"/>
        <n v="72198.42"/>
        <n v="461973.8"/>
        <n v="50279.04"/>
        <n v="349710.6"/>
        <n v="39645.48"/>
        <n v="4553.36"/>
        <n v="118779.4"/>
        <n v="998597.0"/>
        <n v="41713.76"/>
        <n v="2420793.0"/>
        <n v="84014.34"/>
        <n v="2398017.0"/>
        <n v="261969.3"/>
        <n v="4759812.0"/>
        <n v="1970700.0"/>
        <n v="4826394.0"/>
        <n v="614846.4"/>
        <n v="564857.2"/>
        <n v="1048135.0"/>
        <n v="259216.9"/>
        <n v="129925.7"/>
        <n v="102173.1"/>
        <n v="1262288.0"/>
        <n v="131642.4"/>
        <n v="3594749.0"/>
        <n v="4023.57"/>
        <n v="663371.1"/>
        <n v="1461722.0"/>
        <n v="4314121.0"/>
        <n v="190680.2"/>
        <n v="581424.5"/>
        <n v="183769.5"/>
        <n v="160634.9"/>
        <n v="1679033.0"/>
        <n v="39271.0"/>
        <n v="938168.2"/>
        <n v="385959.8"/>
        <n v="20095.68"/>
        <n v="198782.9"/>
        <n v="1231223.0"/>
        <n v="70497.28"/>
        <n v="225183.8"/>
        <n v="794203.3"/>
        <n v="76238.61"/>
        <n v="136693.8"/>
        <n v="4271075.0"/>
        <n v="149432.4"/>
        <n v="3983635.0"/>
        <n v="1267671.0"/>
        <n v="517482.6"/>
        <n v="201675.8"/>
        <n v="4819861.0"/>
        <n v="32790.8"/>
        <n v="10393.6"/>
        <n v="112345.9"/>
        <n v="6601.68"/>
        <n v="197944.3"/>
        <n v="259696.6"/>
        <n v="741897.9"/>
        <n v="3683116.0"/>
        <n v="3074166.0"/>
        <n v="66984.96"/>
        <n v="502752.0"/>
        <n v="642303.2"/>
        <n v="599410.6"/>
        <n v="301178.5"/>
        <n v="252533.5"/>
        <n v="3199170.0"/>
        <n v="1529732.0"/>
        <n v="2820085.0"/>
        <n v="1143111.0"/>
        <n v="940588.3"/>
        <n v="29638.41"/>
        <n v="1778228.0"/>
        <n v="1908089.0"/>
        <n v="521477.3"/>
        <n v="2279901.0"/>
        <n v="299887.1"/>
        <n v="312811.5"/>
        <n v="29643.18"/>
        <n v="892568.9"/>
        <n v="1567077.0"/>
        <n v="1517519.0"/>
        <n v="2195382.0"/>
        <n v="822011.3"/>
        <n v="56384.16"/>
        <n v="34129.44"/>
        <n v="777269.6"/>
        <n v="48225.48"/>
        <n v="506785.4"/>
        <n v="15810.93"/>
        <n v="734396.8"/>
        <n v="332416.0"/>
        <n v="283640.4"/>
        <n v="6041.16"/>
        <n v="386432.7"/>
        <n v="1180772.0"/>
        <n v="1349303.0"/>
        <n v="1063044.0"/>
        <n v="644573.4"/>
        <n v="283458.6"/>
        <n v="783816.6"/>
        <n v="3300080.0"/>
        <n v="744246.7"/>
        <n v="174218.2"/>
        <n v="261377.4"/>
        <n v="2646555.0"/>
        <n v="271327.7"/>
        <n v="59377.29"/>
        <n v="1473360.0"/>
        <n v="70318.08"/>
        <n v="125655.0"/>
        <n v="58269.12"/>
        <n v="681397.9"/>
        <n v="4449561.0"/>
        <n v="4128810.0"/>
        <n v="818.37"/>
        <n v="3410739.0"/>
        <n v="205695.8"/>
        <n v="47914.08"/>
        <n v="491510.7"/>
        <n v="1979003.0"/>
        <n v="1304215.0"/>
        <n v="545034.4"/>
        <n v="770722.7"/>
        <n v="439982.3"/>
        <n v="181587.2"/>
        <n v="12366.31"/>
        <n v="56453.36"/>
        <n v="410004.8"/>
        <n v="1414374.0"/>
        <n v="37520.24"/>
        <n v="2252788.0"/>
        <n v="697824.5"/>
        <n v="1084656.0"/>
        <n v="362914.7"/>
        <n v="1311120.0"/>
        <n v="618562.2"/>
        <n v="803156.5"/>
        <n v="1012884.0"/>
        <n v="155502.5"/>
        <n v="3132436.0"/>
        <n v="155753.3"/>
        <n v="1190549.0"/>
        <n v="405870.5"/>
        <n v="60999.8"/>
        <n v="846342.6"/>
        <n v="2980976.0"/>
        <n v="322346.9"/>
        <n v="604907.5"/>
        <n v="2548883.0"/>
        <n v="193283.2"/>
        <n v="1897819.0"/>
        <n v="314254.1"/>
        <n v="181628.2"/>
        <n v="590863.1"/>
        <n v="23929.36"/>
        <n v="936114.2"/>
        <n v="867508.3"/>
        <n v="755810.2"/>
        <n v="272814.1"/>
        <n v="1398113.0"/>
        <n v="146160.0"/>
        <n v="42364.24"/>
        <n v="158377.8"/>
        <n v="3749451.0"/>
        <n v="1308750.0"/>
        <n v="27943.41"/>
        <n v="1911249.0"/>
        <n v="541399.5"/>
        <n v="1521504.0"/>
        <n v="162474.6"/>
        <n v="1745321.0"/>
        <n v="2901163.0"/>
        <n v="352318.2"/>
        <n v="4777648.0"/>
        <n v="517495.1"/>
        <n v="983010.9"/>
        <n v="4863229.0"/>
        <n v="102609.9"/>
        <n v="229698.6"/>
        <n v="371538.7"/>
        <n v="547216.7"/>
        <n v="339850.0"/>
        <n v="134579.2"/>
        <n v="42217.12"/>
        <n v="2049761.0"/>
        <n v="2215856.0"/>
        <n v="4406773.0"/>
        <n v="579857.1"/>
        <n v="313926.3"/>
        <n v="1495086.0"/>
        <n v="3399181.0"/>
        <n v="1579852.0"/>
        <n v="1211911.0"/>
        <n v="228570.1"/>
        <n v="357536.8"/>
        <n v="584233.4"/>
        <n v="2290253.0"/>
        <n v="408115.2"/>
        <n v="13687.76"/>
        <n v="43724.8"/>
        <n v="680882.8"/>
        <n v="63114.24"/>
        <n v="2316146.0"/>
        <n v="753601.0"/>
        <n v="1217012.0"/>
        <n v="1752335.0"/>
        <n v="17323.68"/>
        <n v="133037.0"/>
        <n v="4179732.0"/>
        <n v="2695788.0"/>
        <n v="57685.12"/>
        <n v="3385612.0"/>
        <n v="3937.48"/>
        <n v="770795.7"/>
        <n v="45492.08"/>
        <n v="24319.35"/>
        <n v="286568.2"/>
        <n v="3286.86"/>
        <n v="2909204.0"/>
        <n v="2028970.0"/>
        <n v="648789.4"/>
        <n v="2152861.0"/>
        <n v="559049.6"/>
        <n v="1364049.0"/>
        <n v="2482149.0"/>
        <n v="3713771.0"/>
        <n v="2000.46"/>
        <n v="4733424.0"/>
        <n v="498308.2"/>
        <n v="25444.84"/>
        <n v="433892.6"/>
        <n v="46979.43"/>
        <n v="1361883.0"/>
        <n v="1472983.0"/>
        <n v="774414.1"/>
        <n v="815733.0"/>
        <n v="337013.9"/>
        <n v="214722.6"/>
        <n v="1072259.0"/>
        <n v="1377389.0"/>
        <n v="295249.9"/>
        <n v="6380.24"/>
        <n v="241604.0"/>
        <n v="710727.7"/>
        <n v="1553351.0"/>
        <n v="628053.5"/>
        <n v="136919.5"/>
        <n v="654375.1"/>
        <n v="23761.92"/>
        <n v="463470.2"/>
        <n v="1072543.0"/>
        <n v="92445.32"/>
        <n v="872185.4"/>
        <n v="1732975.0"/>
        <n v="4664074.0"/>
        <n v="520665.7"/>
        <n v="781240.8"/>
        <n v="228493.4"/>
        <n v="3253764.0"/>
        <n v="4698.68"/>
        <n v="35795.54"/>
        <n v="618124.2"/>
        <n v="624767.0"/>
        <n v="317168.8"/>
        <n v="703809.1"/>
        <n v="311911.7"/>
        <n v="892957.0"/>
        <n v="553461.9"/>
        <n v="29411.73"/>
        <n v="399863.5"/>
        <n v="910089.6"/>
        <n v="140130.3"/>
        <n v="3321947.0"/>
        <n v="42936.32"/>
        <n v="1127089.0"/>
        <n v="1582025.0"/>
        <n v="3633042.0"/>
        <n v="1702445.0"/>
        <n v="494204.6"/>
        <n v="67995.92"/>
        <n v="788501.6"/>
        <n v="143595.4"/>
        <n v="42807.12"/>
        <n v="1025247.0"/>
        <n v="72830.89"/>
        <n v="32558.6"/>
        <n v="312883.2"/>
        <n v="470377.4"/>
        <n v="68639.48"/>
        <n v="658829.9"/>
        <n v="88090.09"/>
        <n v="1053170.0"/>
        <n v="212993.0"/>
        <n v="5064814.0"/>
        <n v="424055.3"/>
        <n v="45714.02"/>
        <n v="2092684.0"/>
        <n v="284936.8"/>
        <n v="3460536.0"/>
        <n v="24787.44"/>
        <n v="2362333.0"/>
        <n v="1450989.0"/>
        <n v="1842783.0"/>
        <n v="387945.4"/>
        <n v="595621.5"/>
        <n v="56529.48"/>
        <n v="78744.0"/>
        <n v="4130879.0"/>
        <n v="145760.8"/>
        <n v="1726128.0"/>
        <n v="77127.87"/>
        <n v="156693.2"/>
        <n v="121946.4"/>
        <n v="1697721.0"/>
        <n v="213033.0"/>
        <n v="861983.9"/>
        <n v="1868853.0"/>
        <n v="319982.7"/>
        <n v="2425269.0"/>
        <n v="325115.8"/>
        <n v="46350.16"/>
        <n v="86564.17"/>
        <n v="1032085.0"/>
        <n v="2900015.0"/>
        <n v="348973.9"/>
        <n v="172616.8"/>
        <n v="230594.6"/>
        <n v="983780.8"/>
        <n v="496546.4"/>
        <n v="3731862.0"/>
        <n v="1063013.0"/>
        <n v="679156.8"/>
        <n v="2697635.0"/>
        <n v="41035.6"/>
        <n v="170419.2"/>
        <n v="484471.7"/>
        <n v="875927.2"/>
        <n v="2647285.0"/>
        <n v="2095144.0"/>
        <n v="303063.0"/>
        <n v="2284914.0"/>
        <n v="655381.4"/>
        <n v="2599077.0"/>
        <n v="97950.72"/>
        <n v="540470.6"/>
        <n v="876656.1"/>
        <n v="3861517.0"/>
        <n v="364914.8"/>
        <n v="533094.2"/>
        <n v="119936.7"/>
        <n v="524650.9"/>
        <n v="783868.1"/>
        <n v="3127187.0"/>
        <n v="224818.9"/>
        <n v="453195.1"/>
        <n v="1733260.0"/>
        <n v="4332495.0"/>
        <n v="1161212.0"/>
        <n v="46346.08"/>
        <n v="27853.0"/>
        <n v="1222592.0"/>
        <n v="327129.8"/>
        <n v="38446.18"/>
        <n v="229184.3"/>
        <n v="539498.4"/>
        <n v="185525.8"/>
        <n v="7383.04"/>
        <n v="232508.0"/>
        <n v="2400780.0"/>
        <n v="48993.6"/>
        <n v="903752.0"/>
        <n v="299669.5"/>
        <n v="467147.4"/>
        <n v="1519234.0"/>
        <n v="486370.5"/>
        <n v="95751.48"/>
        <n v="1698361.0"/>
        <n v="125189.1"/>
        <n v="732164.2"/>
        <n v="748631.5"/>
        <n v="52585.08"/>
        <n v="768996.5"/>
        <n v="143225.5"/>
        <n v="2656037.0"/>
        <n v="2843853.0"/>
        <n v="798989.1"/>
        <n v="4850630.0"/>
        <n v="854646.2"/>
        <n v="564603.2"/>
        <n v="347468.8"/>
        <n v="47609.6"/>
        <n v="1188954.0"/>
        <n v="4726389.0"/>
        <n v="904674.8"/>
        <n v="338795.5"/>
        <n v="59913.36"/>
        <n v="229246.0"/>
        <n v="336244.2"/>
        <n v="362361.7"/>
        <n v="275322.9"/>
        <n v="133785.1"/>
        <n v="2415341.0"/>
        <n v="59286.36"/>
        <n v="352773.1"/>
        <n v="31306.08"/>
        <n v="396873.1"/>
        <n v="1578736.0"/>
        <n v="165934.0"/>
        <n v="3117256.0"/>
        <n v="1224748.0"/>
        <n v="1405392.0"/>
        <n v="565407.1"/>
        <n v="453454.3"/>
        <n v="865134.1"/>
        <n v="361724.0"/>
        <n v="263094.0"/>
        <n v="203233.5"/>
        <n v="44033.36"/>
        <n v="585517.0"/>
        <n v="715659.2"/>
        <n v="502842.9"/>
        <n v="719875.2"/>
        <n v="182310.2"/>
        <n v="355266.2"/>
        <n v="2333447.0"/>
        <n v="135870.5"/>
        <n v="1360626.0"/>
        <n v="3251077.0"/>
        <n v="478918.2"/>
        <n v="3910.23"/>
        <n v="141703.1"/>
        <n v="1061602.0"/>
        <n v="90887.61"/>
        <n v="4643796.0"/>
        <n v="168868.5"/>
        <n v="240777.5"/>
        <n v="1498574.0"/>
        <n v="335203.1"/>
        <n v="1399574.0"/>
        <n v="48668.36"/>
        <n v="484132.7"/>
        <n v="599319.6"/>
        <n v="19057.68"/>
        <n v="147761.3"/>
        <n v="196652.9"/>
        <n v="62944.32"/>
        <n v="5855.5"/>
        <n v="386955.8"/>
        <n v="5774.56"/>
        <n v="3121382.0"/>
        <n v="1114676.0"/>
        <n v="625598.4"/>
        <n v="23389.6"/>
        <n v="1328716.0"/>
        <n v="224284.4"/>
        <n v="1920822.0"/>
        <n v="584962.8"/>
        <n v="211816.8"/>
        <n v="2367570.0"/>
        <n v="653575.2"/>
        <n v="5248025.0"/>
        <n v="2161882.0"/>
        <n v="323895.9"/>
        <n v="11457.18"/>
        <n v="1019350.0"/>
        <n v="2890610.0"/>
        <n v="593019.8"/>
        <n v="656696.5"/>
        <n v="1000002.0"/>
        <n v="727677.9"/>
        <n v="157445.1"/>
        <n v="764514.2"/>
        <n v="846740.2"/>
        <n v="4185656.0"/>
        <n v="171214.8"/>
        <n v="712286.4"/>
        <n v="176133.4"/>
        <n v="166135.2"/>
        <n v="305071.6"/>
        <n v="214584.6"/>
        <n v="2513079.0"/>
        <n v="499781.7"/>
        <n v="2015185.0"/>
        <n v="367082.0"/>
        <n v="329656.3"/>
        <n v="1333708.0"/>
        <n v="59447.3"/>
        <n v="308871.6"/>
        <n v="125252.6"/>
        <n v="24967.36"/>
        <n v="556556.1"/>
        <n v="112709.9"/>
        <n v="44481.76"/>
        <n v="665578.5"/>
        <n v="505999.1"/>
        <n v="943024.3"/>
        <n v="192444.0"/>
        <n v="304884.6"/>
        <n v="658606.0"/>
        <n v="1020522.0"/>
        <n v="187338.5"/>
        <n v="296756.7"/>
        <n v="715209.6"/>
        <n v="741274.0"/>
        <n v="340650.2"/>
        <n v="92568.0"/>
        <n v="4410291.0"/>
        <n v="2002361.0"/>
        <n v="47741.3"/>
        <n v="188864.4"/>
        <n v="804077.3"/>
        <n v="816627.5"/>
        <n v="35983.36"/>
        <n v="6008.31"/>
        <n v="403948.2"/>
        <n v="1816187.0"/>
        <n v="241074.2"/>
        <n v="1008200.0"/>
        <n v="48426.16"/>
        <n v="339870.7"/>
        <n v="489285.6"/>
        <n v="1153337.0"/>
        <n v="18739.36"/>
        <n v="283207.7"/>
        <n v="319477.7"/>
        <n v="1650289.0"/>
        <n v="27527.76"/>
        <n v="1436202.0"/>
        <n v="172560.2"/>
        <n v="347387.1"/>
        <n v="2231538.0"/>
        <n v="10075.52"/>
        <n v="254392.3"/>
        <n v="404183.9"/>
        <n v="110934.6"/>
        <n v="215900.2"/>
        <n v="715158.1"/>
        <n v="415679.0"/>
        <n v="21516.71"/>
        <n v="307722.2"/>
        <n v="1891956.0"/>
        <n v="81655.14"/>
        <n v="384706.4"/>
        <n v="38848.88"/>
        <n v="5126759.0"/>
        <n v="306773.5"/>
        <n v="42973.2"/>
        <n v="882549.8"/>
        <n v="970022.1"/>
        <n v="185558.2"/>
        <n v="28704.16"/>
        <n v="420551.0"/>
        <n v="2245851.0"/>
        <n v="1739571.0"/>
        <n v="16684.12"/>
        <n v="45768.88"/>
        <n v="1908755.0"/>
        <n v="56013.98"/>
        <n v="2301194.0"/>
        <n v="1218691.0"/>
        <n v="400064.9"/>
        <n v="1116065.0"/>
        <n v="305462.8"/>
        <n v="131532.8"/>
        <n v="569582.8"/>
        <n v="137487.1"/>
        <n v="128697.6"/>
        <n v="2383926.0"/>
        <n v="121727.2"/>
        <n v="29195.48"/>
        <n v="157614.8"/>
        <n v="3059464.0"/>
        <n v="1014549.0"/>
        <n v="1730868.0"/>
        <n v="412003.8"/>
        <n v="46196.48"/>
        <n v="112790.9"/>
        <n v="738261.4"/>
        <n v="228157.4"/>
        <n v="277812.8"/>
        <n v="44530.08"/>
        <n v="2934526.0"/>
        <n v="22898.4"/>
        <n v="3780106.0"/>
        <n v="306008.4"/>
        <n v="2808113.0"/>
        <n v="682664.6"/>
        <n v="938103.5"/>
        <n v="169377.1"/>
        <n v="450356.5"/>
        <n v="233400.2"/>
        <n v="1802494.0"/>
        <n v="221863.1"/>
        <n v="52262.76"/>
        <n v="255290.3"/>
        <n v="728258.4"/>
        <n v="970634.4"/>
        <n v="2062424.0"/>
        <n v="766170.7"/>
        <n v="94376.64"/>
        <n v="1586707.0"/>
        <n v="74716.18"/>
        <n v="297872.3"/>
        <n v="5199729.0"/>
        <n v="730077.0"/>
        <n v="596409.9"/>
        <n v="54681.06"/>
        <n v="122969.3"/>
        <n v="22330.84"/>
        <n v="257331.2"/>
        <n v="554127.4"/>
        <n v="3637783.0"/>
        <n v="100597.5"/>
        <n v="4101512.0"/>
        <n v="509806.9"/>
        <n v="494884.3"/>
        <n v="994462.0"/>
        <n v="213702.6"/>
        <n v="113971.2"/>
        <n v="189334.3"/>
        <n v="32351.0"/>
        <n v="133476.5"/>
        <n v="35561.88"/>
        <n v="1696073.0"/>
        <n v="236738.7"/>
        <n v="1528159.0"/>
        <n v="304597.4"/>
        <n v="421642.4"/>
        <n v="112093.3"/>
        <n v="380652.4"/>
        <n v="239117.8"/>
        <n v="2585111.0"/>
        <n v="171917.5"/>
        <n v="831363.9"/>
        <n v="4427513.0"/>
        <n v="239600.8"/>
        <n v="188769.3"/>
        <n v="2466875.0"/>
        <n v="621667.2"/>
        <n v="114078.7"/>
        <n v="276159.7"/>
        <n v="2326784.0"/>
        <n v="422118.0"/>
        <n v="194197.9"/>
        <n v="399070.1"/>
        <n v="215140.6"/>
        <n v="917592.5"/>
        <n v="699380.9"/>
        <n v="1485971.0"/>
        <n v="227201.9"/>
        <n v="163209.9"/>
        <n v="15482.88"/>
        <n v="955301.8"/>
        <n v="24669.8"/>
        <n v="2043328.0"/>
        <n v="109362.1"/>
        <n v="177694.7"/>
        <n v="138759.2"/>
        <n v="239490.0"/>
        <n v="41879.84"/>
        <n v="775.04"/>
        <n v="744170.6"/>
        <n v="67975.16"/>
        <n v="423084.5"/>
        <n v="22690.68"/>
        <n v="528844.4"/>
        <n v="3021821.0"/>
        <n v="288227.5"/>
        <n v="260614.4"/>
        <n v="2145836.0"/>
        <n v="967481.8"/>
        <n v="115844.8"/>
        <n v="263151.4"/>
        <n v="764100.1"/>
        <n v="4727790.0"/>
        <n v="164971.5"/>
        <n v="96051.2"/>
        <n v="499260.6"/>
        <n v="417108.2"/>
        <n v="2174052.0"/>
        <n v="1506635.0"/>
        <n v="244106.9"/>
        <n v="25553.92"/>
        <n v="270448.6"/>
        <n v="4606524.0"/>
        <n v="1027992.0"/>
        <n v="386641.9"/>
        <n v="247516.9"/>
        <n v="1502824.0"/>
        <n v="118096.9"/>
        <n v="40869.52"/>
        <n v="2155394.0"/>
        <n v="321843.2"/>
        <n v="97405.62"/>
        <n v="215716.6"/>
        <n v="1242055.0"/>
        <n v="355172.6"/>
        <n v="2738716.0"/>
        <n v="401563.6"/>
        <n v="50723.6"/>
        <n v="527121.2"/>
        <n v="1493287.0"/>
        <n v="1108288.0"/>
        <n v="2359170.0"/>
        <n v="357181.4"/>
        <n v="1334824.0"/>
        <n v="382635.8"/>
        <n v="1073899.0"/>
        <n v="274999.5"/>
        <n v="270484.5"/>
        <n v="655712.6"/>
        <n v="377988.9"/>
        <n v="1681889.0"/>
        <n v="200318.8"/>
        <n v="235373.2"/>
        <n v="270289.9"/>
        <n v="3378488.0"/>
        <n v="1219722.0"/>
        <n v="61456.52"/>
        <n v="136026.2"/>
        <n v="39229.48"/>
        <n v="1078115.0"/>
        <n v="562716.7"/>
        <n v="1473997.0"/>
        <n v="51853.05"/>
        <n v="123483.9"/>
        <n v="111753.4"/>
        <n v="41968.64"/>
        <n v="11217.92"/>
        <n v="59892.36"/>
        <n v="52993.93"/>
        <n v="1302951.0"/>
        <n v="1462997.0"/>
        <n v="25126.52"/>
        <n v="3557916.0"/>
        <n v="58778.48"/>
        <n v="1028061.0"/>
        <n v="98022.4"/>
        <n v="44478.18"/>
        <n v="31264.56"/>
        <n v="2388720.0"/>
        <n v="161530.9"/>
        <n v="484415.2"/>
        <n v="186480.1"/>
        <n v="39340.2"/>
        <n v="387361.8"/>
        <n v="5184505.0"/>
        <n v="54335.84"/>
        <n v="539330.4"/>
        <n v="261847.0"/>
        <n v="933085.4"/>
        <n v="327949.3"/>
        <n v="710089.0"/>
        <n v="61996.28"/>
        <n v="346645.6"/>
        <n v="794708.7"/>
        <n v="309335.0"/>
        <n v="722013.2"/>
        <n v="1406446.0"/>
        <n v="24065.03"/>
        <n v="912454.4"/>
        <n v="848467.8"/>
        <n v="115040.1"/>
        <n v="3069231.0"/>
        <n v="1329403.0"/>
        <n v="788908.7"/>
        <n v="758447.1"/>
        <n v="319213.4"/>
        <n v="82341.51"/>
        <n v="716346.5"/>
        <n v="4817851.0"/>
        <n v="4477.24"/>
        <n v="650786.0"/>
        <n v="819458.4"/>
        <n v="34301.41"/>
        <n v="185749.0"/>
        <n v="43352.55"/>
        <n v="831246.8"/>
        <n v="56252.68"/>
        <n v="1099666.0"/>
        <n v="2766903.0"/>
        <n v="53574.64"/>
        <n v="589706.9"/>
        <n v="112308.5"/>
        <n v="267152.3"/>
        <n v="2499528.0"/>
        <n v="5054.61"/>
        <n v="47843.95"/>
        <n v="14732.68"/>
        <n v="53014.12"/>
        <n v="206510.1"/>
        <n v="35763.75"/>
        <n v="172133.7"/>
        <n v="2757056.0"/>
        <n v="35513.44"/>
        <n v="298341.3"/>
        <n v="31160.76"/>
        <n v="1421592.0"/>
        <n v="61158.96"/>
        <n v="186543.7"/>
        <n v="136263.7"/>
        <n v="167587.8"/>
        <n v="1204896.0"/>
        <n v="1292826.0"/>
        <n v="90057.59"/>
        <n v="532131.3"/>
        <n v="643201.4"/>
        <n v="11245.0"/>
        <n v="360823.7"/>
        <n v="196772.5"/>
        <n v="124918.1"/>
        <n v="1976984.0"/>
        <n v="973067.0"/>
        <n v="628599.1"/>
        <n v="22186.92"/>
        <n v="128651.9"/>
        <n v="367608.3"/>
        <n v="499036.0"/>
        <n v="224303.9"/>
        <n v="10885.16"/>
        <n v="111299.9"/>
        <n v="1142273.0"/>
        <n v="411586.6"/>
        <n v="2396013.0"/>
        <n v="3548.16"/>
        <n v="83544.12"/>
        <n v="127319.0"/>
        <n v="35318.69"/>
        <n v="278288.6"/>
        <n v="2720868.0"/>
        <n v="2211845.0"/>
        <n v="16117.53"/>
        <n v="884143.3"/>
        <n v="297460.8"/>
        <n v="181679.9"/>
        <n v="26257.68"/>
        <n v="197438.3"/>
        <n v="2968941.0"/>
        <n v="57207.64"/>
        <n v="815911.6"/>
        <n v="995029.2"/>
        <n v="833737.2"/>
        <n v="4540449.0"/>
        <n v="54289.86"/>
        <n v="359741.2"/>
        <n v="1330389.0"/>
        <n v="188767.8"/>
        <n v="1058695.0"/>
        <n v="692911.0"/>
        <n v="1098085.0"/>
        <n v="757350.4"/>
        <n v="999085.1"/>
        <n v="29084.76"/>
        <n v="1971750.0"/>
        <n v="44025.04"/>
        <n v="54017.52"/>
        <n v="82382.58"/>
        <n v="49791.84"/>
        <n v="4462160.0"/>
        <n v="3203802.0"/>
        <n v="841704.5"/>
        <n v="745061.7"/>
        <n v="778935.4"/>
        <n v="124560.7"/>
        <n v="118322.4"/>
        <n v="207695.6"/>
        <n v="78898.78"/>
        <n v="327203.5"/>
        <n v="14655.19"/>
        <n v="252000.8"/>
        <n v="3977622.0"/>
        <n v="3938909.0"/>
        <n v="58342.52"/>
        <n v="1362847.0"/>
        <n v="60903.23"/>
        <n v="611053.4"/>
        <n v="579326.0"/>
        <n v="183746.2"/>
        <n v="44578.64"/>
        <n v="39803.84"/>
        <n v="2665519.0"/>
        <n v="98719.14"/>
        <n v="200609.4"/>
        <n v="391873.1"/>
        <n v="824735.1"/>
        <n v="675649.0"/>
        <n v="151423.2"/>
        <n v="3634136.0"/>
        <n v="445897.7"/>
        <n v="239052.8"/>
        <n v="180521.6"/>
        <n v="1487.8"/>
        <n v="1910657.0"/>
        <n v="354867.5"/>
        <n v="1688879.0"/>
        <n v="348636.5"/>
        <n v="3717288.0"/>
        <n v="513595.9"/>
        <n v="4731989.0"/>
        <n v="938244.8"/>
        <n v="1418041.0"/>
        <n v="733577.0"/>
        <n v="814278.2"/>
        <n v="261166.1"/>
        <n v="422532.9"/>
        <n v="1921782.0"/>
        <n v="553552.6"/>
        <n v="1107978.0"/>
        <n v="802203.5"/>
        <n v="1105401.0"/>
        <n v="615232.4"/>
        <n v="490749.2"/>
        <n v="460359.4"/>
        <n v="1275041.0"/>
        <n v="512534.4"/>
        <n v="14586.88"/>
        <n v="60173.85"/>
        <n v="2182479.0"/>
        <n v="3889.04"/>
        <n v="3575785.0"/>
        <n v="315456.9"/>
        <n v="547807.7"/>
        <n v="286254.1"/>
        <n v="9286.64"/>
        <n v="1398546.0"/>
        <n v="101964.8"/>
        <n v="480173.0"/>
        <n v="219668.9"/>
        <n v="973357.6"/>
        <n v="3120.92"/>
        <n v="51533.24"/>
        <n v="280724.6"/>
        <n v="95624.32"/>
        <n v="3073032.0"/>
        <n v="3778096.0"/>
        <n v="31603.64"/>
        <n v="824668.1"/>
        <n v="821172.4"/>
        <n v="483905.1"/>
        <n v="50384.52"/>
        <n v="618390.2"/>
        <n v="1442792.0"/>
        <n v="1533371.0"/>
        <n v="741891.9"/>
        <n v="1326130.0"/>
        <n v="446957.3"/>
        <n v="2352390.0"/>
        <n v="1122636.0"/>
        <n v="38463.39"/>
        <n v="2820757.0"/>
        <n v="38827.11"/>
        <n v="32620.88"/>
        <n v="2691102.0"/>
        <n v="114571.8"/>
        <n v="57934.24"/>
        <n v="546201.0"/>
        <n v="1875236.0"/>
        <n v="47339.72"/>
        <n v="137231.4"/>
        <n v="124957.4"/>
        <n v="812563.7"/>
        <n v="4025918.0"/>
        <n v="247219.2"/>
        <n v="422144.2"/>
        <n v="280328.6"/>
        <n v="2384716.0"/>
        <n v="775632.9"/>
        <n v="656317.2"/>
        <n v="215027.6"/>
        <n v="226293.8"/>
        <n v="267004.2"/>
        <n v="1755372.0"/>
        <n v="326144.0"/>
        <n v="432554.0"/>
        <n v="685003.2"/>
        <n v="411003.6"/>
        <n v="751543.8"/>
        <n v="1135499.0"/>
        <n v="945070.6"/>
        <n v="23112.8"/>
        <n v="585952.9"/>
        <n v="58143.91"/>
        <n v="394999.9"/>
        <n v="533668.2"/>
        <n v="4526205.0"/>
        <n v="991964.1"/>
        <n v="2891615.0"/>
        <n v="1055042.0"/>
        <n v="493477.1"/>
        <n v="1721869.0"/>
        <n v="4360843.0"/>
        <n v="21235.72"/>
        <n v="270842.9"/>
        <n v="4302572.0"/>
        <n v="910881.6"/>
        <n v="31570.56"/>
        <n v="2009022.0"/>
        <n v="425492.0"/>
        <n v="317557.0"/>
        <n v="1441157.0"/>
        <n v="2879931.0"/>
        <n v="463924.9"/>
        <n v="16774.08"/>
        <n v="62411.48"/>
        <n v="269769.9"/>
        <n v="46222.66"/>
        <n v="21002.24"/>
        <n v="888447.7"/>
        <n v="258707.0"/>
        <n v="1121998.0"/>
        <n v="277973.0"/>
        <n v="27769.96"/>
        <n v="349655.0"/>
        <n v="698060.2"/>
        <n v="2703019.0"/>
        <n v="5067964.0"/>
        <n v="490252.2"/>
        <n v="3591653.0"/>
        <n v="254831.4"/>
        <n v="3922827.0"/>
        <n v="68847.98"/>
        <n v="130171.0"/>
        <n v="4748500.0"/>
        <n v="996440.7"/>
        <n v="2508482.0"/>
        <n v="252062.9"/>
        <n v="15784.52"/>
        <n v="763130.3"/>
        <n v="1118165.0"/>
        <n v="297395.5"/>
        <n v="700903.4"/>
        <n v="45114.72"/>
        <n v="1189254.0"/>
        <n v="947790.4"/>
        <n v="2141824.0"/>
        <n v="652430.4"/>
        <n v="295070.7"/>
        <n v="304880.8"/>
        <n v="3646933.0"/>
        <n v="199136.7"/>
        <n v="214412.9"/>
        <n v="85911.72"/>
        <n v="2739346.0"/>
        <n v="2545172.0"/>
        <n v="498187.0"/>
        <n v="1082214.0"/>
        <n v="183301.1"/>
        <n v="10151.64"/>
        <n v="64473.64"/>
        <n v="4893152.0"/>
        <n v="1281885.0"/>
        <n v="94224.48"/>
        <n v="730740.8"/>
        <n v="400600.2"/>
        <n v="2015688.0"/>
        <n v="415768.3"/>
        <n v="45921.12"/>
        <n v="1289518.0"/>
        <n v="43277.68"/>
        <n v="222673.9"/>
        <n v="386602.7"/>
        <n v="160993.3"/>
        <n v="151082.2"/>
        <n v="216712.4"/>
        <n v="920905.4"/>
        <n v="597612.3"/>
        <n v="302617.8"/>
        <n v="119594.0"/>
        <n v="97245.12"/>
        <n v="946142.4"/>
        <n v="5033841.0"/>
        <n v="376231.2"/>
        <n v="215440.8"/>
        <n v="25091.92"/>
        <n v="264400.3"/>
        <n v="4159258.0"/>
        <n v="552466.3"/>
        <n v="1087497.0"/>
        <n v="395703.8"/>
        <n v="524029.6"/>
        <n v="72354.04"/>
        <n v="167477.9"/>
        <n v="175938.6"/>
        <n v="37957.26"/>
        <n v="238418.5"/>
        <n v="694114.7"/>
        <n v="4504682.0"/>
        <n v="539951.8"/>
        <n v="478861.5"/>
        <n v="4531455.0"/>
        <n v="102962.0"/>
        <n v="552672.5"/>
        <n v="808259.4"/>
        <n v="4412804.0"/>
        <n v="900882.4"/>
        <n v="2244667.0"/>
        <n v="279444.5"/>
        <n v="3624.06"/>
        <n v="5077938.0"/>
        <n v="461197.0"/>
        <n v="309593.6"/>
        <n v="722347.9"/>
        <n v="4078414.0"/>
        <n v="1297998.0"/>
        <n v="449245.6"/>
        <n v="1996568.0"/>
        <n v="36350.76"/>
        <n v="340722.1"/>
        <n v="671977.2"/>
        <n v="155653.1"/>
        <n v="1958122.0"/>
        <n v="452850.0"/>
        <n v="41609.96"/>
        <n v="931398.2"/>
        <n v="3512694.0"/>
        <n v="631808.5"/>
        <n v="284743.0"/>
        <n v="240214.1"/>
        <n v="49491.84"/>
        <n v="2159833.0"/>
        <n v="2602227.0"/>
        <n v="174686.5"/>
        <n v="517406.4"/>
        <n v="11923.16"/>
        <n v="28372.0"/>
        <n v="281341.5"/>
        <n v="856287.8"/>
        <n v="464250.4"/>
        <n v="2525114.0"/>
        <n v="144434.5"/>
        <n v="762984.1"/>
        <n v="253308.9"/>
        <n v="584593.1"/>
        <n v="229418.5"/>
        <n v="788150.3"/>
        <n v="67165.52"/>
        <n v="1536968.0"/>
        <n v="3842707.0"/>
        <n v="54761.28"/>
        <n v="63760.88"/>
        <n v="79401.32"/>
        <n v="269704.3"/>
        <n v="836261.3"/>
        <n v="1579980.0"/>
        <n v="278753.8"/>
        <n v="1165411.0"/>
        <n v="818781.1"/>
        <n v="2822710.0"/>
        <n v="42018.24"/>
        <n v="135101.3"/>
        <n v="206762.2"/>
        <n v="311044.2"/>
        <n v="764025.6"/>
        <n v="789946.1"/>
        <n v="6982.28"/>
        <n v="1149138.0"/>
        <n v="355627.2"/>
        <n v="2467837.0"/>
        <n v="77880.32"/>
        <n v="1089317.0"/>
        <n v="3926701.0"/>
        <n v="357497.8"/>
        <n v="589766.0"/>
        <n v="221240.3"/>
        <n v="462144.2"/>
        <n v="3252941.0"/>
        <n v="687049.4"/>
        <n v="3640902.0"/>
        <n v="90251.81"/>
        <n v="1751671.0"/>
        <n v="413632.5"/>
        <n v="1411185.0"/>
        <n v="216652.8"/>
        <n v="593863.8"/>
        <n v="1146624.0"/>
        <n v="530121.9"/>
        <n v="1065723.0"/>
        <n v="129302.5"/>
        <n v="133505.4"/>
        <n v="2083566.0"/>
        <n v="6918.24"/>
        <n v="603502.4"/>
        <n v="262969.6"/>
        <n v="288450.3"/>
        <n v="552870.0"/>
        <n v="424458.3"/>
        <n v="57231.78"/>
        <n v="1185775.0"/>
        <n v="1667932.0"/>
        <n v="64307.56"/>
        <n v="805094.2"/>
        <n v="2589851.0"/>
        <n v="3697187.0"/>
        <n v="1936577.0"/>
        <n v="65470.12"/>
        <n v="415504.4"/>
        <n v="1115462.0"/>
        <n v="89452.12"/>
        <n v="38959.6"/>
        <n v="2080013.0"/>
        <n v="1849959.0"/>
        <n v="704496.3"/>
        <n v="199557.1"/>
        <n v="592492.5"/>
        <n v="851377.6"/>
        <n v="223797.2"/>
        <n v="220304.7"/>
        <n v="4455860.0"/>
        <n v="314323.2"/>
        <n v="240691.7"/>
        <n v="1857833.0"/>
        <n v="427971.8"/>
        <n v="868093.0"/>
        <n v="502379.6"/>
        <n v="371146.7"/>
        <n v="2388070.0"/>
        <n v="326326.6"/>
        <n v="572654.9"/>
        <n v="340714.7"/>
        <n v="171729.6"/>
        <n v="346542.3"/>
        <n v="3280022.0"/>
        <n v="2099003.0"/>
        <n v="2419730.0"/>
        <n v="951401.6"/>
        <n v="1773966.0"/>
        <n v="60141.72"/>
        <n v="972247.2"/>
        <n v="885242.4"/>
        <n v="271789.3"/>
        <n v="43760.64"/>
        <n v="106933.7"/>
        <n v="4779658.0"/>
        <n v="2956177.0"/>
        <n v="139014.2"/>
        <n v="4397225.0"/>
        <n v="459527.0"/>
        <n v="497109.2"/>
        <n v="346294.3"/>
        <n v="576223.4"/>
        <n v="5249.6"/>
        <n v="246750.8"/>
        <n v="19299.88"/>
        <n v="524027.5"/>
        <n v="355295.8"/>
        <n v="23680.24"/>
        <n v="2853925.0"/>
        <n v="1019673.0"/>
        <n v="67394.8"/>
        <n v="730258.8"/>
        <n v="248801.3"/>
        <n v="1203733.0"/>
        <n v="66155.2"/>
        <n v="654100.2"/>
        <n v="688534.7"/>
        <n v="1113763.0"/>
        <n v="1329722.0"/>
        <n v="300339.2"/>
        <n v="40350.52"/>
        <n v="61854.96"/>
        <n v="343169.8"/>
        <n v="2384050.0"/>
        <n v="1075176.0"/>
        <n v="1125427.0"/>
        <n v="615778.1"/>
        <n v="513936.4"/>
        <n v="713698.3"/>
        <n v="706407.5"/>
        <n v="331519.5"/>
        <n v="203932.9"/>
        <n v="1737748.0"/>
        <n v="581568.3"/>
        <n v="496912.1"/>
        <n v="1179461.0"/>
        <n v="710981.7"/>
        <n v="905031.0"/>
        <n v="807485.3"/>
        <n v="853671.8"/>
        <n v="44516.36"/>
        <n v="426594.6"/>
        <n v="606685.0"/>
        <n v="54799.89"/>
        <n v="3106713.0"/>
        <n v="5008314.0"/>
        <n v="128486.4"/>
        <n v="501230.8"/>
        <n v="185853.6"/>
        <n v="242769.0"/>
        <n v="30018.96"/>
        <n v="143754.2"/>
        <n v="3192132.0"/>
        <n v="116695.0"/>
        <n v="497014.8"/>
        <n v="310154.9"/>
        <n v="265718.9"/>
        <n v="4434916.0"/>
        <n v="3142169.0"/>
        <n v="634172.8"/>
        <n v="4632247.0"/>
        <n v="28337.4"/>
        <n v="1389523.0"/>
        <n v="771592.8"/>
        <n v="16289.68"/>
        <n v="247987.9"/>
        <n v="195367.2"/>
        <n v="537086.0"/>
        <n v="794389.9"/>
        <n v="11397.24"/>
        <n v="571496.8"/>
        <n v="347465.4"/>
        <n v="616114.0"/>
        <n v="1116737.0"/>
        <n v="265442.3"/>
        <n v="354348.0"/>
        <n v="301737.0"/>
        <n v="1780139.0"/>
        <n v="4068061.0"/>
        <n v="1126621.0"/>
        <n v="683793.8"/>
        <n v="219233.3"/>
        <n v="154263.9"/>
        <n v="873055.1"/>
        <n v="47782.6"/>
        <n v="130611.7"/>
        <n v="634964.2"/>
        <n v="696988.3"/>
        <n v="1406403.0"/>
        <n v="179289.6"/>
        <n v="1620027.0"/>
        <n v="536823.7"/>
        <n v="773926.9"/>
        <n v="639654.8"/>
        <n v="128590.6"/>
        <n v="520574.3"/>
        <n v="145216.7"/>
        <n v="1063969.0"/>
        <n v="1362206.0"/>
        <n v="1905141.0"/>
        <n v="4736189.0"/>
        <n v="25082.31"/>
        <n v="12324.52"/>
        <n v="1391172.0"/>
        <n v="51277.27"/>
        <n v="497390.4"/>
        <n v="4820708.0"/>
        <n v="43473.92"/>
        <n v="433752.2"/>
        <n v="3274187.0"/>
        <n v="85546.89"/>
        <n v="57629.76"/>
        <n v="88058.88"/>
        <n v="208375.6"/>
        <n v="1214302.0"/>
        <n v="309115.4"/>
        <n v="486861.2"/>
        <n v="921936.3"/>
        <n v="903658.6"/>
        <n v="1937845.0"/>
        <n v="2527968.0"/>
        <n v="308163.1"/>
        <n v="1495057.0"/>
        <n v="1578417.0"/>
        <n v="81509.56"/>
        <n v="141209.6"/>
        <n v="2026241.0"/>
        <n v="2450385.0"/>
        <n v="883346.2"/>
        <n v="2598416.0"/>
        <n v="908422.3"/>
        <n v="2771279.0"/>
        <n v="217782.8"/>
        <n v="181616.3"/>
        <n v="2491892.0"/>
        <n v="1698585.0"/>
        <n v="88439.78"/>
        <n v="456104.9"/>
        <n v="684975.7"/>
        <n v="53076.4"/>
        <n v="33811.68"/>
        <n v="944843.5"/>
        <n v="192460.8"/>
        <n v="136944.6"/>
        <n v="3526826.0"/>
        <n v="508480.6"/>
        <n v="580379.3"/>
        <n v="3289627.0"/>
        <n v="90058.86"/>
        <n v="618035.5"/>
        <n v="119956.5"/>
        <n v="305199.5"/>
        <n v="2956575.0"/>
        <n v="1831758.0"/>
        <n v="147338.2"/>
        <n v="1083494.0"/>
        <n v="293852.2"/>
        <n v="1263984.0"/>
        <n v="891932.4"/>
        <n v="231939.8"/>
        <n v="109425.1"/>
        <n v="560669.8"/>
        <n v="535248.2"/>
        <n v="44405.64"/>
        <n v="772309.4"/>
        <n v="660060.9"/>
        <n v="460988.6"/>
        <n v="85610.47"/>
        <n v="190732.9"/>
        <n v="2536921.0"/>
        <n v="303457.3"/>
        <n v="3935625.0"/>
        <n v="673868.3"/>
        <n v="2988270.0"/>
        <n v="338093.2"/>
        <n v="719055.4"/>
        <n v="1585672.0"/>
        <n v="467527.5"/>
        <n v="925947.9"/>
        <n v="461062.1"/>
        <n v="42910.92"/>
        <n v="289923.7"/>
        <n v="111233.2"/>
        <n v="3115245.0"/>
        <n v="1858825.0"/>
        <n v="147051.5"/>
        <n v="405253.0"/>
        <n v="1313461.0"/>
        <n v="2315417.0"/>
        <n v="47647.32"/>
        <n v="557122.8"/>
        <n v="488294.1"/>
        <n v="479110.2"/>
        <n v="5087387.0"/>
        <n v="3059467.0"/>
        <n v="282868.3"/>
        <n v="652059.0"/>
        <n v="3631673.0"/>
        <n v="3917252.0"/>
        <n v="220451.8"/>
        <n v="263997.4"/>
        <n v="3945599.0"/>
        <n v="7333.32"/>
        <n v="38918.04"/>
        <n v="586464.2"/>
        <n v="3416769.0"/>
        <n v="2341530.0"/>
        <n v="101727.4"/>
        <n v="2039995.0"/>
        <n v="7092.54"/>
        <n v="64445.96"/>
        <n v="301342.0"/>
        <n v="220143.9"/>
        <n v="95549.44"/>
        <n v="3475235.0"/>
        <n v="670964.8"/>
        <n v="1930209.0"/>
        <n v="1156578.0"/>
        <n v="976925.8"/>
        <n v="230136.9"/>
        <n v="491838.9"/>
        <n v="2559759.0"/>
        <n v="368662.3"/>
        <n v="1590037.0"/>
        <n v="99502.92"/>
        <n v="855651.3"/>
        <n v="476984.6"/>
        <n v="185292.8"/>
        <n v="3616780.0"/>
        <n v="84546.56"/>
        <n v="30963.46"/>
        <n v="171379.9"/>
        <n v="178805.8"/>
        <n v="114979.2"/>
        <n v="383564.5"/>
        <n v="517963.8"/>
        <n v="2340477.0"/>
        <n v="188912.7"/>
        <n v="147285.3"/>
        <n v="168473.8"/>
        <n v="1107303.0"/>
        <n v="4035368.0"/>
        <n v="246149.1"/>
        <n v="269293.1"/>
        <n v="609194.9"/>
        <n v="41499.24"/>
        <n v="50961.12"/>
        <n v="745926.2"/>
        <n v="19494.48"/>
        <n v="51251.2"/>
        <n v="282231.6"/>
        <n v="2973373.0"/>
        <n v="653159.8"/>
        <n v="1088655.0"/>
        <n v="3803860.0"/>
        <n v="612868.2"/>
        <n v="575578.1"/>
        <n v="278193.0"/>
        <n v="492412.5"/>
        <n v="102300.2"/>
        <n v="286863.4"/>
        <n v="325620.3"/>
        <n v="1387222.0"/>
        <n v="216283.5"/>
        <n v="192338.0"/>
        <n v="314087.5"/>
        <n v="540499.7"/>
        <n v="425460.6"/>
        <n v="2695059.0"/>
        <n v="48455.68"/>
        <n v="254033.9"/>
        <n v="2157989.0"/>
        <n v="2665975.0"/>
        <n v="38599.68"/>
        <n v="829621.7"/>
        <n v="337254.4"/>
        <n v="222778.5"/>
      </sharedItems>
    </cacheField>
    <cacheField name="Total Profit" numFmtId="0">
      <sharedItems containsSemiMixedTypes="0" containsString="0" containsNumber="1">
        <n v="52914.72"/>
        <n v="119488.4"/>
        <n v="74823.48"/>
        <n v="798727.4"/>
        <n v="415865.9"/>
        <n v="1202.88"/>
        <n v="606467.5"/>
        <n v="68078.88"/>
        <n v="649283.0"/>
        <n v="941057.6"/>
        <n v="467630.0"/>
        <n v="1283508.0"/>
        <n v="864815.6"/>
        <n v="1179882.0"/>
        <n v="616188.1"/>
        <n v="211239.6"/>
        <n v="497521.4"/>
        <n v="791082.5"/>
        <n v="27279.72"/>
        <n v="495787.9"/>
        <n v="26903.88"/>
        <n v="342411.9"/>
        <n v="11948.78"/>
        <n v="111687.1"/>
        <n v="186262.9"/>
        <n v="355688.9"/>
        <n v="3349.9"/>
        <n v="616731.3"/>
        <n v="566532.6"/>
        <n v="160292.0"/>
        <n v="1104075.0"/>
        <n v="274959.4"/>
        <n v="339733.4"/>
        <n v="318146.4"/>
        <n v="12411.5"/>
        <n v="799259.0"/>
        <n v="841183.1"/>
        <n v="460280.8"/>
        <n v="77786.24"/>
        <n v="442916.6"/>
        <n v="106392.0"/>
        <n v="85379.42"/>
        <n v="315858.4"/>
        <n v="4631.76"/>
        <n v="96147.58"/>
        <n v="1164530.0"/>
        <n v="1341929.0"/>
        <n v="1075919.0"/>
        <n v="118718.5"/>
        <n v="4984.72"/>
        <n v="275975.7"/>
        <n v="71710.0"/>
        <n v="871756.3"/>
        <n v="199704.7"/>
        <n v="197847.4"/>
        <n v="481429.4"/>
        <n v="314837.3"/>
        <n v="200354.7"/>
        <n v="540310.4"/>
        <n v="170284.4"/>
        <n v="446670.8"/>
        <n v="89825.76"/>
        <n v="50901.66"/>
        <n v="122093.4"/>
        <n v="742636.1"/>
        <n v="933484.7"/>
        <n v="71902.56"/>
        <n v="153624.6"/>
        <n v="581351.0"/>
        <n v="83232.9"/>
        <n v="273931.2"/>
        <n v="109595.2"/>
        <n v="37752.0"/>
        <n v="745694.9"/>
        <n v="48874.86"/>
        <n v="450207.5"/>
        <n v="19342.66"/>
        <n v="308428.8"/>
        <n v="793846.7"/>
        <n v="11932.56"/>
        <n v="510550.4"/>
        <n v="583148.8"/>
        <n v="358700.9"/>
        <n v="1118180.0"/>
        <n v="1368879.0"/>
        <n v="1672629.0"/>
        <n v="355269.2"/>
        <n v="509194.4"/>
        <n v="15315.48"/>
        <n v="43190.28"/>
        <n v="583630.9"/>
        <n v="233688.8"/>
        <n v="1256945.0"/>
        <n v="515283.3"/>
        <n v="43763.46"/>
        <n v="149985.7"/>
        <n v="1832.22"/>
        <n v="11314.95"/>
        <n v="536799.5"/>
        <n v="78878.8"/>
        <n v="1122821.0"/>
        <n v="260095.6"/>
        <n v="23994.06"/>
        <n v="760368.0"/>
        <n v="82089.72"/>
        <n v="7066.12"/>
        <n v="162915.1"/>
        <n v="1297666.0"/>
        <n v="60955.2"/>
        <n v="15527.63"/>
        <n v="482502.6"/>
        <n v="559792.5"/>
        <n v="1117691.0"/>
        <n v="249773.0"/>
        <n v="222407.5"/>
        <n v="614195.4"/>
        <n v="11139.02"/>
        <n v="1112894.0"/>
        <n v="138055.5"/>
        <n v="121073.8"/>
        <n v="435562.5"/>
        <n v="795733.9"/>
        <n v="360948.8"/>
        <n v="261674.4"/>
        <n v="57583.5"/>
        <n v="93624.16"/>
        <n v="356756.4"/>
        <n v="10304.28"/>
        <n v="87744.8"/>
        <n v="27398.42"/>
        <n v="52658.7"/>
        <n v="58396.14"/>
        <n v="22158.9"/>
        <n v="211983.2"/>
        <n v="128255.6"/>
        <n v="344916.0"/>
        <n v="320548.8"/>
        <n v="21367.06"/>
        <n v="141914.8"/>
        <n v="211213.4"/>
        <n v="538595.2"/>
        <n v="67546.5"/>
        <n v="792471.3"/>
        <n v="918051.2"/>
        <n v="1418953.0"/>
        <n v="348691.2"/>
        <n v="1196976.0"/>
        <n v="182683.8"/>
        <n v="1185467.0"/>
        <n v="502902.4"/>
        <n v="9223.74"/>
        <n v="9150.77"/>
        <n v="296274.5"/>
        <n v="72443.16"/>
        <n v="435154.1"/>
        <n v="321681.9"/>
        <n v="631292.3"/>
        <n v="789248.3"/>
        <n v="1349579.0"/>
        <n v="65671.74"/>
        <n v="1102541.0"/>
        <n v="1209092.0"/>
        <n v="281117.9"/>
        <n v="607727.4"/>
        <n v="231795.0"/>
        <n v="514342.5"/>
        <n v="16376.58"/>
        <n v="705844.1"/>
        <n v="99985.6"/>
        <n v="494420.8"/>
        <n v="9489.96"/>
        <n v="1442182.0"/>
        <n v="626790.9"/>
        <n v="16359.08"/>
        <n v="50820.48"/>
        <n v="694501.3"/>
        <n v="565077.5"/>
        <n v="189831.9"/>
        <n v="147102.2"/>
        <n v="955532.5"/>
        <n v="345005.5"/>
        <n v="602891.5"/>
        <n v="36337.0"/>
        <n v="408973.4"/>
        <n v="362239.9"/>
        <n v="286878.6"/>
        <n v="243179.6"/>
        <n v="49469.94"/>
        <n v="592348.8"/>
        <n v="613827.5"/>
        <n v="881173.2"/>
        <n v="62800.36"/>
        <n v="42927.78"/>
        <n v="234620.7"/>
        <n v="330617.9"/>
        <n v="68391.48"/>
        <n v="19373.99"/>
        <n v="908123.0"/>
        <n v="703825.8"/>
        <n v="541937.1"/>
        <n v="608892.0"/>
        <n v="509951.2"/>
        <n v="76076.0"/>
        <n v="335220.3"/>
        <n v="376729.8"/>
        <n v="179150.4"/>
        <n v="112236.3"/>
        <n v="55307.42"/>
        <n v="235721.2"/>
        <n v="38542.86"/>
        <n v="770618.5"/>
        <n v="1170590.0"/>
        <n v="603396.5"/>
        <n v="104487.4"/>
        <n v="202785.5"/>
        <n v="316095.7"/>
        <n v="920464.4"/>
        <n v="1672456.0"/>
        <n v="401506.8"/>
        <n v="494350.0"/>
        <n v="409249.1"/>
        <n v="91348.4"/>
        <n v="1029569.0"/>
        <n v="800149.7"/>
        <n v="45437.64"/>
        <n v="147534.8"/>
        <n v="1528665.0"/>
        <n v="85597.56"/>
        <n v="2777.5"/>
        <n v="525316.3"/>
        <n v="262988.6"/>
        <n v="386451.3"/>
        <n v="3325.8"/>
        <n v="120039.5"/>
        <n v="989168.8"/>
        <n v="148822.9"/>
        <n v="724045.0"/>
        <n v="14700.4"/>
        <n v="433513.7"/>
        <n v="554439.6"/>
        <n v="22104.52"/>
        <n v="439832.2"/>
        <n v="234461.4"/>
        <n v="236365.9"/>
        <n v="195109.2"/>
        <n v="28397.1"/>
        <n v="441910.0"/>
        <n v="72662.63"/>
        <n v="1046234.0"/>
        <n v="317330.7"/>
        <n v="124293.4"/>
        <n v="205836.7"/>
        <n v="1150516.0"/>
        <n v="673320.6"/>
        <n v="187448.8"/>
        <n v="368375.0"/>
        <n v="30097.06"/>
        <n v="241403.0"/>
        <n v="53825.2"/>
        <n v="429375.2"/>
        <n v="873851.8"/>
        <n v="1474003.0"/>
        <n v="56908.44"/>
        <n v="431256.1"/>
        <n v="997.74"/>
        <n v="3032.26"/>
        <n v="151093.0"/>
        <n v="115300.8"/>
        <n v="515393.3"/>
        <n v="216167.6"/>
        <n v="19186.01"/>
        <n v="307231.3"/>
        <n v="531933.4"/>
        <n v="713910.2"/>
        <n v="5563.32"/>
        <n v="884650.6"/>
        <n v="478314.7"/>
        <n v="550430.5"/>
        <n v="7140.83"/>
        <n v="159718.9"/>
        <n v="193889.2"/>
        <n v="154626.1"/>
        <n v="37539.88"/>
        <n v="46483.02"/>
        <n v="656451.9"/>
        <n v="26214.84"/>
        <n v="188600.7"/>
        <n v="294447.6"/>
        <n v="21200.76"/>
        <n v="15074.55"/>
        <n v="112705.0"/>
        <n v="76304.8"/>
        <n v="8090.37"/>
        <n v="156443.4"/>
        <n v="314892.4"/>
        <n v="719300.2"/>
        <n v="612.14"/>
        <n v="725463.5"/>
        <n v="23668.61"/>
        <n v="868587.5"/>
        <n v="107302.3"/>
        <n v="546334.5"/>
        <n v="386586.5"/>
        <n v="246895.4"/>
        <n v="534142.9"/>
        <n v="885171.2"/>
        <n v="117990.0"/>
        <n v="625486.5"/>
        <n v="29082.24"/>
        <n v="6519.05"/>
        <n v="930513.0"/>
        <n v="242806.3"/>
        <n v="455712.4"/>
        <n v="104269.7"/>
        <n v="517365.6"/>
        <n v="15002.25"/>
        <n v="162614.3"/>
        <n v="186482.0"/>
        <n v="924441.9"/>
        <n v="251242.2"/>
        <n v="72758.4"/>
        <n v="1505540.0"/>
        <n v="375178.7"/>
        <n v="37809.2"/>
        <n v="18388.3"/>
        <n v="866832.5"/>
        <n v="407435.6"/>
        <n v="230226.2"/>
        <n v="77604.84"/>
        <n v="112375.3"/>
        <n v="846388.9"/>
        <n v="58490.04"/>
        <n v="399044.7"/>
        <n v="148582.1"/>
        <n v="1189445.0"/>
        <n v="897428.0"/>
        <n v="821938.0"/>
        <n v="750591.2"/>
        <n v="67291.02"/>
        <n v="650795.4"/>
        <n v="126803.6"/>
        <n v="156057.4"/>
        <n v="181259.0"/>
        <n v="457278.1"/>
        <n v="1561353.0"/>
        <n v="20800.71"/>
        <n v="60794.19"/>
        <n v="708213.7"/>
        <n v="99409.68"/>
        <n v="475732.4"/>
        <n v="100873.8"/>
        <n v="183671.3"/>
        <n v="219703.2"/>
        <n v="864055.0"/>
        <n v="196896.4"/>
        <n v="318157.8"/>
        <n v="257384.1"/>
        <n v="1655938.0"/>
        <n v="4923.75"/>
        <n v="1136.34"/>
        <n v="377698.7"/>
        <n v="26120.88"/>
        <n v="4993.92"/>
        <n v="79393.6"/>
        <n v="375861.2"/>
        <n v="823533.3"/>
        <n v="470507.9"/>
        <n v="296982.4"/>
        <n v="21952.56"/>
        <n v="140436.2"/>
        <n v="473853.8"/>
        <n v="168954.5"/>
        <n v="1219.46"/>
        <n v="442222.8"/>
        <n v="86756.4"/>
        <n v="119773.7"/>
        <n v="128109.3"/>
        <n v="110430.7"/>
        <n v="867085.0"/>
        <n v="415361.4"/>
        <n v="669965.5"/>
        <n v="19633.43"/>
        <n v="652039.7"/>
        <n v="73293.12"/>
        <n v="111968.1"/>
        <n v="77646.6"/>
        <n v="36061.56"/>
        <n v="840825.0"/>
        <n v="487458.4"/>
        <n v="19188.42"/>
        <n v="649752.2"/>
        <n v="418615.0"/>
        <n v="395377.2"/>
        <n v="446960.4"/>
        <n v="3284.83"/>
        <n v="1031338.0"/>
        <n v="434891.6"/>
        <n v="438718.8"/>
        <n v="21318.86"/>
        <n v="18795.0"/>
        <n v="50988.96"/>
        <n v="180735.8"/>
        <n v="85628.4"/>
        <n v="348667.0"/>
        <n v="1115860.0"/>
        <n v="234311.0"/>
        <n v="410083.1"/>
        <n v="1018009.0"/>
        <n v="52429.68"/>
        <n v="906260.4"/>
        <n v="8565.14"/>
        <n v="445634.7"/>
        <n v="131731.9"/>
        <n v="510469.2"/>
        <n v="226321.1"/>
        <n v="426289.4"/>
        <n v="399103.3"/>
        <n v="30768.12"/>
        <n v="4418.75"/>
        <n v="210286.0"/>
        <n v="283364.5"/>
        <n v="361788.6"/>
        <n v="603383.0"/>
        <n v="1495713.0"/>
        <n v="17901.48"/>
        <n v="793049.8"/>
        <n v="196768.0"/>
        <n v="605955.6"/>
        <n v="22692.56"/>
        <n v="719995.7"/>
        <n v="97777.2"/>
        <n v="200251.5"/>
        <n v="568393.4"/>
        <n v="12288.59"/>
        <n v="358586.8"/>
        <n v="10731.25"/>
        <n v="58584.06"/>
        <n v="161912.7"/>
        <n v="431178.3"/>
        <n v="1017582.0"/>
        <n v="642549.6"/>
        <n v="223290.8"/>
        <n v="15988.86"/>
        <n v="533556.8"/>
        <n v="15411.9"/>
        <n v="120588.5"/>
        <n v="145187.5"/>
        <n v="210324.4"/>
        <n v="43505.46"/>
        <n v="583404.0"/>
        <n v="14467.68"/>
        <n v="144947.0"/>
        <n v="243292.7"/>
        <n v="137875.9"/>
        <n v="307938.8"/>
        <n v="17352.0"/>
        <n v="2829.34"/>
        <n v="502977.4"/>
        <n v="157827.9"/>
        <n v="50707.08"/>
        <n v="110831.4"/>
        <n v="102235.6"/>
        <n v="99613.5"/>
        <n v="1526373.0"/>
        <n v="34317.88"/>
        <n v="311748.2"/>
        <n v="4391.02"/>
        <n v="31432.32"/>
        <n v="146761.7"/>
        <n v="146468.0"/>
        <n v="378142.6"/>
        <n v="278507.5"/>
        <n v="13154.4"/>
        <n v="53275.32"/>
        <n v="1170338.0"/>
        <n v="154329.3"/>
        <n v="318924.0"/>
        <n v="123598.8"/>
        <n v="1198870.0"/>
        <n v="548473.4"/>
        <n v="848869.1"/>
        <n v="933745.0"/>
        <n v="17868.06"/>
        <n v="385165.5"/>
        <n v="11243.88"/>
        <n v="502956.7"/>
        <n v="1654721.0"/>
        <n v="201167.6"/>
        <n v="546593.7"/>
        <n v="19284.82"/>
        <n v="1254546.0"/>
        <n v="84830.22"/>
        <n v="12977.85"/>
        <n v="355393.8"/>
        <n v="120769.9"/>
        <n v="350021.8"/>
        <n v="373148.6"/>
        <n v="1342103.0"/>
        <n v="449721.8"/>
        <n v="827316.3"/>
        <n v="5569.14"/>
        <n v="201131.6"/>
        <n v="415458.5"/>
        <n v="231831.6"/>
        <n v="144320.5"/>
        <n v="498906.7"/>
        <n v="1375393.0"/>
        <n v="879255.8"/>
        <n v="465015.6"/>
        <n v="384903.6"/>
        <n v="1499281.0"/>
        <n v="542256.0"/>
        <n v="14898.68"/>
        <n v="780154.7"/>
        <n v="158031.2"/>
        <n v="442939.6"/>
        <n v="1604266.0"/>
        <n v="238821.8"/>
        <n v="1102336.0"/>
        <n v="56438.22"/>
        <n v="25335.66"/>
        <n v="360560.5"/>
        <n v="385986.6"/>
        <n v="213190.0"/>
        <n v="1204678.0"/>
        <n v="73086.75"/>
        <n v="197555.7"/>
        <n v="12449.7"/>
        <n v="1409.85"/>
        <n v="440497.2"/>
        <n v="916642.6"/>
        <n v="533953.5"/>
        <n v="1193441.0"/>
        <n v="141856.0"/>
        <n v="1457430.0"/>
        <n v="92690.34"/>
        <n v="129164.2"/>
        <n v="42080.25"/>
        <n v="595598.4"/>
        <n v="144746.6"/>
        <n v="241516.3"/>
        <n v="175344.8"/>
        <n v="1414008.0"/>
        <n v="94805.64"/>
        <n v="450187.2"/>
        <n v="17737.6"/>
        <n v="890301.6"/>
        <n v="122602.1"/>
        <n v="1638203.0"/>
        <n v="1195530.0"/>
        <n v="217472.2"/>
        <n v="353612.8"/>
        <n v="680701.9"/>
        <n v="141864.9"/>
        <n v="239548.5"/>
        <n v="682427.3"/>
        <n v="565600.0"/>
        <n v="72270.9"/>
        <n v="721729.9"/>
        <n v="300814.8"/>
        <n v="172187.3"/>
        <n v="8348.24"/>
        <n v="200059.0"/>
        <n v="153993.7"/>
        <n v="528627.2"/>
        <n v="450122.7"/>
        <n v="131384.2"/>
        <n v="291205.2"/>
        <n v="501189.1"/>
        <n v="192536.0"/>
        <n v="218072.1"/>
        <n v="935260.0"/>
        <n v="457187.5"/>
        <n v="639493.9"/>
        <n v="884020.9"/>
        <n v="1393624.0"/>
        <n v="43957.62"/>
        <n v="150710.8"/>
        <n v="1505714.0"/>
        <n v="215083.9"/>
        <n v="568911.2"/>
        <n v="191.72"/>
        <n v="294036.3"/>
        <n v="1278275.0"/>
        <n v="690785.5"/>
        <n v="305530.7"/>
        <n v="104013.7"/>
        <n v="34600.13"/>
        <n v="727993.7"/>
        <n v="265118.4"/>
        <n v="347467.5"/>
        <n v="289206.7"/>
        <n v="870914.8"/>
        <n v="4451.27"/>
        <n v="851615.7"/>
        <n v="44383.59"/>
        <n v="21046.53"/>
        <n v="922287.5"/>
        <n v="540602.5"/>
        <n v="656626.3"/>
        <n v="84966.25"/>
        <n v="183.16"/>
        <n v="275761.2"/>
        <n v="321322.7"/>
        <n v="588676.3"/>
        <n v="120491.9"/>
        <n v="1084703.0"/>
        <n v="25307.04"/>
        <n v="78067.63"/>
        <n v="156098.8"/>
        <n v="456772.9"/>
        <n v="31350.06"/>
        <n v="21473.1"/>
        <n v="109792.8"/>
        <n v="352144.8"/>
        <n v="282538.8"/>
        <n v="16474.76"/>
        <n v="36096.3"/>
        <n v="338351.0"/>
        <n v="492048.0"/>
        <n v="1581064.0"/>
        <n v="1137.52"/>
        <n v="87573.2"/>
        <n v="295993.8"/>
        <n v="133504.8"/>
        <n v="125193.2"/>
        <n v="138794.6"/>
        <n v="194632.2"/>
        <n v="15402.5"/>
        <n v="1533665.0"/>
        <n v="7820.45"/>
        <n v="540196.8"/>
        <n v="369743.6"/>
        <n v="125530.6"/>
        <n v="30678.75"/>
        <n v="762246.1"/>
        <n v="260897.6"/>
        <n v="44287.32"/>
        <n v="624460.3"/>
        <n v="58912.35"/>
        <n v="1256068.0"/>
        <n v="182613.3"/>
        <n v="190876.4"/>
        <n v="596296.5"/>
        <n v="79567.02"/>
        <n v="1331496.0"/>
        <n v="923.94"/>
        <n v="752749.2"/>
        <n v="723457.4"/>
        <n v="222596.6"/>
        <n v="352676.8"/>
        <n v="85092.5"/>
        <n v="203361.9"/>
        <n v="320076.5"/>
        <n v="26198.95"/>
        <n v="482018.2"/>
        <n v="38767.82"/>
        <n v="344880.9"/>
        <n v="73194.84"/>
        <n v="1410260.0"/>
        <n v="85503.6"/>
        <n v="16.87"/>
        <n v="32400.54"/>
        <n v="62577.36"/>
        <n v="80899.56"/>
        <n v="1158784.0"/>
        <n v="581277.6"/>
        <n v="210729.5"/>
        <n v="439097.8"/>
        <n v="4034.66"/>
        <n v="949778.8"/>
        <n v="420572.1"/>
        <n v="531993.3"/>
        <n v="11633.07"/>
        <n v="14954.05"/>
        <n v="513711.3"/>
        <n v="159511.7"/>
        <n v="347492.3"/>
        <n v="530530.0"/>
        <n v="526224.6"/>
        <n v="516214.0"/>
        <n v="248043.9"/>
        <n v="4926.04"/>
        <n v="434090.8"/>
        <n v="1083708.0"/>
        <n v="68152.32"/>
        <n v="153875.2"/>
        <n v="67792.14"/>
        <n v="40230.54"/>
        <n v="269126.0"/>
        <n v="453710.4"/>
        <n v="36888.32"/>
        <n v="3805.39"/>
        <n v="579555.8"/>
        <n v="211468.8"/>
        <n v="108484.7"/>
        <n v="851620.2"/>
        <n v="289861.8"/>
        <n v="467665.9"/>
        <n v="518613.0"/>
        <n v="23603.54"/>
        <n v="322665.2"/>
        <n v="403845.4"/>
        <n v="465436.7"/>
        <n v="1214904.0"/>
        <n v="194589.1"/>
        <n v="723677.8"/>
        <n v="18304.0"/>
        <n v="210610.4"/>
        <n v="40086.78"/>
        <n v="511202.9"/>
        <n v="1156955.0"/>
        <n v="401694.9"/>
        <n v="186978.2"/>
        <n v="2140.08"/>
        <n v="4478.76"/>
        <n v="143944.6"/>
        <n v="237046.9"/>
        <n v="2955.79"/>
        <n v="797132.8"/>
        <n v="387315.5"/>
        <n v="3130.59"/>
        <n v="30865.86"/>
        <n v="1479.74"/>
        <n v="1070600.0"/>
        <n v="1539967.0"/>
        <n v="341735.3"/>
        <n v="11126.64"/>
        <n v="186483.5"/>
        <n v="35830.08"/>
        <n v="928585.2"/>
        <n v="240020.3"/>
        <n v="110013.4"/>
        <n v="1143868.0"/>
        <n v="757869.2"/>
        <n v="994545.7"/>
        <n v="106738.6"/>
        <n v="1327994.0"/>
        <n v="379519.6"/>
        <n v="129744.4"/>
        <n v="572667.6"/>
        <n v="82654.47"/>
        <n v="4697.14"/>
        <n v="723691.7"/>
        <n v="635544.7"/>
        <n v="169523.3"/>
        <n v="49272.04"/>
        <n v="219625.8"/>
        <n v="361798.0"/>
        <n v="600025.4"/>
        <n v="62498.7"/>
        <n v="236791.9"/>
        <n v="666802.2"/>
        <n v="8851.93"/>
        <n v="1180925.0"/>
        <n v="13344.17"/>
        <n v="389007.1"/>
        <n v="174267.2"/>
        <n v="237284.6"/>
        <n v="36644.4"/>
        <n v="495466.4"/>
        <n v="492320.4"/>
        <n v="13541.79"/>
        <n v="856989.8"/>
        <n v="717288.5"/>
        <n v="685917.2"/>
        <n v="888622.2"/>
        <n v="515117.9"/>
        <n v="11546.31"/>
        <n v="456448.9"/>
        <n v="1650896.0"/>
        <n v="9495.2"/>
        <n v="571074.0"/>
        <n v="1147017.0"/>
        <n v="25181.28"/>
        <n v="283362.2"/>
        <n v="694988.6"/>
        <n v="81197.1"/>
        <n v="23055.2"/>
        <n v="75756.38"/>
        <n v="358354.9"/>
        <n v="462293.8"/>
        <n v="477273.2"/>
        <n v="358641.5"/>
        <n v="23647.68"/>
        <n v="104618.8"/>
        <n v="416244.8"/>
        <n v="156399.5"/>
        <n v="443448.4"/>
        <n v="52587.29"/>
        <n v="129810.8"/>
        <n v="972.4"/>
        <n v="73962.18"/>
        <n v="89385.0"/>
        <n v="471264.5"/>
        <n v="5593.61"/>
        <n v="982116.0"/>
        <n v="648780.5"/>
        <n v="78023.1"/>
        <n v="1471810.0"/>
        <n v="447935.0"/>
        <n v="272974.1"/>
        <n v="486181.9"/>
        <n v="215186.4"/>
        <n v="366125.0"/>
        <n v="217771.4"/>
        <n v="654302.0"/>
        <n v="8492.84"/>
        <n v="145575.4"/>
        <n v="496267.2"/>
        <n v="33011.28"/>
        <n v="168949.0"/>
        <n v="1399306.0"/>
        <n v="668157.1"/>
        <n v="82684.8"/>
        <n v="971367.5"/>
        <n v="10770.29"/>
        <n v="1002534.0"/>
        <n v="137447.8"/>
        <n v="474143.5"/>
        <n v="221364.0"/>
        <n v="31059.96"/>
        <n v="19065.51"/>
        <n v="219376.8"/>
        <n v="272106.6"/>
        <n v="215290.5"/>
        <n v="766400.7"/>
        <n v="12657.32"/>
        <n v="180930.6"/>
        <n v="475994.1"/>
        <n v="548051.3"/>
        <n v="52742.88"/>
        <n v="194756.1"/>
        <n v="545005.7"/>
        <n v="166121.3"/>
        <n v="520060.7"/>
        <n v="475684.6"/>
        <n v="458265.6"/>
        <n v="17038.7"/>
        <n v="544397.2"/>
        <n v="38316.74"/>
        <n v="59973.5"/>
        <n v="390821.2"/>
        <n v="1121731.0"/>
        <n v="913.39"/>
        <n v="536145.0"/>
        <n v="1085371.0"/>
        <n v="403038.7"/>
        <n v="235488.8"/>
        <n v="485827.6"/>
        <n v="148906.5"/>
        <n v="442418.5"/>
        <n v="214825.4"/>
        <n v="983276.1"/>
        <n v="235833.8"/>
        <n v="68037.9"/>
        <n v="1597518.0"/>
        <n v="199681.9"/>
        <n v="34030.3"/>
        <n v="500455.0"/>
        <n v="32367.18"/>
        <n v="558214.8"/>
        <n v="443766.7"/>
        <n v="63469.98"/>
        <n v="301560.4"/>
        <n v="653925.1"/>
        <n v="23658.97"/>
        <n v="19993.36"/>
        <n v="282978.7"/>
        <n v="1664284.0"/>
        <n v="24358.32"/>
        <n v="331957.2"/>
        <n v="435492.0"/>
        <n v="39212.64"/>
        <n v="654532.1"/>
        <n v="1176.08"/>
        <n v="606806.3"/>
        <n v="197222.2"/>
        <n v="446642.4"/>
        <n v="1144330.0"/>
        <n v="374984.6"/>
        <n v="2369.03"/>
        <n v="60870.42"/>
        <n v="7331.22"/>
        <n v="73648.98"/>
        <n v="451695.2"/>
        <n v="89528.22"/>
        <n v="741573.0"/>
        <n v="727865.0"/>
        <n v="93682.86"/>
        <n v="54747.36"/>
        <n v="132452.3"/>
        <n v="1580304.0"/>
        <n v="1726007.0"/>
        <n v="243196.8"/>
        <n v="1253.2"/>
        <n v="112870.2"/>
        <n v="409037.2"/>
        <n v="204314.2"/>
        <n v="818040.1"/>
        <n v="523322.8"/>
        <n v="832448.2"/>
        <n v="415376.6"/>
        <n v="728084.2"/>
        <n v="1449728.0"/>
        <n v="542522.5"/>
        <n v="26364.96"/>
        <n v="993840.0"/>
        <n v="407098.6"/>
        <n v="748410.0"/>
        <n v="556234.6"/>
        <n v="531617.7"/>
        <n v="264670.8"/>
        <n v="166268.2"/>
        <n v="454496.2"/>
        <n v="504679.7"/>
        <n v="346885.7"/>
        <n v="10023.19"/>
        <n v="75825.26"/>
        <n v="470785.3"/>
        <n v="169881.7"/>
        <n v="108445.5"/>
        <n v="424309.6"/>
        <n v="641278.1"/>
        <n v="20178.93"/>
        <n v="1021486.0"/>
        <n v="748379.0"/>
        <n v="152572.4"/>
        <n v="99989.1"/>
        <n v="1099206.0"/>
        <n v="1205023.0"/>
        <n v="14349.14"/>
        <n v="337897.9"/>
        <n v="342987.1"/>
        <n v="185949.1"/>
        <n v="627149.1"/>
        <n v="7025.15"/>
        <n v="261872.0"/>
        <n v="11259.52"/>
        <n v="16255.08"/>
        <n v="129921.5"/>
        <n v="558672.4"/>
        <n v="536136.6"/>
        <n v="89188.54"/>
        <n v="559900.0"/>
        <n v="233709.6"/>
        <n v="188076.6"/>
        <n v="370827.6"/>
        <n v="495409.2"/>
        <n v="876553.8"/>
        <n v="366515.6"/>
        <n v="80210.52"/>
        <n v="646671.6"/>
        <n v="500747.2"/>
        <n v="203414.9"/>
        <n v="264065.5"/>
        <n v="747522.4"/>
        <n v="435006.0"/>
        <n v="212730.1"/>
        <n v="58458.24"/>
        <n v="867341.3"/>
        <n v="112952.3"/>
        <n v="410124.0"/>
        <n v="1401413.0"/>
        <n v="60886.08"/>
        <n v="536941.3"/>
        <n v="930210.0"/>
        <n v="48248.46"/>
        <n v="46461.24"/>
        <n v="244736.0"/>
        <n v="1654814.0"/>
        <n v="188275.8"/>
        <n v="899933.7"/>
        <n v="610909.0"/>
        <n v="778589.9"/>
        <n v="381679.1"/>
        <n v="359468.4"/>
        <n v="37771.92"/>
        <n v="46987.5"/>
        <n v="173602.5"/>
        <n v="86270.94"/>
        <n v="414605.0"/>
        <n v="18041.26"/>
        <n v="18062.95"/>
        <n v="452555.1"/>
        <n v="1322455.0"/>
        <n v="15968.66"/>
        <n v="511919.8"/>
        <n v="453226.4"/>
        <n v="87238.75"/>
        <n v="72129.96"/>
        <n v="39009.06"/>
        <n v="126765.0"/>
        <n v="18918.5"/>
        <n v="850672.5"/>
        <n v="133990.2"/>
        <n v="62898.9"/>
        <n v="68841.36"/>
        <n v="130557.4"/>
        <n v="731200.8"/>
        <n v="824791.3"/>
        <n v="414348.5"/>
        <n v="346049.3"/>
        <n v="621487.5"/>
        <n v="380466.0"/>
        <n v="113018.9"/>
        <n v="1000796.0"/>
        <n v="70251.87"/>
        <n v="199227.6"/>
        <n v="292181.3"/>
        <n v="362618.7"/>
        <n v="723824.6"/>
        <n v="38763.42"/>
        <n v="88197.12"/>
        <n v="21747.84"/>
        <n v="114161.4"/>
        <n v="9331.52"/>
        <n v="406829.8"/>
        <n v="57511.43"/>
        <n v="131684.9"/>
        <n v="609845.8"/>
        <n v="529871.3"/>
        <n v="1113043.0"/>
        <n v="470013.4"/>
        <n v="1543112.0"/>
        <n v="101252.5"/>
        <n v="100214.4"/>
        <n v="282595.3"/>
        <n v="5314.05"/>
        <n v="22588.93"/>
        <n v="118001.9"/>
        <n v="175244.6"/>
        <n v="380847.5"/>
        <n v="462617.0"/>
        <n v="19246.08"/>
        <n v="438657.1"/>
        <n v="852658.5"/>
        <n v="636538.1"/>
        <n v="12946.52"/>
        <n v="381814.6"/>
        <n v="294171.9"/>
        <n v="331.46"/>
        <n v="57696.25"/>
        <n v="550517.8"/>
        <n v="788628.2"/>
        <n v="149693.9"/>
        <n v="118267.7"/>
        <n v="13594.81"/>
        <n v="81502.8"/>
        <n v="732753.8"/>
        <n v="83199.2"/>
        <n v="662830.4"/>
        <n v="104906.3"/>
        <n v="1663762.0"/>
        <n v="299578.0"/>
        <n v="135898.6"/>
        <n v="148966.4"/>
        <n v="47515.68"/>
        <n v="177916.2"/>
        <n v="2328.06"/>
        <n v="100368.8"/>
        <n v="341371.7"/>
        <n v="21771.94"/>
        <n v="50660.1"/>
        <n v="1229170.0"/>
        <n v="111041.3"/>
        <n v="20646.47"/>
        <n v="260188.8"/>
        <n v="641580.3"/>
        <n v="48215.44"/>
        <n v="1003056.0"/>
        <n v="395547.8"/>
        <n v="763812.5"/>
        <n v="453768.7"/>
        <n v="14341.91"/>
        <n v="14204.54"/>
        <n v="1370617.0"/>
        <n v="1611427.0"/>
        <n v="733686.7"/>
        <n v="717729.1"/>
        <n v="1449806.0"/>
        <n v="16448.25"/>
        <n v="1078902.0"/>
        <n v="58565.22"/>
        <n v="92002.5"/>
        <n v="1742.43"/>
        <n v="948137.5"/>
        <n v="490580.6"/>
        <n v="405476.4"/>
        <n v="396077.6"/>
        <n v="6608.22"/>
        <n v="262852.4"/>
        <n v="10542.71"/>
        <n v="645537.6"/>
        <n v="18115.97"/>
        <n v="871408.3"/>
        <n v="124575.3"/>
        <n v="593976.3"/>
        <n v="524875.7"/>
        <n v="941843.6"/>
        <n v="288537.6"/>
        <n v="376759.8"/>
        <n v="108790.0"/>
        <n v="129794.4"/>
        <n v="132478.5"/>
        <n v="19653.3"/>
        <n v="34874.82"/>
        <n v="118781.1"/>
        <n v="119720.7"/>
        <n v="788377.6"/>
        <n v="735385.6"/>
        <n v="1605427.0"/>
        <n v="651845.2"/>
        <n v="28000.08"/>
        <n v="12053.86"/>
        <n v="187685.5"/>
        <n v="966703.1"/>
        <n v="1269160.0"/>
        <n v="102219.7"/>
        <n v="6641.96"/>
        <n v="131277.8"/>
        <n v="484901.5"/>
        <n v="278277.0"/>
        <n v="720594.0"/>
        <n v="30579.34"/>
        <n v="687316.2"/>
        <n v="600728.8"/>
        <n v="507465.3"/>
        <n v="16763.96"/>
        <n v="22503.42"/>
        <n v="623952.7"/>
        <n v="105477.5"/>
        <n v="264751.2"/>
        <n v="365775.2"/>
        <n v="1124383.0"/>
        <n v="409648.3"/>
        <n v="317631.6"/>
        <n v="1172105.0"/>
        <n v="79192.62"/>
        <n v="205216.3"/>
        <n v="151061.7"/>
        <n v="7123.96"/>
        <n v="395254.1"/>
        <n v="426064.4"/>
        <n v="185876.6"/>
        <n v="12611.53"/>
        <n v="1185614.0"/>
        <n v="15838.52"/>
        <n v="23610.62"/>
        <n v="180411.3"/>
        <n v="229680.6"/>
        <n v="74403.14"/>
        <n v="278564.0"/>
        <n v="1192053.0"/>
        <n v="713175.8"/>
        <n v="31400.18"/>
        <n v="76190.4"/>
        <n v="1131273.0"/>
        <n v="637181.4"/>
        <n v="425306.8"/>
        <n v="640213.8"/>
        <n v="589300.7"/>
        <n v="469627.4"/>
        <n v="11408.94"/>
        <n v="232022.0"/>
        <n v="272957.3"/>
        <n v="36264.8"/>
        <n v="35037.15"/>
        <n v="355611.3"/>
        <n v="1180329.0"/>
        <n v="20027.1"/>
        <n v="911916.2"/>
        <n v="510448.4"/>
        <n v="20224.72"/>
        <n v="16527.78"/>
        <n v="436922.7"/>
        <n v="868108.2"/>
        <n v="127114.9"/>
        <n v="116696.2"/>
        <n v="560089.4"/>
        <n v="1662197.0"/>
        <n v="749433.5"/>
        <n v="738486.2"/>
        <n v="751542.4"/>
        <n v="4686.9"/>
        <n v="2060.55"/>
        <n v="163710.7"/>
        <n v="3070.34"/>
        <n v="677890.7"/>
        <n v="17593.0"/>
        <n v="10811.26"/>
        <n v="726235.4"/>
        <n v="543359.9"/>
        <n v="380036.8"/>
        <n v="176069.6"/>
        <n v="285018.7"/>
        <n v="653970.6"/>
        <n v="463626.7"/>
        <n v="85456.8"/>
        <n v="421692.5"/>
        <n v="405003.3"/>
        <n v="281495.5"/>
        <n v="1028267.0"/>
        <n v="408311.3"/>
        <n v="394463.9"/>
        <n v="1369226.0"/>
        <n v="171952.5"/>
        <n v="110888.5"/>
        <n v="1208086.0"/>
        <n v="28861.92"/>
        <n v="78964.06"/>
        <n v="1404230.0"/>
        <n v="569432.6"/>
        <n v="283138.1"/>
        <n v="363482.9"/>
        <n v="258517.4"/>
        <n v="121834.8"/>
        <n v="523874.9"/>
        <n v="441846.9"/>
        <n v="22316.6"/>
        <n v="66466.4"/>
        <n v="828709.7"/>
        <n v="1222479.0"/>
        <n v="1538306.0"/>
        <n v="396617.4"/>
        <n v="534019.2"/>
        <n v="23998.78"/>
        <n v="1569795.0"/>
        <n v="269225.0"/>
        <n v="157314.4"/>
        <n v="300617.0"/>
        <n v="128883.6"/>
        <n v="358142.5"/>
        <n v="783458.2"/>
        <n v="70924.14"/>
        <n v="266328.1"/>
        <n v="685686.6"/>
        <n v="705758.4"/>
        <n v="22772.09"/>
        <n v="400503.1"/>
        <n v="420412.5"/>
        <n v="255204.0"/>
        <n v="558122.7"/>
        <n v="127879.6"/>
        <n v="575543.4"/>
        <n v="178643.8"/>
        <n v="17601.84"/>
        <n v="222683.2"/>
        <n v="46587.96"/>
        <n v="136915.4"/>
        <n v="624533.8"/>
        <n v="3974.09"/>
        <n v="346541.4"/>
        <n v="44044.0"/>
        <n v="36447.54"/>
        <n v="156715.7"/>
        <n v="14770.89"/>
        <n v="354636.3"/>
        <n v="367135.0"/>
        <n v="287620.3"/>
        <n v="123933.2"/>
        <n v="9539.22"/>
        <n v="41052.96"/>
        <n v="12833.25"/>
        <n v="152076.1"/>
        <n v="783655.5"/>
        <n v="139749.8"/>
        <n v="831594.3"/>
        <n v="377075.5"/>
        <n v="369647.6"/>
        <n v="209465.3"/>
        <n v="32181.3"/>
        <n v="476142.3"/>
        <n v="419790.8"/>
        <n v="867724.7"/>
        <n v="828326.3"/>
        <n v="137322.5"/>
        <n v="21996.07"/>
        <n v="90780.94"/>
        <n v="738990.1"/>
        <n v="566528.6"/>
        <n v="70218.12"/>
        <n v="730987.5"/>
        <n v="462045.2"/>
        <n v="1530230.0"/>
        <n v="270038.9"/>
        <n v="185945.2"/>
        <n v="317985.8"/>
        <n v="590330.3"/>
        <n v="625799.8"/>
        <n v="25682.4"/>
        <n v="23269.08"/>
        <n v="134190.5"/>
        <n v="207371.5"/>
        <n v="276354.7"/>
        <n v="461790.7"/>
        <n v="576755.7"/>
        <n v="65757.44"/>
        <n v="21935.82"/>
        <n v="19154.68"/>
        <n v="55023.64"/>
        <n v="342354.0"/>
        <n v="491886.6"/>
        <n v="17867.78"/>
        <n v="1425039.0"/>
        <n v="175762.6"/>
        <n v="117188.4"/>
        <n v="155002.7"/>
        <n v="648035.9"/>
        <n v="119313.5"/>
        <n v="722113.4"/>
        <n v="46503.6"/>
        <n v="50785.38"/>
        <n v="677004.8"/>
        <n v="1118323.0"/>
        <n v="219801.3"/>
        <n v="20248.38"/>
        <n v="115320.2"/>
        <n v="249622.7"/>
        <n v="1147108.0"/>
        <n v="427768.9"/>
        <n v="120062.8"/>
        <n v="451876.3"/>
        <n v="1229087.0"/>
        <n v="316028.8"/>
        <n v="1244735.0"/>
        <n v="477968.6"/>
        <n v="770043.4"/>
        <n v="114812.6"/>
        <n v="752980.3"/>
        <n v="79239.6"/>
        <n v="17568.9"/>
        <n v="14970.96"/>
        <n v="599798.1"/>
        <n v="530228.9"/>
        <n v="14666.58"/>
        <n v="891593.9"/>
        <n v="935512.5"/>
        <n v="1338767.0"/>
        <n v="48491.1"/>
        <n v="41173.58"/>
        <n v="435155.1"/>
        <n v="902042.6"/>
        <n v="1381919.0"/>
        <n v="181576.0"/>
        <n v="412080.0"/>
        <n v="566002.1"/>
        <n v="335893.4"/>
        <n v="916900.9"/>
        <n v="134689.0"/>
        <n v="129696.1"/>
        <n v="9437.56"/>
        <n v="364386.4"/>
        <n v="355542.7"/>
        <n v="10837.77"/>
        <n v="692492.6"/>
        <n v="390275.6"/>
        <n v="551975.0"/>
        <n v="49433.22"/>
        <n v="1605863.0"/>
        <n v="9319.47"/>
        <n v="374952.0"/>
        <n v="710610.2"/>
        <n v="1237954.0"/>
        <n v="758247.1"/>
        <n v="606742.4"/>
        <n v="901.34"/>
        <n v="1075734.0"/>
        <n v="90642.02"/>
        <n v="159453.8"/>
        <n v="421156.9"/>
        <n v="221190.0"/>
        <n v="174116.9"/>
        <n v="446139.7"/>
        <n v="971840.7"/>
        <n v="808383.8"/>
        <n v="552895.2"/>
        <n v="1567960.0"/>
        <n v="457025.0"/>
        <n v="405204.8"/>
        <n v="59768.1"/>
        <n v="149208.5"/>
        <n v="13732.88"/>
        <n v="331508.2"/>
        <n v="6080.43"/>
        <n v="239724.5"/>
        <n v="81807.84"/>
        <n v="182161.1"/>
        <n v="592220.2"/>
        <n v="60525.9"/>
        <n v="74127.48"/>
        <n v="114928.1"/>
        <n v="382797.4"/>
        <n v="208449.1"/>
        <n v="665733.6"/>
        <n v="146.88"/>
        <n v="165521.3"/>
        <n v="86930.01"/>
        <n v="1467539.0"/>
        <n v="34663.2"/>
        <n v="13098.8"/>
        <n v="527388.0"/>
        <n v="437122.4"/>
        <n v="195092.1"/>
        <n v="7923.96"/>
        <n v="71440.92"/>
        <n v="18469.22"/>
        <n v="864812.5"/>
        <n v="923771.3"/>
        <n v="306078.5"/>
        <n v="298699.8"/>
        <n v="129786.8"/>
        <n v="747526.3"/>
        <n v="2665.46"/>
        <n v="313726.9"/>
        <n v="419866.8"/>
        <n v="124627.7"/>
        <n v="1565699.0"/>
        <n v="212909.8"/>
        <n v="68810.04"/>
        <n v="199327.2"/>
        <n v="5933.42"/>
        <n v="789407.1"/>
        <n v="191032.4"/>
        <n v="62.64"/>
        <n v="388445.2"/>
        <n v="1116941.0"/>
        <n v="1630727.0"/>
        <n v="549429.2"/>
        <n v="461038.4"/>
        <n v="20186.16"/>
        <n v="274431.8"/>
        <n v="345293.8"/>
        <n v="145841.6"/>
        <n v="537794.4"/>
        <n v="536291.6"/>
        <n v="63282.06"/>
        <n v="1026539.0"/>
        <n v="426560.9"/>
        <n v="564508.5"/>
        <n v="37427.4"/>
        <n v="803688.5"/>
        <n v="23928.89"/>
        <n v="1315068.0"/>
        <n v="77560.7"/>
        <n v="659641.1"/>
        <n v="130.14"/>
        <n v="193445.5"/>
        <n v="3540.29"/>
        <n v="629087.0"/>
        <n v="31817.52"/>
        <n v="372086.0"/>
        <n v="270612.8"/>
        <n v="1346797.0"/>
        <n v="165170.5"/>
        <n v="846632.5"/>
        <n v="218905.9"/>
        <n v="49387.54"/>
        <n v="229035.6"/>
        <n v="760745.0"/>
        <n v="420444.0"/>
        <n v="193541.3"/>
        <n v="508718.9"/>
        <n v="314886.0"/>
        <n v="19034.18"/>
        <n v="169530.9"/>
        <n v="159550.6"/>
        <n v="453226.1"/>
        <n v="315865.4"/>
        <n v="74760.4"/>
        <n v="89263.72"/>
        <n v="50508.24"/>
        <n v="14185.6"/>
        <n v="29607.97"/>
        <n v="474927.0"/>
        <n v="1631248.0"/>
        <n v="174182.2"/>
        <n v="23054.06"/>
        <n v="1490907.0"/>
        <n v="13105.58"/>
        <n v="115658.4"/>
        <n v="97984.6"/>
        <n v="277519.5"/>
        <n v="20422.34"/>
        <n v="1112515.0"/>
        <n v="549086.1"/>
        <n v="39369.26"/>
        <n v="506734.8"/>
        <n v="849223.7"/>
        <n v="101828.7"/>
        <n v="395206.5"/>
        <n v="21861.11"/>
        <n v="113391.4"/>
        <n v="554573.4"/>
        <n v="229143.8"/>
        <n v="60150.06"/>
        <n v="250574.9"/>
        <n v="284913.2"/>
        <n v="315172.0"/>
        <n v="674427.5"/>
        <n v="4118.58"/>
        <n v="170382.6"/>
        <n v="217295.3"/>
        <n v="490029.2"/>
        <n v="119767.7"/>
        <n v="14214.18"/>
        <n v="633538.7"/>
        <n v="559816.4"/>
        <n v="548449.9"/>
        <n v="136539.5"/>
        <n v="255739.3"/>
        <n v="84101.36"/>
        <n v="369697.0"/>
        <n v="1193444.0"/>
        <n v="1018838.0"/>
        <n v="11823.46"/>
        <n v="542471.7"/>
        <n v="981843.9"/>
        <n v="212521.6"/>
        <n v="537559.9"/>
        <n v="256731.8"/>
        <n v="33575.61"/>
        <n v="396260.4"/>
        <n v="182982.8"/>
        <n v="463184.8"/>
        <n v="15358.93"/>
        <n v="647341.4"/>
        <n v="71457.5"/>
        <n v="141159.2"/>
        <n v="656700.5"/>
        <n v="4998.34"/>
        <n v="395078.1"/>
        <n v="828815.7"/>
        <n v="53228.34"/>
        <n v="365931.8"/>
        <n v="796309.0"/>
        <n v="44724.96"/>
        <n v="79161.3"/>
        <n v="852147.2"/>
        <n v="1617860.0"/>
        <n v="65837.2"/>
        <n v="884116.8"/>
        <n v="706492.8"/>
        <n v="690840.0"/>
        <n v="337307.8"/>
        <n v="76766.08"/>
        <n v="117825.8"/>
        <n v="187722.2"/>
        <n v="457000.3"/>
        <n v="1103379.0"/>
        <n v="1432570.0"/>
        <n v="575700.0"/>
        <n v="303656.0"/>
        <n v="1645036.0"/>
        <n v="1046739.0"/>
        <n v="463720.4"/>
        <n v="1263687.0"/>
        <n v="309314.7"/>
        <n v="1337938.0"/>
        <n v="217989.2"/>
        <n v="270626.4"/>
        <n v="278971.5"/>
        <n v="865435.7"/>
        <n v="914829.6"/>
        <n v="329672.2"/>
        <n v="146186.5"/>
        <n v="815672.7"/>
        <n v="146421.0"/>
        <n v="630366.3"/>
        <n v="480994.8"/>
        <n v="240701.3"/>
        <n v="37380.96"/>
        <n v="5997.78"/>
        <n v="741409.7"/>
        <n v="72458.82"/>
        <n v="15301.09"/>
        <n v="69165.6"/>
        <n v="8372.16"/>
        <n v="641974.4"/>
        <n v="122570.8"/>
        <n v="141202.0"/>
        <n v="11236.32"/>
        <n v="189494.0"/>
        <n v="22590.45"/>
        <n v="1258965.0"/>
        <n v="239704.6"/>
        <n v="358358.0"/>
        <n v="140063.0"/>
        <n v="520807.4"/>
        <n v="467078.4"/>
        <n v="277014.4"/>
        <n v="230777.5"/>
        <n v="421948.6"/>
        <n v="279412.9"/>
        <n v="28501.2"/>
        <n v="363792.0"/>
        <n v="1097796.0"/>
        <n v="697092.5"/>
        <n v="488966.3"/>
        <n v="946649.8"/>
        <n v="518306.5"/>
        <n v="37770.9"/>
        <n v="561835.5"/>
        <n v="325093.8"/>
        <n v="874533.8"/>
        <n v="117088.4"/>
        <n v="48467.7"/>
        <n v="35454.24"/>
        <n v="625962.2"/>
        <n v="1545704.0"/>
        <n v="112110.0"/>
        <n v="5090.8"/>
        <n v="847594.1"/>
        <n v="102197.2"/>
        <n v="334372.3"/>
        <n v="3287.24"/>
        <n v="546026.4"/>
        <n v="25690.48"/>
        <n v="901275.7"/>
        <n v="177002.5"/>
        <n v="846399.2"/>
        <n v="136050.7"/>
        <n v="18719.82"/>
        <n v="13288.74"/>
        <n v="407377.9"/>
        <n v="114646.9"/>
        <n v="223137.2"/>
        <n v="141143.6"/>
        <n v="1243804.0"/>
        <n v="3026.96"/>
        <n v="726255.0"/>
        <n v="529649.3"/>
        <n v="579682.6"/>
        <n v="140441.6"/>
        <n v="1141548.0"/>
        <n v="299024.2"/>
        <n v="22299.73"/>
        <n v="477800.6"/>
        <n v="17699.04"/>
        <n v="512454.8"/>
        <n v="9004.5"/>
        <n v="1066434.0"/>
        <n v="149528.2"/>
        <n v="172753.6"/>
        <n v="65481.78"/>
        <n v="202970.3"/>
        <n v="455260.3"/>
        <n v="565946.9"/>
        <n v="85597.5"/>
        <n v="949526.3"/>
        <n v="458709.7"/>
        <n v="340761.6"/>
        <n v="2105.04"/>
        <n v="12722.39"/>
        <n v="276747.8"/>
        <n v="430898.0"/>
        <n v="387744.5"/>
        <n v="56836.08"/>
        <n v="222705.0"/>
        <n v="425459.9"/>
        <n v="65239.56"/>
        <n v="629939.7"/>
        <n v="45727.81"/>
        <n v="237919.6"/>
        <n v="541569.6"/>
        <n v="860138.7"/>
        <n v="92621.76"/>
        <n v="802005.3"/>
        <n v="96329.58"/>
        <n v="115492.5"/>
        <n v="472659.8"/>
        <n v="79064.3"/>
        <n v="1109106.0"/>
        <n v="15937.33"/>
        <n v="666898.0"/>
        <n v="123838.0"/>
        <n v="40522.02"/>
        <n v="370706.2"/>
        <n v="92832.48"/>
        <n v="612550.4"/>
        <n v="139183.2"/>
        <n v="289305.5"/>
        <n v="477512.4"/>
        <n v="68243.53"/>
        <n v="979464.3"/>
        <n v="44553.12"/>
        <n v="25805.52"/>
        <n v="40396.72"/>
        <n v="766592.4"/>
        <n v="135524.5"/>
        <n v="16055.42"/>
        <n v="834386.3"/>
        <n v="523480.3"/>
        <n v="53352.74"/>
        <n v="6162.37"/>
        <n v="122520.0"/>
        <n v="20759.74"/>
        <n v="98423.1"/>
        <n v="306787.2"/>
        <n v="206831.0"/>
        <n v="1287556.0"/>
        <n v="175731.2"/>
        <n v="73523.7"/>
        <n v="86658.0"/>
        <n v="23871.05"/>
        <n v="204188.9"/>
        <n v="149829.2"/>
        <n v="1242644.0"/>
        <n v="58072.58"/>
        <n v="409145.5"/>
        <n v="536593.2"/>
        <n v="112995.5"/>
        <n v="724074.4"/>
        <n v="220765.6"/>
        <n v="254249.3"/>
        <n v="496201.8"/>
        <n v="114678.2"/>
        <n v="70642.26"/>
        <n v="142772.2"/>
        <n v="497963.7"/>
        <n v="783632.1"/>
        <n v="428155.5"/>
        <n v="288450.3"/>
        <n v="305107.3"/>
        <n v="90698.4"/>
        <n v="1699927.0"/>
        <n v="470089.4"/>
        <n v="142192.8"/>
        <n v="467192.9"/>
        <n v="587693.8"/>
        <n v="477236.7"/>
        <n v="57890.21"/>
        <n v="288630.4"/>
        <n v="458210.8"/>
        <n v="205892.8"/>
        <n v="937534.6"/>
        <n v="99527.7"/>
        <n v="950025.7"/>
        <n v="510408.0"/>
        <n v="1497542.0"/>
        <n v="562390.4"/>
        <n v="351043.5"/>
        <n v="56626.56"/>
        <n v="451454.6"/>
        <n v="500581.3"/>
        <n v="864549.8"/>
        <n v="1141805.0"/>
        <n v="69606.6"/>
        <n v="149020.6"/>
        <n v="9627.95"/>
        <n v="1416494.0"/>
        <n v="948630.6"/>
        <n v="312792.1"/>
        <n v="2205.6"/>
        <n v="546173.3"/>
        <n v="1115798.0"/>
        <n v="773155.0"/>
        <n v="557427.2"/>
        <n v="98352.36"/>
        <n v="226613.2"/>
        <n v="122242.0"/>
        <n v="555985.9"/>
        <n v="264721.6"/>
        <n v="402011.8"/>
        <n v="158336.6"/>
        <n v="53979.24"/>
        <n v="203346.0"/>
        <n v="970368.5"/>
        <n v="10813.67"/>
        <n v="758419.0"/>
        <n v="7514.38"/>
        <n v="528092.7"/>
        <n v="2806.72"/>
        <n v="8046.99"/>
        <n v="827463.5"/>
        <n v="22941.9"/>
        <n v="384657.8"/>
        <n v="518410.9"/>
        <n v="21114.01"/>
        <n v="182939.0"/>
        <n v="145011.6"/>
        <n v="21106.78"/>
        <n v="471187.7"/>
        <n v="946234.1"/>
        <n v="16082.82"/>
        <n v="9630.36"/>
        <n v="135067.5"/>
        <n v="172068.7"/>
        <n v="305146.3"/>
        <n v="616667.4"/>
        <n v="45534.02"/>
        <n v="55968.84"/>
        <n v="1103425.0"/>
        <n v="21642.12"/>
        <n v="190456.0"/>
        <n v="50038.92"/>
        <n v="398490.0"/>
        <n v="123180.1"/>
        <n v="454797.2"/>
        <n v="469624.1"/>
        <n v="11269.64"/>
        <n v="725197.7"/>
        <n v="29395.38"/>
        <n v="11026.4"/>
        <n v="424563.9"/>
        <n v="320252.9"/>
        <n v="314657.2"/>
        <n v="1215156.0"/>
        <n v="6152.73"/>
        <n v="501441.1"/>
        <n v="788810.0"/>
        <n v="4791.96"/>
        <n v="1616033.0"/>
        <n v="32703.3"/>
        <n v="1445994.0"/>
        <n v="492161.5"/>
        <n v="76419.2"/>
        <n v="105076.6"/>
        <n v="520570.0"/>
        <n v="116009.3"/>
        <n v="41044.86"/>
        <n v="865822.5"/>
        <n v="9033.12"/>
        <n v="69749.64"/>
        <n v="790045.6"/>
        <n v="802062.3"/>
        <n v="926870.3"/>
        <n v="242928.4"/>
        <n v="349740.2"/>
        <n v="245482.9"/>
        <n v="125554.0"/>
        <n v="115738.9"/>
        <n v="430036.9"/>
        <n v="7266.15"/>
        <n v="209717.9"/>
        <n v="74027.52"/>
        <n v="88431.2"/>
        <n v="1233197.0"/>
        <n v="309531.9"/>
        <n v="30239.27"/>
        <n v="351858.8"/>
        <n v="43284.9"/>
        <n v="1240215.0"/>
        <n v="23865.84"/>
        <n v="358704.7"/>
        <n v="801389.6"/>
        <n v="33263.42"/>
        <n v="540940.4"/>
        <n v="918475.7"/>
        <n v="691723.8"/>
        <n v="600812.6"/>
        <n v="548548.0"/>
        <n v="969473.8"/>
        <n v="470571.0"/>
        <n v="986093.5"/>
        <n v="640948.7"/>
        <n v="710035.0"/>
        <n v="529178.6"/>
        <n v="140391.9"/>
        <n v="972630.0"/>
        <n v="2173.6"/>
        <n v="17402.61"/>
        <n v="420954.2"/>
        <n v="463479.8"/>
        <n v="153701.1"/>
        <n v="310934.5"/>
        <n v="4786.26"/>
        <n v="20166.88"/>
        <n v="12671.78"/>
        <n v="26848.26"/>
        <n v="40966.56"/>
        <n v="22138.26"/>
        <n v="132671.5"/>
        <n v="540753.4"/>
        <n v="1614542.0"/>
        <n v="63892.8"/>
        <n v="737173.8"/>
        <n v="21152.57"/>
        <n v="831873.1"/>
        <n v="1055450.0"/>
        <n v="256137.9"/>
        <n v="440991.3"/>
        <n v="74150.1"/>
        <n v="703612.4"/>
        <n v="236109.5"/>
        <n v="408767.0"/>
        <n v="534810.7"/>
        <n v="99174.78"/>
        <n v="1040264.0"/>
        <n v="17503.2"/>
        <n v="237192.9"/>
        <n v="41034.5"/>
        <n v="536562.8"/>
        <n v="47418.48"/>
        <n v="483136.7"/>
        <n v="157352.4"/>
        <n v="1572306.0"/>
        <n v="161135.8"/>
        <n v="163115.5"/>
        <n v="11452.32"/>
        <n v="209580.8"/>
        <n v="689496.0"/>
        <n v="135850.5"/>
        <n v="1647190.0"/>
        <n v="195252.4"/>
        <n v="203787.9"/>
        <n v="1229054.0"/>
        <n v="130576.3"/>
        <n v="24039.75"/>
        <n v="6726.31"/>
        <n v="771097.8"/>
        <n v="139910.0"/>
        <n v="202782.5"/>
        <n v="446392.2"/>
        <n v="14151.52"/>
        <n v="381295.2"/>
        <n v="69827.94"/>
        <n v="602480.1"/>
        <n v="355326.4"/>
        <n v="8520.4"/>
        <n v="28141.02"/>
        <n v="143969.7"/>
        <n v="419579.2"/>
        <n v="333134.9"/>
        <n v="23174.56"/>
        <n v="1843.65"/>
        <n v="544388.9"/>
        <n v="846758.8"/>
        <n v="7781.89"/>
        <n v="1157279.0"/>
        <n v="398852.6"/>
        <n v="651.56"/>
        <n v="704113.3"/>
        <n v="218823.9"/>
        <n v="1129306.0"/>
        <n v="396236.0"/>
        <n v="142271.1"/>
        <n v="381841.9"/>
        <n v="3694.53"/>
        <n v="441622.5"/>
        <n v="187214.6"/>
        <n v="197186.4"/>
        <n v="486714.8"/>
        <n v="244587.2"/>
        <n v="46736.9"/>
        <n v="497225.8"/>
        <n v="12495.85"/>
        <n v="610040.0"/>
        <n v="64722.78"/>
        <n v="849200.5"/>
        <n v="378977.2"/>
        <n v="30176.14"/>
        <n v="360472.7"/>
        <n v="122257.6"/>
        <n v="508222.0"/>
        <n v="823907.5"/>
        <n v="399599.2"/>
        <n v="133893.0"/>
        <n v="412554.6"/>
        <n v="794775.3"/>
        <n v="255371.0"/>
        <n v="850857.8"/>
        <n v="188127.3"/>
        <n v="172343.6"/>
        <n v="344816.1"/>
        <n v="734106.2"/>
        <n v="37382.05"/>
        <n v="385985.6"/>
        <n v="392250.7"/>
        <n v="1065975.0"/>
        <n v="63130.0"/>
        <n v="118132.8"/>
        <n v="1385503.0"/>
        <n v="1616862.0"/>
        <n v="642600.0"/>
        <n v="34812.18"/>
        <n v="804840.2"/>
        <n v="467666.6"/>
        <n v="1454778.0"/>
        <n v="760369.2"/>
        <n v="244184.6"/>
        <n v="736625.9"/>
        <n v="807621.3"/>
        <n v="1238302.0"/>
        <n v="323180.0"/>
        <n v="306612.0"/>
        <n v="663159.5"/>
        <n v="293836.4"/>
        <n v="33120.9"/>
        <n v="467438.4"/>
        <n v="311816.7"/>
        <n v="61778.7"/>
        <n v="774069.2"/>
        <n v="709398.8"/>
        <n v="701632.8"/>
        <n v="1468202.0"/>
        <n v="1006591.0"/>
        <n v="100795.9"/>
        <n v="141331.5"/>
        <n v="81306.72"/>
        <n v="125123.4"/>
        <n v="116455.7"/>
        <n v="107306.9"/>
        <n v="791324.3"/>
        <n v="541254.2"/>
        <n v="131017.0"/>
        <n v="21704.46"/>
        <n v="297839.6"/>
        <n v="1106455.0"/>
        <n v="451949.8"/>
        <n v="20499.46"/>
        <n v="367732.3"/>
        <n v="8050.44"/>
        <n v="51572.68"/>
        <n v="594717.1"/>
        <n v="1170969.0"/>
        <n v="13509.3"/>
        <n v="48420.72"/>
        <n v="9806.29"/>
        <n v="3523.42"/>
        <n v="74487.5"/>
        <n v="843663.9"/>
        <n v="59968.75"/>
        <n v="335106.1"/>
        <n v="659996.1"/>
        <n v="1296.58"/>
        <n v="909194.8"/>
        <n v="345452.1"/>
        <n v="736172.7"/>
        <n v="767983.8"/>
        <n v="148848.3"/>
        <n v="472770.4"/>
        <n v="296422.1"/>
        <n v="448236.9"/>
        <n v="17000.14"/>
        <n v="115100.6"/>
        <n v="506332.5"/>
        <n v="405008.5"/>
        <n v="1358099.0"/>
        <n v="355777.4"/>
        <n v="1299820.0"/>
        <n v="399549.8"/>
        <n v="195305.9"/>
        <n v="352202.3"/>
        <n v="139634.3"/>
        <n v="217520.8"/>
        <n v="521203.7"/>
        <n v="447025.1"/>
        <n v="208539.5"/>
        <n v="363427.7"/>
        <n v="658967.3"/>
        <n v="442041.6"/>
        <n v="571730.4"/>
        <n v="678341.3"/>
        <n v="563877.2"/>
        <n v="656406.7"/>
        <n v="365493.8"/>
        <n v="19390.8"/>
        <n v="494749.8"/>
        <n v="693393.6"/>
        <n v="769027.0"/>
        <n v="16390.41"/>
        <n v="145749.0"/>
        <n v="128271.1"/>
        <n v="1335669.0"/>
        <n v="6997.78"/>
        <n v="1422778.0"/>
        <n v="1192748.0"/>
        <n v="1323188.0"/>
        <n v="31436.25"/>
        <n v="12787.46"/>
        <n v="35399.88"/>
        <n v="1441904.0"/>
        <n v="925033.8"/>
        <n v="558258.6"/>
        <n v="92888.34"/>
        <n v="342577.5"/>
        <n v="597288.8"/>
        <n v="69716.92"/>
        <n v="10307.57"/>
        <n v="550800.0"/>
        <n v="1287888.0"/>
        <n v="5873.17"/>
        <n v="324112.9"/>
        <n v="257686.0"/>
        <n v="222326.3"/>
        <n v="78162.14"/>
        <n v="104008.1"/>
        <n v="24492.5"/>
        <n v="110996.8"/>
        <n v="10428.48"/>
        <n v="499430.6"/>
        <n v="154705.1"/>
        <n v="667660.8"/>
        <n v="845293.5"/>
        <n v="55859.22"/>
        <n v="786059.1"/>
        <n v="64003.24"/>
        <n v="111742.5"/>
        <n v="255067.3"/>
        <n v="220500.5"/>
        <n v="437835.0"/>
        <n v="394105.9"/>
        <n v="232856.2"/>
        <n v="381242.1"/>
        <n v="139095.4"/>
        <n v="197648.2"/>
        <n v="1242649.0"/>
        <n v="266657.0"/>
        <n v="49250.7"/>
        <n v="397655.9"/>
        <n v="700940.0"/>
        <n v="65631.06"/>
        <n v="242813.4"/>
        <n v="184718.4"/>
        <n v="348913.4"/>
        <n v="519308.5"/>
        <n v="339071.2"/>
        <n v="510779.9"/>
        <n v="7070.0"/>
        <n v="428155.2"/>
        <n v="617560.9"/>
        <n v="344221.2"/>
        <n v="481813.3"/>
        <n v="151294.0"/>
        <n v="659656.3"/>
        <n v="13327.6"/>
        <n v="436193.8"/>
        <n v="424964.0"/>
        <n v="494876.1"/>
        <n v="327813.2"/>
        <n v="132642.6"/>
        <n v="18000.29"/>
        <n v="660413.8"/>
        <n v="215115.0"/>
        <n v="702527.0"/>
        <n v="113409.7"/>
        <n v="240344.7"/>
        <n v="24821.1"/>
        <n v="407029.7"/>
        <n v="706621.3"/>
        <n v="480356.2"/>
        <n v="841203.8"/>
        <n v="715452.8"/>
        <n v="1524219.0"/>
        <n v="556257.5"/>
        <n v="6463.6"/>
        <n v="781806.8"/>
        <n v="245788.5"/>
        <n v="17465.27"/>
        <n v="471013.8"/>
        <n v="539986.0"/>
        <n v="875105.9"/>
        <n v="299257.0"/>
        <n v="369909.4"/>
        <n v="1289072.0"/>
        <n v="120284.5"/>
        <n v="365897.6"/>
        <n v="200764.7"/>
        <n v="441973.1"/>
        <n v="19446.56"/>
        <n v="489597.5"/>
        <n v="124065.0"/>
        <n v="221078.0"/>
        <n v="648013.5"/>
        <n v="1120343.0"/>
        <n v="52805.52"/>
        <n v="51975.54"/>
        <n v="177053.4"/>
        <n v="259843.1"/>
        <n v="5586.38"/>
        <n v="49718.88"/>
        <n v="77893.76"/>
        <n v="11849.97"/>
        <n v="421879.9"/>
        <n v="78849.37"/>
        <n v="75825.72"/>
        <n v="831861.3"/>
        <n v="123646.0"/>
        <n v="25704.0"/>
        <n v="19562.4"/>
        <n v="773026.0"/>
        <n v="817597.1"/>
        <n v="207760.8"/>
        <n v="392946.2"/>
        <n v="95202.94"/>
        <n v="430732.3"/>
        <n v="936116.1"/>
        <n v="523566.9"/>
        <n v="954861.5"/>
        <n v="58999.88"/>
        <n v="48691.58"/>
        <n v="377691.6"/>
        <n v="471614.0"/>
        <n v="18829.33"/>
        <n v="456559.2"/>
        <n v="241879.1"/>
        <n v="500328.8"/>
        <n v="46735.86"/>
        <n v="9247.14"/>
        <n v="232748.1"/>
        <n v="272502.8"/>
        <n v="194046.3"/>
        <n v="298680.5"/>
        <n v="565076.6"/>
        <n v="110674.1"/>
        <n v="21890.03"/>
        <n v="14602.19"/>
        <n v="1466048.0"/>
        <n v="13906.08"/>
        <n v="562256.6"/>
        <n v="104606.4"/>
        <n v="468803.4"/>
        <n v="479563.2"/>
        <n v="227587.7"/>
        <n v="1073300.0"/>
        <n v="252.5"/>
        <n v="473185.0"/>
        <n v="522579.2"/>
        <n v="435862.8"/>
        <n v="4545.26"/>
        <n v="18925.73"/>
        <n v="6427.47"/>
        <n v="131434.4"/>
        <n v="237780.4"/>
        <n v="484884.4"/>
        <n v="466858.1"/>
        <n v="355009.0"/>
        <n v="19217.34"/>
        <n v="236971.3"/>
        <n v="927157.9"/>
        <n v="102118.9"/>
        <n v="338925.6"/>
        <n v="1032599.0"/>
        <n v="750180.1"/>
        <n v="1452955.0"/>
        <n v="22639.54"/>
        <n v="154268.4"/>
        <n v="508638.4"/>
        <n v="16592.85"/>
        <n v="730644.9"/>
        <n v="71223.98"/>
        <n v="206940.4"/>
        <n v="454373.3"/>
        <n v="1326454.0"/>
        <n v="13577.22"/>
        <n v="113542.0"/>
        <n v="544293.1"/>
        <n v="767898.1"/>
        <n v="259764.5"/>
        <n v="704509.9"/>
        <n v="1015925.0"/>
        <n v="812636.1"/>
        <n v="99438.0"/>
        <n v="108309.3"/>
        <n v="73387.6"/>
        <n v="562443.8"/>
        <n v="637066.1"/>
        <n v="93748.05"/>
        <n v="161561.8"/>
        <n v="1708620.0"/>
        <n v="1696276.0"/>
        <n v="1111899.0"/>
        <n v="1205962.0"/>
        <n v="99935.19"/>
        <n v="8796.5"/>
        <n v="275499.3"/>
        <n v="202033.7"/>
        <n v="185418.9"/>
        <n v="145529.2"/>
        <n v="62455.95"/>
        <n v="80461.08"/>
        <n v="240876.7"/>
        <n v="15978.3"/>
        <n v="41698.8"/>
        <n v="438845.0"/>
        <n v="484541.2"/>
        <n v="362762.4"/>
        <n v="152685.0"/>
        <n v="529597.6"/>
        <n v="381714.5"/>
        <n v="333578.9"/>
        <n v="77209.86"/>
        <n v="81259.74"/>
        <n v="92106.67"/>
        <n v="137338.2"/>
        <n v="151161.9"/>
        <n v="22145.49"/>
        <n v="155722.8"/>
        <n v="266640.0"/>
        <n v="9442.38"/>
        <n v="418681.4"/>
        <n v="618803.3"/>
        <n v="108147.1"/>
        <n v="150625.4"/>
        <n v="4797.5"/>
        <n v="1531273.0"/>
        <n v="1671412.0"/>
        <n v="362492.5"/>
        <n v="1244964.0"/>
        <n v="113863.9"/>
        <n v="68872.68"/>
        <n v="737.46"/>
        <n v="86106.16"/>
        <n v="243786.4"/>
        <n v="36486.25"/>
        <n v="26388.18"/>
        <n v="178521.2"/>
        <n v="885519.9"/>
        <n v="40684.68"/>
        <n v="546411.8"/>
        <n v="107650.4"/>
        <n v="882738.0"/>
        <n v="487494.7"/>
        <n v="389465.5"/>
        <n v="78769.8"/>
        <n v="699662.9"/>
        <n v="740135.1"/>
        <n v="55185.84"/>
        <n v="123353.8"/>
        <n v="652881.9"/>
        <n v="111293.5"/>
        <n v="122007.6"/>
        <n v="950793.0"/>
        <n v="175718.4"/>
        <n v="35532.54"/>
        <n v="578066.2"/>
        <n v="224281.2"/>
        <n v="247431.9"/>
        <n v="609477.9"/>
        <n v="72724.12"/>
        <n v="194039.6"/>
        <n v="788831.9"/>
        <n v="551756.2"/>
        <n v="942672.2"/>
        <n v="222715.3"/>
        <n v="777770.9"/>
        <n v="298541.8"/>
        <n v="112094.3"/>
        <n v="223985.2"/>
        <n v="1303503.0"/>
        <n v="853564.7"/>
        <n v="434875.5"/>
        <n v="777195.0"/>
        <n v="323836.4"/>
        <n v="137385.2"/>
        <n v="655566.0"/>
        <n v="936540.2"/>
        <n v="84602.56"/>
        <n v="116729.6"/>
        <n v="388788.4"/>
        <n v="17703.86"/>
        <n v="678305.4"/>
        <n v="62561.83"/>
        <n v="95964.48"/>
        <n v="827442.5"/>
        <n v="741232.5"/>
        <n v="268668.4"/>
        <n v="51848.64"/>
        <n v="542034.2"/>
        <n v="445107.2"/>
        <n v="222164.8"/>
        <n v="1015922.0"/>
        <n v="21099.55"/>
        <n v="627336.3"/>
        <n v="640380.7"/>
        <n v="864938.8"/>
        <n v="299717.5"/>
        <n v="80173.95"/>
        <n v="881470.5"/>
        <n v="226642.6"/>
        <n v="455814.3"/>
        <n v="717352.5"/>
        <n v="660349.9"/>
        <n v="741285.4"/>
        <n v="210556.6"/>
        <n v="263749.2"/>
        <n v="93131.46"/>
        <n v="453857.3"/>
        <n v="498184.4"/>
        <n v="199678.1"/>
        <n v="369373.6"/>
        <n v="434548.4"/>
        <n v="547397.6"/>
        <n v="91691.6"/>
        <n v="433663.2"/>
        <n v="781450.7"/>
        <n v="905110.1"/>
        <n v="435936.8"/>
        <n v="8929.05"/>
        <n v="386411.7"/>
        <n v="1343739.0"/>
        <n v="120811.7"/>
        <n v="404413.4"/>
        <n v="40245.12"/>
        <n v="1302112.0"/>
        <n v="717361.9"/>
        <n v="479245.0"/>
        <n v="172458.0"/>
        <n v="45398.34"/>
        <n v="986425.0"/>
        <n v="383869.2"/>
        <n v="851430.0"/>
        <n v="151087.7"/>
        <n v="333817.6"/>
        <n v="216092.4"/>
        <n v="517531.7"/>
        <n v="76433.0"/>
        <n v="134998.2"/>
        <n v="267098.2"/>
        <n v="1531014.0"/>
        <n v="806949.5"/>
        <n v="820697.8"/>
        <n v="39239.2"/>
        <n v="493521.6"/>
        <n v="60803.6"/>
        <n v="171371.2"/>
        <n v="80669.82"/>
        <n v="33522.03"/>
        <n v="1095207.0"/>
        <n v="181846.4"/>
        <n v="238308.0"/>
        <n v="32572.5"/>
        <n v="595820.9"/>
        <n v="122604.9"/>
        <n v="21853.88"/>
        <n v="276666.6"/>
        <n v="13958.72"/>
        <n v="161737.2"/>
        <n v="478975.7"/>
        <n v="560171.3"/>
        <n v="10539.18"/>
        <n v="262273.0"/>
        <n v="11750.4"/>
        <n v="1576755.0"/>
        <n v="518040.3"/>
        <n v="686168.8"/>
        <n v="302816.8"/>
        <n v="324682.4"/>
        <n v="696902.2"/>
        <n v="1715401.0"/>
        <n v="1258471.0"/>
        <n v="121473.4"/>
        <n v="705831.8"/>
        <n v="84594.2"/>
        <n v="124905.6"/>
        <n v="1062.81"/>
        <n v="4166.89"/>
        <n v="898907.9"/>
        <n v="6752.82"/>
        <n v="466115.0"/>
        <n v="1481129.0"/>
        <n v="639290.3"/>
        <n v="624382.3"/>
        <n v="1204360.0"/>
        <n v="826685.0"/>
        <n v="17977.68"/>
        <n v="1550073.0"/>
        <n v="1126504.0"/>
        <n v="564850.0"/>
        <n v="9449.61"/>
        <n v="317480.8"/>
        <n v="588326.2"/>
        <n v="266976.8"/>
        <n v="52161.0"/>
        <n v="22629.9"/>
        <n v="507962.5"/>
        <n v="77109.84"/>
        <n v="308673.7"/>
        <n v="1283910.0"/>
        <n v="2564.24"/>
        <n v="1205189.0"/>
        <n v="293207.2"/>
        <n v="397530.7"/>
        <n v="328083.0"/>
        <n v="1091332.0"/>
        <n v="529997.5"/>
        <n v="565561.4"/>
        <n v="167349.9"/>
        <n v="19701.75"/>
        <n v="596773.4"/>
        <n v="155394.2"/>
        <n v="963666.3"/>
        <n v="420820.4"/>
        <n v="163183.7"/>
        <n v="933113.8"/>
        <n v="837930.9"/>
        <n v="693273.6"/>
        <n v="298148.3"/>
        <n v="684148.8"/>
        <n v="59049.76"/>
        <n v="1693494.0"/>
        <n v="159364.8"/>
        <n v="22456.38"/>
        <n v="241202.5"/>
        <n v="341932.6"/>
        <n v="766037.7"/>
        <n v="389884.6"/>
        <n v="423108.4"/>
        <n v="787042.5"/>
        <n v="627116.1"/>
        <n v="1039916.0"/>
        <n v="1607254.0"/>
        <n v="506139.4"/>
        <n v="29270.08"/>
        <n v="1552890.0"/>
        <n v="79053.21"/>
        <n v="146264.4"/>
        <n v="18887.17"/>
        <n v="544783.2"/>
        <n v="15450.51"/>
        <n v="23051.6"/>
        <n v="165043.2"/>
        <n v="44223.84"/>
        <n v="208718.0"/>
        <n v="39018.42"/>
        <n v="540140.3"/>
        <n v="337043.8"/>
        <n v="207464.4"/>
        <n v="512236.8"/>
        <n v="7786.71"/>
        <n v="415615.2"/>
        <n v="917149.8"/>
        <n v="477145.7"/>
        <n v="115032.0"/>
        <n v="536936.4"/>
        <n v="186979.7"/>
        <n v="136007.1"/>
        <n v="428658.4"/>
        <n v="12515.13"/>
        <n v="436587.6"/>
        <n v="578117.8"/>
        <n v="129461.2"/>
        <n v="958216.6"/>
        <n v="128490.3"/>
        <n v="72317.88"/>
        <n v="200229.4"/>
        <n v="142615.6"/>
        <n v="13944.26"/>
        <n v="450564.4"/>
        <n v="35344.62"/>
        <n v="18894.4"/>
        <n v="71583.75"/>
        <n v="1462768.0"/>
        <n v="15378.21"/>
        <n v="262022.1"/>
        <n v="1302804.0"/>
        <n v="147528.5"/>
        <n v="940020.6"/>
        <n v="519657.1"/>
        <n v="517958.7"/>
        <n v="162117.8"/>
        <n v="136451.7"/>
        <n v="269855.2"/>
        <n v="214555.6"/>
        <n v="16419.33"/>
        <n v="96914.46"/>
        <n v="502114.7"/>
        <n v="124324.7"/>
        <n v="1666544.0"/>
        <n v="484964.7"/>
        <n v="292844.9"/>
        <n v="210654.4"/>
        <n v="1077646.0"/>
        <n v="867473.3"/>
        <n v="1003435.0"/>
        <n v="112283.6"/>
        <n v="13481.54"/>
        <n v="584032.5"/>
        <n v="47037.62"/>
        <n v="276992.5"/>
        <n v="470886.7"/>
        <n v="24774.12"/>
        <n v="695006.3"/>
        <n v="211179.6"/>
        <n v="292101.6"/>
        <n v="438583.7"/>
        <n v="397435.6"/>
        <n v="1210160.0"/>
        <n v="196794.7"/>
        <n v="7490.28"/>
        <n v="77986.72"/>
        <n v="160388.8"/>
        <n v="1398595.0"/>
        <n v="474988.8"/>
        <n v="974018.8"/>
        <n v="221717.9"/>
        <n v="25102.98"/>
        <n v="378866.9"/>
        <n v="239928.5"/>
        <n v="460175.0"/>
        <n v="1387492.0"/>
        <n v="520402.5"/>
        <n v="280221.5"/>
        <n v="277534.4"/>
        <n v="9784.6"/>
        <n v="677962.5"/>
        <n v="622110.2"/>
        <n v="321331.7"/>
        <n v="219402.1"/>
        <n v="1030354.0"/>
        <n v="642453.1"/>
        <n v="131159.6"/>
        <n v="86256.52"/>
        <n v="60929.7"/>
        <n v="212816.9"/>
        <n v="4277.75"/>
        <n v="121521.6"/>
        <n v="155798.0"/>
        <n v="107459.7"/>
        <n v="123899.6"/>
        <n v="482941.4"/>
        <n v="221993.6"/>
        <n v="845581.1"/>
        <n v="367092.0"/>
        <n v="946117.5"/>
        <n v="284684.4"/>
        <n v="175695.7"/>
        <n v="74578.56"/>
        <n v="67087.44"/>
        <n v="536364.4"/>
        <n v="218748.7"/>
        <n v="542743.0"/>
        <n v="285072.5"/>
        <n v="140000.5"/>
        <n v="1614731.0"/>
        <n v="203712.7"/>
        <n v="596033.5"/>
        <n v="539103.8"/>
        <n v="228628.4"/>
        <n v="546995.0"/>
        <n v="7249.28"/>
        <n v="783559.6"/>
        <n v="34140.38"/>
        <n v="567773.3"/>
        <n v="567324.0"/>
        <n v="583527.5"/>
        <n v="164799.4"/>
        <n v="96653.52"/>
        <n v="42752.36"/>
        <n v="145999.6"/>
        <n v="315511.1"/>
        <n v="34131.66"/>
        <n v="427516.4"/>
        <n v="408855.9"/>
        <n v="381275.0"/>
        <n v="958250.9"/>
        <n v="491857.7"/>
        <n v="472149.3"/>
        <n v="98156.88"/>
        <n v="1155470.0"/>
        <n v="153930.2"/>
        <n v="453492.0"/>
        <n v="128937.9"/>
        <n v="841870.8"/>
        <n v="218777.8"/>
        <n v="342666.1"/>
        <n v="136818.7"/>
        <n v="832640.0"/>
        <n v="7454.13"/>
        <n v="973000.8"/>
        <n v="276562.0"/>
        <n v="722282.4"/>
        <n v="443357.2"/>
        <n v="1241981.0"/>
        <n v="443570.1"/>
        <n v="472586.4"/>
        <n v="166341.6"/>
        <n v="9765.32"/>
        <n v="564753.6"/>
        <n v="530758.8"/>
        <n v="172484.7"/>
        <n v="1358820.0"/>
        <n v="785956.1"/>
        <n v="116345.4"/>
        <n v="7760.2"/>
        <n v="163448.6"/>
        <n v="29589.06"/>
        <n v="19441.47"/>
        <n v="618776.3"/>
        <n v="685047.8"/>
        <n v="173348.4"/>
        <n v="647536.3"/>
        <n v="370825.6"/>
        <n v="23613.18"/>
        <n v="13255.0"/>
        <n v="1426935.0"/>
        <n v="857237.5"/>
        <n v="270556.0"/>
        <n v="672416.6"/>
        <n v="664531.1"/>
        <n v="284968.8"/>
        <n v="358789.5"/>
        <n v="401308.9"/>
        <n v="1056782.0"/>
        <n v="249449.2"/>
        <n v="7396.29"/>
        <n v="129735.6"/>
        <n v="37991.46"/>
        <n v="157306.3"/>
        <n v="17113.41"/>
        <n v="1031084.0"/>
        <n v="374836.3"/>
        <n v="290015.2"/>
        <n v="3511.37"/>
        <n v="196823.8"/>
        <n v="1430950.0"/>
        <n v="864106.9"/>
        <n v="82997.2"/>
        <n v="36778.38"/>
        <n v="4299.44"/>
        <n v="116182.3"/>
        <n v="5769.54"/>
        <n v="12574.98"/>
        <n v="857371.8"/>
        <n v="3263.14"/>
        <n v="1590842.0"/>
        <n v="401364.1"/>
        <n v="634153.8"/>
        <n v="86004.72"/>
        <n v="803210.9"/>
        <n v="298197.1"/>
        <n v="83514.78"/>
        <n v="564382.2"/>
        <n v="510933.8"/>
        <n v="87282.74"/>
        <n v="129961.2"/>
        <n v="1161602.0"/>
        <n v="4612.74"/>
        <n v="754801.6"/>
        <n v="726688.8"/>
        <n v="444013.1"/>
        <n v="182762.6"/>
        <n v="71070.16"/>
        <n v="119586.3"/>
        <n v="455511.5"/>
        <n v="911017.8"/>
        <n v="62101.59"/>
        <n v="323920.0"/>
        <n v="359910.9"/>
        <n v="134982.7"/>
        <n v="373959.5"/>
        <n v="1092251.0"/>
        <n v="110540.6"/>
        <n v="144313.1"/>
        <n v="100067.4"/>
        <n v="8531.4"/>
        <n v="149578.0"/>
        <n v="2850.12"/>
        <n v="801967.5"/>
        <n v="550076.6"/>
        <n v="177332.2"/>
        <n v="1293593.0"/>
        <n v="962530.0"/>
        <n v="229198.8"/>
        <n v="120889.4"/>
        <n v="698194.1"/>
        <n v="279835.5"/>
        <n v="481752.4"/>
        <n v="1052717.0"/>
        <n v="565193.2"/>
        <n v="525705.0"/>
        <n v="1369924.0"/>
        <n v="315091.8"/>
        <n v="420763.2"/>
        <n v="35069.04"/>
        <n v="4964.22"/>
        <n v="498318.8"/>
        <n v="6779.33"/>
        <n v="4185.02"/>
        <n v="165750.8"/>
        <n v="768784.0"/>
        <n v="114713.3"/>
        <n v="126376.2"/>
        <n v="120808.8"/>
        <n v="18699.19"/>
        <n v="1125898.0"/>
        <n v="925720.0"/>
        <n v="24194.7"/>
        <n v="600739.2"/>
        <n v="12120.96"/>
        <n v="23102.26"/>
        <n v="1012651.0"/>
        <n v="289705.6"/>
        <n v="51187.68"/>
        <n v="892648.6"/>
        <n v="159958.0"/>
        <n v="315351.4"/>
        <n v="89966.7"/>
        <n v="531990.7"/>
        <n v="111311.2"/>
        <n v="101261.0"/>
        <n v="62213.14"/>
        <n v="805903.2"/>
        <n v="501.2"/>
        <n v="699075.4"/>
        <n v="1740.02"/>
        <n v="92691.54"/>
        <n v="799036.3"/>
        <n v="19982.16"/>
        <n v="255424.0"/>
        <n v="821357.9"/>
        <n v="1053214.0"/>
        <n v="1325411.0"/>
        <n v="9428.94"/>
        <n v="5885.22"/>
        <n v="270682.3"/>
        <n v="320447.9"/>
        <n v="182204.6"/>
        <n v="611543.7"/>
        <n v="1269773.0"/>
        <n v="1129685.0"/>
        <n v="793733.8"/>
        <n v="253340.7"/>
        <n v="649870.6"/>
        <n v="250942.1"/>
        <n v="611536.8"/>
        <n v="550746.1"/>
        <n v="466071.3"/>
        <n v="528547.7"/>
        <n v="531549.6"/>
        <n v="49078.44"/>
        <n v="10194.66"/>
        <n v="138822.9"/>
        <n v="940482.5"/>
        <n v="6159.96"/>
        <n v="84474.48"/>
        <n v="268476.7"/>
        <n v="150421.9"/>
        <n v="381676.2"/>
        <n v="269845.9"/>
        <n v="65650.0"/>
        <n v="233896.7"/>
        <n v="485280.3"/>
        <n v="245913.8"/>
        <n v="563706.3"/>
        <n v="772056.4"/>
        <n v="229944.0"/>
        <n v="575769.6"/>
        <n v="193253.8"/>
        <n v="59882.04"/>
        <n v="15944.56"/>
        <n v="121638.8"/>
        <n v="535658.1"/>
        <n v="19557.15"/>
        <n v="75441.82"/>
        <n v="788544.4"/>
        <n v="674619.8"/>
        <n v="10731.73"/>
        <n v="101733.3"/>
        <n v="69269.2"/>
        <n v="595252.8"/>
        <n v="941158.3"/>
        <n v="489173.6"/>
        <n v="370255.6"/>
        <n v="571786.3"/>
        <n v="15197.46"/>
        <n v="431239.7"/>
        <n v="22475.66"/>
        <n v="1703404.0"/>
        <n v="405541.3"/>
        <n v="22815.47"/>
        <n v="79584.12"/>
        <n v="40098.24"/>
        <n v="1515767.0"/>
        <n v="66112.86"/>
        <n v="664852.3"/>
        <n v="119490.8"/>
        <n v="98212.4"/>
        <n v="364936.0"/>
        <n v="628074.7"/>
        <n v="556956.4"/>
        <n v="13187.52"/>
        <n v="53696.52"/>
        <n v="45273.06"/>
        <n v="779946.4"/>
        <n v="13794.84"/>
        <n v="477162.4"/>
        <n v="84777.98"/>
        <n v="581002.5"/>
        <n v="571657.0"/>
        <n v="999404.8"/>
        <n v="210917.3"/>
        <n v="179413.9"/>
        <n v="384160.4"/>
        <n v="752788.6"/>
        <n v="509837.9"/>
        <n v="482376.3"/>
        <n v="473266.6"/>
        <n v="883330.9"/>
        <n v="160016.3"/>
        <n v="13271.87"/>
        <n v="124434.4"/>
        <n v="1228556.0"/>
        <n v="277286.7"/>
        <n v="74604.42"/>
        <n v="23231.84"/>
        <n v="526463.1"/>
        <n v="9818.34"/>
        <n v="1188.13"/>
        <n v="2800.42"/>
        <n v="601060.7"/>
        <n v="59831.2"/>
        <n v="454353.6"/>
        <n v="88306.74"/>
        <n v="75371.58"/>
        <n v="1626902.0"/>
        <n v="248194.2"/>
        <n v="228396.8"/>
        <n v="368280.1"/>
        <n v="545652.5"/>
        <n v="12528.0"/>
        <n v="394508.4"/>
        <n v="27272.16"/>
        <n v="71614.4"/>
        <n v="598070.5"/>
        <n v="315938.9"/>
        <n v="101714.4"/>
        <n v="312312.0"/>
        <n v="147049.2"/>
        <n v="1100613.0"/>
        <n v="843269.5"/>
        <n v="124561.3"/>
        <n v="347218.4"/>
        <n v="1164909.0"/>
        <n v="338559.6"/>
        <n v="174417.6"/>
        <n v="216060.5"/>
        <n v="17764.11"/>
        <n v="50230.53"/>
        <n v="467413.4"/>
        <n v="151573.1"/>
        <n v="403274.4"/>
        <n v="330141.8"/>
        <n v="83331.6"/>
        <n v="117810.2"/>
        <n v="24868.08"/>
        <n v="4521.48"/>
        <n v="117871.2"/>
        <n v="27953.1"/>
        <n v="19966.85"/>
        <n v="90765.36"/>
        <n v="26112.52"/>
        <n v="18747.39"/>
        <n v="44882.46"/>
        <n v="14211.77"/>
        <n v="77438.7"/>
        <n v="78125.9"/>
        <n v="711185.3"/>
        <n v="13732.18"/>
        <n v="826888.4"/>
        <n v="355097.6"/>
        <n v="26467.2"/>
        <n v="48888.6"/>
        <n v="655300.2"/>
        <n v="145152.5"/>
        <n v="1093468.0"/>
        <n v="311430.7"/>
        <n v="414764.1"/>
        <n v="670513.8"/>
        <n v="19695.0"/>
        <n v="100584.2"/>
        <n v="129341.4"/>
        <n v="609015.1"/>
        <n v="1225573.0"/>
        <n v="1028559.0"/>
        <n v="931220.0"/>
        <n v="418402.3"/>
        <n v="7996.38"/>
        <n v="1016588.0"/>
        <n v="1596643.0"/>
        <n v="394048.3"/>
        <n v="7803.58"/>
        <n v="418240.8"/>
        <n v="339727.8"/>
        <n v="349677.1"/>
        <n v="38617.56"/>
        <n v="205523.8"/>
        <n v="110740.1"/>
        <n v="340379.2"/>
        <n v="361332.4"/>
        <n v="19847.52"/>
        <n v="556087.7"/>
        <n v="122130.7"/>
        <n v="243.41"/>
        <n v="510554.9"/>
        <n v="208399.0"/>
        <n v="924402.5"/>
        <n v="576503.2"/>
        <n v="983939.0"/>
        <n v="247702.5"/>
        <n v="132514.9"/>
        <n v="136586.5"/>
        <n v="76683.6"/>
        <n v="482780.0"/>
        <n v="9898.7"/>
        <n v="264072.8"/>
        <n v="601931.4"/>
        <n v="508060.0"/>
        <n v="482424.8"/>
        <n v="45711.06"/>
        <n v="7148.06"/>
        <n v="189902.2"/>
        <n v="756527.1"/>
        <n v="227141.2"/>
        <n v="804843.8"/>
        <n v="134101.4"/>
        <n v="9832.8"/>
        <n v="223610.4"/>
        <n v="524581.2"/>
        <n v="1603272.0"/>
        <n v="291890.0"/>
        <n v="62877.48"/>
        <n v="489624.5"/>
        <n v="126822.0"/>
        <n v="123714.0"/>
        <n v="527517.6"/>
        <n v="725907.3"/>
        <n v="633396.3"/>
        <n v="452170.1"/>
        <n v="1285402.0"/>
        <n v="16889.28"/>
        <n v="172919.0"/>
        <n v="225387.4"/>
        <n v="45821.08"/>
        <n v="174522.3"/>
        <n v="48240.5"/>
        <n v="426316.9"/>
        <n v="726909.1"/>
        <n v="171209.9"/>
        <n v="5847.46"/>
        <n v="683139.1"/>
        <n v="14534.8"/>
        <n v="191599.6"/>
        <n v="350850.4"/>
        <n v="122711.8"/>
        <n v="432561.6"/>
        <n v="53290.98"/>
        <n v="66352.0"/>
        <n v="384877.2"/>
        <n v="11134.26"/>
        <n v="509107.6"/>
        <n v="183820.0"/>
        <n v="550886.5"/>
        <n v="488574.7"/>
        <n v="361177.9"/>
        <n v="640920.0"/>
        <n v="124696.0"/>
        <n v="187899.9"/>
        <n v="318268.1"/>
        <n v="272952.5"/>
        <n v="222031.6"/>
        <n v="5148.0"/>
        <n v="448664.9"/>
        <n v="176282.6"/>
        <n v="20913.98"/>
        <n v="522415.2"/>
        <n v="267418.7"/>
        <n v="127906.2"/>
        <n v="397254.0"/>
        <n v="5813.92"/>
        <n v="5952.7"/>
        <n v="176172.3"/>
        <n v="494881.5"/>
        <n v="1461725.0"/>
        <n v="1238476.0"/>
        <n v="153454.6"/>
        <n v="190.39"/>
        <n v="508063.7"/>
        <n v="442758.8"/>
        <n v="674105.8"/>
        <n v="533940.2"/>
        <n v="188676.7"/>
        <n v="614283.1"/>
        <n v="424467.7"/>
        <n v="48105.06"/>
        <n v="501774.0"/>
        <n v="343021.3"/>
        <n v="230424.5"/>
        <n v="24182.9"/>
        <n v="552345.3"/>
        <n v="453051.4"/>
        <n v="148292.4"/>
        <n v="109645.9"/>
        <n v="161647.2"/>
        <n v="452409.7"/>
        <n v="21947.87"/>
        <n v="18458.19"/>
        <n v="353906.8"/>
        <n v="702462.1"/>
        <n v="830055.4"/>
        <n v="519032.8"/>
        <n v="357315.8"/>
        <n v="508196.5"/>
        <n v="598609.4"/>
        <n v="23042.01"/>
        <n v="166452.0"/>
        <n v="82439.6"/>
        <n v="7478.23"/>
        <n v="225724.3"/>
        <n v="727886.2"/>
        <n v="188127.4"/>
        <n v="77391.72"/>
        <n v="7321.6"/>
        <n v="479892.0"/>
        <n v="243583.2"/>
        <n v="140642.5"/>
        <n v="86071.68"/>
        <n v="20326.68"/>
        <n v="100145.7"/>
        <n v="67165.0"/>
        <n v="720152.6"/>
        <n v="927558.8"/>
        <n v="1378376.0"/>
        <n v="360443.5"/>
        <n v="98629.92"/>
        <n v="489532.9"/>
        <n v="12496.68"/>
        <n v="657426.4"/>
        <n v="17147.7"/>
        <n v="75819.13"/>
        <n v="877119.0"/>
        <n v="552343.8"/>
        <n v="23210.71"/>
        <n v="769492.7"/>
        <n v="203186.5"/>
        <n v="162789.8"/>
        <n v="237543.7"/>
        <n v="595773.8"/>
        <n v="1201094.0"/>
        <n v="69391.14"/>
        <n v="444899.5"/>
        <n v="445281.1"/>
        <n v="844394.4"/>
        <n v="1410031.0"/>
        <n v="258110.3"/>
        <n v="188576.5"/>
        <n v="19234.21"/>
        <n v="865136.5"/>
        <n v="114754.2"/>
        <n v="271399.1"/>
        <n v="77959.2"/>
        <n v="531053.3"/>
        <n v="145747.6"/>
        <n v="159.06"/>
        <n v="520691.6"/>
        <n v="356116.3"/>
        <n v="374676.6"/>
        <n v="129508.2"/>
        <n v="1319874.0"/>
        <n v="173759.0"/>
        <n v="146751.4"/>
        <n v="842400.2"/>
        <n v="152958.4"/>
        <n v="323162.5"/>
        <n v="68637.78"/>
        <n v="887432.5"/>
        <n v="783755.7"/>
        <n v="581553.6"/>
        <n v="390618.8"/>
        <n v="757899.3"/>
        <n v="82379.16"/>
        <n v="549084.1"/>
        <n v="213160.4"/>
        <n v="500242.1"/>
        <n v="1048262.0"/>
        <n v="464232.9"/>
        <n v="270327.2"/>
        <n v="61205.4"/>
        <n v="490078.2"/>
        <n v="152094.8"/>
        <n v="1935.23"/>
        <n v="817685.7"/>
        <n v="50345.54"/>
        <n v="910731.1"/>
        <n v="4933.27"/>
        <n v="673018.2"/>
        <n v="361447.2"/>
        <n v="994710.3"/>
        <n v="94551.38"/>
        <n v="3670.43"/>
        <n v="822912.5"/>
        <n v="147485.9"/>
        <n v="32377.52"/>
        <n v="1047579.0"/>
        <n v="162497.6"/>
        <n v="94036.8"/>
        <n v="626060.2"/>
        <n v="417674.4"/>
        <n v="20992.4"/>
        <n v="18581.1"/>
        <n v="862395.2"/>
        <n v="1700449.0"/>
        <n v="16537.42"/>
        <n v="184844.6"/>
        <n v="4181.35"/>
        <n v="665953.9"/>
        <n v="442956.8"/>
        <n v="250386.3"/>
        <n v="306192.4"/>
        <n v="27284.4"/>
        <n v="20065.66"/>
        <n v="130931.6"/>
        <n v="300273.5"/>
        <n v="233534.1"/>
        <n v="216148.8"/>
        <n v="486613.4"/>
        <n v="351571.0"/>
        <n v="2190.69"/>
        <n v="1242174.0"/>
        <n v="99808.53"/>
        <n v="396426.2"/>
        <n v="88066.35"/>
        <n v="142168.8"/>
        <n v="474043.2"/>
        <n v="451722.5"/>
        <n v="646347.0"/>
        <n v="378647.0"/>
        <n v="1032829.0"/>
        <n v="918381.3"/>
        <n v="442167.6"/>
        <n v="49819.28"/>
        <n v="641872.3"/>
        <n v="56227.6"/>
        <n v="75455.66"/>
        <n v="421912.8"/>
        <n v="342799.6"/>
        <n v="6014.4"/>
        <n v="634393.0"/>
        <n v="355043.1"/>
        <n v="926966.2"/>
        <n v="415901.2"/>
        <n v="189240.5"/>
        <n v="655237.5"/>
        <n v="103543.9"/>
        <n v="629111.1"/>
        <n v="23791.52"/>
        <n v="159832.7"/>
        <n v="177716.2"/>
        <n v="102559.6"/>
        <n v="890467.3"/>
        <n v="270322.7"/>
        <n v="76718.94"/>
        <n v="70595.28"/>
        <n v="835270.0"/>
        <n v="13580.35"/>
        <n v="112320.2"/>
        <n v="551549.4"/>
        <n v="144120.1"/>
        <n v="181432.3"/>
        <n v="705796.5"/>
        <n v="249121.5"/>
        <n v="14970.92"/>
        <n v="51476.82"/>
        <n v="497582.8"/>
        <n v="201229.6"/>
        <n v="562962.4"/>
        <n v="846034.5"/>
        <n v="164243.2"/>
        <n v="102674.0"/>
        <n v="129179.3"/>
        <n v="14264.79"/>
        <n v="391362.4"/>
        <n v="6242.4"/>
        <n v="105642.4"/>
        <n v="77626.62"/>
        <n v="278964.4"/>
        <n v="92696.94"/>
        <n v="16213.82"/>
        <n v="343393.3"/>
        <n v="93505.86"/>
        <n v="704290.5"/>
        <n v="914903.9"/>
        <n v="144378.3"/>
        <n v="399219.8"/>
        <n v="1350865.0"/>
        <n v="92487.96"/>
        <n v="30197.3"/>
        <n v="1083983.0"/>
        <n v="606931.8"/>
        <n v="756335.4"/>
        <n v="358080.8"/>
        <n v="70169.52"/>
        <n v="437694.4"/>
        <n v="1081554.0"/>
        <n v="541196.3"/>
        <n v="396291.2"/>
        <n v="1317413.0"/>
        <n v="1239345.0"/>
        <n v="149980.8"/>
        <n v="289157.8"/>
        <n v="345314.9"/>
        <n v="829975.8"/>
        <n v="525496.4"/>
        <n v="66946.5"/>
        <n v="547798.8"/>
        <n v="691597.5"/>
        <n v="103777.5"/>
        <n v="138631.9"/>
        <n v="113697.1"/>
        <n v="96506.06"/>
        <n v="486914.7"/>
        <n v="176256.0"/>
        <n v="311110.8"/>
        <n v="48505.6"/>
        <n v="4671.25"/>
        <n v="79842.72"/>
        <n v="13389.96"/>
        <n v="23772.24"/>
        <n v="61214.94"/>
        <n v="66695.94"/>
        <n v="1653851.0"/>
        <n v="82966.68"/>
        <n v="22359.98"/>
        <n v="544385.6"/>
        <n v="165463.7"/>
        <n v="38570.58"/>
        <n v="400569.4"/>
        <n v="34078.52"/>
        <n v="842340.0"/>
        <n v="462624.6"/>
        <n v="1250930.0"/>
        <n v="81094.16"/>
        <n v="187674.3"/>
        <n v="516937.5"/>
        <n v="24078.31"/>
        <n v="1237837.0"/>
        <n v="30834.54"/>
        <n v="37715.76"/>
        <n v="44427.42"/>
        <n v="73335.78"/>
        <n v="783806.0"/>
        <n v="676030.3"/>
        <n v="123848.8"/>
        <n v="10868.0"/>
        <n v="26451.47"/>
        <n v="304758.8"/>
        <n v="15456.42"/>
        <n v="1541952.0"/>
        <n v="276472.0"/>
        <n v="23340.85"/>
        <n v="173315.0"/>
        <n v="1215795.0"/>
        <n v="264824.6"/>
        <n v="135775.1"/>
        <n v="283958.7"/>
        <n v="240525.9"/>
        <n v="190132.5"/>
        <n v="1141931.0"/>
        <n v="77416.56"/>
        <n v="63078.48"/>
        <n v="209965.0"/>
        <n v="562698.2"/>
        <n v="1018459.0"/>
        <n v="162514.1"/>
        <n v="459870.7"/>
        <n v="18055.18"/>
        <n v="359635.7"/>
        <n v="104926.2"/>
        <n v="838.68"/>
        <n v="190556.2"/>
        <n v="691054.7"/>
        <n v="425807.6"/>
        <n v="229982.6"/>
        <n v="277995.4"/>
        <n v="756.74"/>
        <n v="164970.0"/>
        <n v="64137.51"/>
        <n v="34436.34"/>
        <n v="149161.5"/>
        <n v="29754.0"/>
        <n v="743991.3"/>
        <n v="6376.13"/>
        <n v="13642.86"/>
        <n v="93072.84"/>
        <n v="301836.4"/>
        <n v="357148.2"/>
        <n v="665753.9"/>
        <n v="183890.3"/>
        <n v="393516.8"/>
        <n v="352285.5"/>
        <n v="663255.3"/>
        <n v="510216.7"/>
        <n v="463834.8"/>
        <n v="249923.4"/>
        <n v="325834.0"/>
        <n v="19747.26"/>
        <n v="311053.4"/>
        <n v="467151.8"/>
        <n v="514923.1"/>
        <n v="54806.22"/>
        <n v="50125.22"/>
        <n v="204289.1"/>
        <n v="28452.24"/>
        <n v="154645.3"/>
        <n v="27524.68"/>
        <n v="1585.78"/>
        <n v="67215.66"/>
        <n v="755406.9"/>
        <n v="14527.48"/>
        <n v="1598387.0"/>
        <n v="50518.22"/>
        <n v="576710.0"/>
        <n v="181877.5"/>
        <n v="1144709.0"/>
        <n v="473942.5"/>
        <n v="1591671.0"/>
        <n v="347933.4"/>
        <n v="392163.6"/>
        <n v="792880.5"/>
        <n v="155868.4"/>
        <n v="64002.42"/>
        <n v="50331.24"/>
        <n v="759019.5"/>
        <n v="64848.06"/>
        <n v="563820.4"/>
        <n v="1779.26"/>
        <n v="104046.8"/>
        <n v="878940.3"/>
        <n v="1037523.0"/>
        <n v="132383.6"/>
        <n v="329020.4"/>
        <n v="127585.7"/>
        <n v="329158.1"/>
        <n v="263348.8"/>
        <n v="13676.75"/>
        <n v="709694.5"/>
        <n v="218409.5"/>
        <n v="6998.64"/>
        <n v="97921.98"/>
        <n v="406038.5"/>
        <n v="144456.5"/>
        <n v="127428.5"/>
        <n v="524391.9"/>
        <n v="57672.09"/>
        <n v="280100.2"/>
        <n v="1027170.0"/>
        <n v="113040.8"/>
        <n v="1313742.0"/>
        <n v="837010.2"/>
        <n v="359272.8"/>
        <n v="99347.04"/>
        <n v="1589516.0"/>
        <n v="24805.2"/>
        <n v="21297.6"/>
        <n v="55342.44"/>
        <n v="2299.14"/>
        <n v="405609.1"/>
        <n v="532146.2"/>
        <n v="515077.7"/>
        <n v="1214635.0"/>
        <n v="739320.0"/>
        <n v="137259.4"/>
        <n v="349045.8"/>
        <n v="386219.9"/>
        <n v="416153.0"/>
        <n v="148362.8"/>
        <n v="166741.3"/>
        <n v="1055037.0"/>
        <n v="504482.1"/>
        <n v="678215.0"/>
        <n v="864727.0"/>
        <n v="532266.4"/>
        <n v="13106.38"/>
        <n v="278907.2"/>
        <n v="1259862.0"/>
        <n v="230602.1"/>
        <n v="548303.8"/>
        <n v="208202.7"/>
        <n v="640984.3"/>
        <n v="20580.38"/>
        <n v="619684.1"/>
        <n v="1034700.0"/>
        <n v="912491.3"/>
        <n v="1449554.0"/>
        <n v="128928.8"/>
        <n v="19636.68"/>
        <n v="11886.12"/>
        <n v="539635.2"/>
        <n v="16795.29"/>
        <n v="286783.1"/>
        <n v="6991.74"/>
        <n v="555547.9"/>
        <n v="681156.0"/>
        <n v="214565.0"/>
        <n v="2103.93"/>
        <n v="170884.1"/>
        <n v="779633.1"/>
        <n v="890909.9"/>
        <n v="255656.3"/>
        <n v="487599.4"/>
        <n v="580837.0"/>
        <n v="544180.6"/>
        <n v="517602.8"/>
        <n v="421159.3"/>
        <n v="356991.8"/>
        <n v="128756.5"/>
        <n v="415100.4"/>
        <n v="133658.1"/>
        <n v="41223.89"/>
        <n v="885938.1"/>
        <n v="144089.3"/>
        <n v="257480.6"/>
        <n v="32973.72"/>
        <n v="385594.0"/>
        <n v="1070095.0"/>
        <n v="992956.3"/>
        <n v="568.17"/>
        <n v="1124810.0"/>
        <n v="116400.5"/>
        <n v="16686.84"/>
        <n v="371812.2"/>
        <n v="652644.7"/>
        <n v="784230.7"/>
        <n v="378401.2"/>
        <n v="535089.9"/>
        <n v="332832.6"/>
        <n v="126070.6"/>
        <n v="6091.74"/>
        <n v="19660.78"/>
        <n v="270715.6"/>
        <n v="850469.9"/>
        <n v="13067.02"/>
        <n v="1487458.0"/>
        <n v="460755.5"/>
        <n v="716170.5"/>
        <n v="160484.2"/>
        <n v="865698.7"/>
        <n v="408420.6"/>
        <n v="530303.5"/>
        <n v="766214.9"/>
        <n v="68764.64"/>
        <n v="753333.8"/>
        <n v="93655.22"/>
        <n v="715882.5"/>
        <n v="179479.7"/>
        <n v="21244.15"/>
        <n v="558818.2"/>
        <n v="467552.8"/>
        <n v="223795.9"/>
        <n v="342309.1"/>
        <n v="840582.6"/>
        <n v="95212.8"/>
        <n v="1253081.0"/>
        <n v="218177.3"/>
        <n v="102781.0"/>
        <n v="410218.7"/>
        <n v="8333.78"/>
        <n v="562889.9"/>
        <n v="490911.4"/>
        <n v="454472.3"/>
        <n v="559025.3"/>
        <n v="840692.2"/>
        <n v="82710.0"/>
        <n v="14754.02"/>
        <n v="78018.12"/>
        <n v="1236512.0"/>
        <n v="864133.9"/>
        <n v="13765.14"/>
        <n v="1261948.0"/>
        <n v="409551.6"/>
        <n v="914887.8"/>
        <n v="107277.8"/>
        <n v="575580.3"/>
        <n v="956759.3"/>
        <n v="211850.6"/>
        <n v="1575595.0"/>
        <n v="81166.8"/>
        <n v="649056.7"/>
        <n v="1169580.0"/>
        <n v="210258.7"/>
        <n v="470677.0"/>
        <n v="210248.8"/>
        <n v="379916.3"/>
        <n v="150284.8"/>
        <n v="275767.2"/>
        <n v="20796.48"/>
        <n v="1353404.0"/>
        <n v="532901.3"/>
        <n v="1453286.0"/>
        <n v="90948.0"/>
        <n v="154642.5"/>
        <n v="359560.0"/>
        <n v="1120998.0"/>
        <n v="949972.6"/>
        <n v="728727.7"/>
        <n v="112595.4"/>
        <n v="270465.3"/>
        <n v="91634.4"/>
        <n v="359216.0"/>
        <n v="245401.6"/>
        <n v="4766.98"/>
        <n v="89596.8"/>
        <n v="409418.1"/>
        <n v="129327.8"/>
        <n v="363277.2"/>
        <n v="426452.8"/>
        <n v="731795.2"/>
        <n v="274846.0"/>
        <n v="4166.25"/>
        <n v="100638.2"/>
        <n v="1005203.0"/>
        <n v="422822.4"/>
        <n v="20089.76"/>
        <n v="1116523.0"/>
        <n v="1371.29"/>
        <n v="463483.1"/>
        <n v="15843.34"/>
        <n v="11979.9"/>
        <n v="216779.7"/>
        <n v="1453.48"/>
        <n v="959411.0"/>
        <n v="487956.3"/>
        <n v="490788.6"/>
        <n v="517751.3"/>
        <n v="247216.9"/>
        <n v="900646.6"/>
        <n v="1638899.0"/>
        <n v="1224745.0"/>
        <n v="1388.86"/>
        <n v="1561011.0"/>
        <n v="281986.0"/>
        <n v="8861.57"/>
        <n v="328226.0"/>
        <n v="20774.74"/>
        <n v="449128.3"/>
        <n v="231030.8"/>
        <n v="255389.9"/>
        <n v="566339.2"/>
        <n v="202648.0"/>
        <n v="94952.34"/>
        <n v="811130.0"/>
        <n v="828230.4"/>
        <n v="604998.7"/>
        <n v="2222.02"/>
        <n v="119016.0"/>
        <n v="469275.1"/>
        <n v="512271.4"/>
        <n v="436038.9"/>
        <n v="67447.62"/>
        <n v="432067.0"/>
        <n v="48690.72"/>
        <n v="321773.6"/>
        <n v="708172.5"/>
        <n v="45539.28"/>
        <n v="493558.1"/>
        <n v="1144238.0"/>
        <n v="1538140.0"/>
        <n v="313078.8"/>
        <n v="590983.9"/>
        <n v="101041.9"/>
        <n v="510338.4"/>
        <n v="1636.39"/>
        <n v="17633.16"/>
        <n v="203847.9"/>
        <n v="375675.3"/>
        <n v="156239.8"/>
        <n v="398276.2"/>
        <n v="137930.2"/>
        <n v="214751.3"/>
        <n v="418676.3"/>
        <n v="13006.14"/>
        <n v="176823.4"/>
        <n v="515007.6"/>
        <n v="69029.28"/>
        <n v="798910.0"/>
        <n v="87981.12"/>
        <n v="271058.8"/>
        <n v="248133.6"/>
        <n v="569826.4"/>
        <n v="409428.8"/>
        <n v="343111.6"/>
        <n v="23680.66"/>
        <n v="596476.5"/>
        <n v="70736.22"/>
        <n v="14908.26"/>
        <n v="246566.3"/>
        <n v="35877.06"/>
        <n v="11339.05"/>
        <n v="641131.2"/>
        <n v="155123.3"/>
        <n v="23904.79"/>
        <n v="217272.0"/>
        <n v="43393.86"/>
        <n v="796689.9"/>
        <n v="104922.0"/>
        <n v="1218060.0"/>
        <n v="320784.4"/>
        <n v="22519.08"/>
        <n v="1381745.0"/>
        <n v="126001.7"/>
        <n v="832240.0"/>
        <n v="8632.62"/>
        <n v="1559788.0"/>
        <n v="348955.0"/>
        <n v="1216742.0"/>
        <n v="93298.75"/>
        <n v="450568.7"/>
        <n v="19687.29"/>
        <n v="18937.5"/>
        <n v="1362301.0"/>
        <n v="101197.4"/>
        <n v="1139718.0"/>
        <n v="34106.66"/>
        <n v="118533.4"/>
        <n v="60071.76"/>
        <n v="408292.5"/>
        <n v="436527.4"/>
        <n v="518315.0"/>
        <n v="1233955.0"/>
        <n v="222154.5"/>
        <n v="1601343.0"/>
        <n v="143769.2"/>
        <n v="16142.18"/>
        <n v="42642.18"/>
        <n v="620597.6"/>
        <n v="454854.4"/>
        <n v="154319.5"/>
        <n v="76332.76"/>
        <n v="472513.0"/>
        <n v="591552.1"/>
        <n v="375621.6"/>
        <n v="1230711.0"/>
        <n v="639194.5"/>
        <n v="384325.8"/>
        <n v="889638.6"/>
        <n v="14291.3"/>
        <n v="349207.2"/>
        <n v="274156.1"/>
        <n v="288867.4"/>
        <n v="415214.8"/>
        <n v="328614.0"/>
        <n v="621008.6"/>
        <n v="1508670.0"/>
        <n v="370871.6"/>
        <n v="625063.8"/>
        <n v="200711.5"/>
        <n v="84770.4"/>
        <n v="608636.3"/>
        <n v="1273469.0"/>
        <n v="276046.4"/>
        <n v="301670.9"/>
        <n v="83268.47"/>
        <n v="232005.5"/>
        <n v="471343.6"/>
        <n v="752071.3"/>
        <n v="110747.5"/>
        <n v="314639.9"/>
        <n v="571602.8"/>
        <n v="1041941.0"/>
        <n v="279265.0"/>
        <n v="30601.12"/>
        <n v="9700.25"/>
        <n v="735150.3"/>
        <n v="196704.7"/>
        <n v="25385.02"/>
        <n v="173370.6"/>
        <n v="238571.2"/>
        <n v="104986.6"/>
        <n v="15128.64"/>
        <n v="161423.4"/>
        <n v="1585173.0"/>
        <n v="17062.8"/>
        <n v="543430.3"/>
        <n v="197864.1"/>
        <n v="308445.4"/>
        <n v="365367.5"/>
        <n v="321137.9"/>
        <n v="47167.92"/>
        <n v="266380.4"/>
        <n v="256525.9"/>
        <n v="414322.0"/>
        <n v="423640.6"/>
        <n v="18313.59"/>
        <n v="435164.9"/>
        <n v="108345.6"/>
        <n v="416587.6"/>
        <n v="446045.6"/>
        <n v="192152.5"/>
        <n v="1166550.0"/>
        <n v="483632.9"/>
        <n v="249672.8"/>
        <n v="712000.8"/>
        <n v="16580.8"/>
        <n v="714923.9"/>
        <n v="1558691.0"/>
        <n v="684357.8"/>
        <n v="694228.3"/>
        <n v="20865.78"/>
        <n v="137846.7"/>
        <n v="52738.4"/>
        <n v="217889.8"/>
        <n v="564166.1"/>
        <n v="75707.22"/>
        <n v="580876.3"/>
        <n v="41160.76"/>
        <n v="722869.9"/>
        <n v="10902.84"/>
        <n v="224585.2"/>
        <n v="949301.6"/>
        <n v="26026.0"/>
        <n v="1028023.0"/>
        <n v="808669.4"/>
        <n v="927944.2"/>
        <n v="427712.5"/>
        <n v="299404.1"/>
        <n v="208060.0"/>
        <n v="217506.3"/>
        <n v="129602.2"/>
        <n v="100114.4"/>
        <n v="33309.84"/>
        <n v="331336.3"/>
        <n v="541373.5"/>
        <n v="349108.9"/>
        <n v="544562.7"/>
        <n v="103166.9"/>
        <n v="201040.4"/>
        <n v="561181.3"/>
        <n v="66930.84"/>
        <n v="898386.3"/>
        <n v="781866.3"/>
        <n v="211782.1"/>
        <n v="1729.14"/>
        <n v="107193.9"/>
        <n v="803068.4"/>
        <n v="44771.94"/>
        <n v="1116808.0"/>
        <n v="83185.92"/>
        <n v="118608.8"/>
        <n v="494206.9"/>
        <n v="148229.9"/>
        <n v="461558.1"/>
        <n v="16949.53"/>
        <n v="366231.1"/>
        <n v="416089.8"/>
        <n v="6637.14"/>
        <n v="102586.3"/>
        <n v="96872.76"/>
        <n v="21921.36"/>
        <n v="4429.5"/>
        <n v="127612.1"/>
        <n v="1388.75"/>
        <n v="489574.8"/>
        <n v="735991.7"/>
        <n v="434334.4"/>
        <n v="8145.8"/>
        <n v="438190.1"/>
        <n v="35178.0"/>
        <n v="301272.4"/>
        <n v="91748.8"/>
        <n v="104342.6"/>
        <n v="569387.5"/>
        <n v="157181.3"/>
        <n v="1262121.0"/>
        <n v="339081.6"/>
        <n v="213860.1"/>
        <n v="7954.38"/>
        <n v="673050.8"/>
        <n v="953279.0"/>
        <n v="335582.0"/>
        <n v="455924.9"/>
        <n v="756470.0"/>
        <n v="239977.0"/>
        <n v="322621.9"/>
        <n v="432628.4"/>
        <n v="587866.6"/>
        <n v="1380365.0"/>
        <n v="129518.6"/>
        <n v="403073.4"/>
        <n v="133239.4"/>
        <n v="94013.7"/>
        <n v="230777.0"/>
        <n v="70766.71"/>
        <n v="394165.2"/>
        <n v="300521.1"/>
        <n v="664577.3"/>
        <n v="242374.8"/>
        <n v="675501.1"/>
        <n v="801964.8"/>
        <n v="29284.2"/>
        <n v="152152.6"/>
        <n v="61700.4"/>
        <n v="8695.28"/>
        <n v="246114.3"/>
        <n v="67773.02"/>
        <n v="15491.48"/>
        <n v="400215.5"/>
        <n v="304259.6"/>
        <n v="533644.9"/>
        <n v="108901.5"/>
        <n v="134822.8"/>
        <n v="457250.6"/>
        <n v="245430.0"/>
        <n v="92284.38"/>
        <n v="224487.1"/>
        <n v="404727.6"/>
        <n v="489444.1"/>
        <n v="192769.4"/>
        <n v="52383.0"/>
        <n v="1454446.0"/>
        <n v="1322107.0"/>
        <n v="15744.35"/>
        <n v="93036.06"/>
        <n v="608258.9"/>
        <n v="269311.3"/>
        <n v="73733.76"/>
        <n v="2959.74"/>
        <n v="266716.6"/>
        <n v="1199181.0"/>
        <n v="106605.2"/>
        <n v="762671.3"/>
        <n v="16865.18"/>
        <n v="192328.3"/>
        <n v="370129.0"/>
        <n v="277371.3"/>
        <n v="6526.28"/>
        <n v="580322.9"/>
        <n v="192103.4"/>
        <n v="1089643.0"/>
        <n v="9586.98"/>
        <n v="948287.0"/>
        <n v="76307.7"/>
        <n v="153617.8"/>
        <n v="350006.8"/>
        <n v="3508.96"/>
        <n v="521277.1"/>
        <n v="280612.9"/>
        <n v="77018.6"/>
        <n v="442402.6"/>
        <n v="430028.0"/>
        <n v="235227.2"/>
        <n v="3374.8"/>
        <n v="630555.8"/>
        <n v="455005.0"/>
        <n v="56690.74"/>
        <n v="291018.2"/>
        <n v="13529.74"/>
        <n v="1232958.0"/>
        <n v="151119.0"/>
        <n v="14966.1"/>
        <n v="138424.0"/>
        <n v="733791.0"/>
        <n v="91407.42"/>
        <n v="9996.68"/>
        <n v="237984.2"/>
        <n v="740647.4"/>
        <n v="272844.0"/>
        <n v="5810.51"/>
        <n v="15939.74"/>
        <n v="459045.0"/>
        <n v="27592.92"/>
        <n v="360932.0"/>
        <n v="804670.4"/>
        <n v="62748.4"/>
        <n v="268407.5"/>
        <n v="201689.2"/>
        <n v="269524.8"/>
        <n v="376080.8"/>
        <n v="104004.7"/>
        <n v="56911.26"/>
        <n v="1574045.0"/>
        <n v="53828.88"/>
        <n v="10167.79"/>
        <n v="77642.28"/>
        <n v="1008964.0"/>
        <n v="610053.0"/>
        <n v="1142848.0"/>
        <n v="286042.0"/>
        <n v="11110.0"/>
        <n v="55561.68"/>
        <n v="558471.4"/>
        <n v="467519.0"/>
        <n v="136852.7"/>
        <n v="25198.98"/>
        <n v="705737.5"/>
        <n v="12957.9"/>
        <n v="1246621.0"/>
        <n v="231485.7"/>
        <n v="440440.0"/>
        <n v="386310.8"/>
        <n v="225608.8"/>
        <n v="83436.48"/>
        <n v="199151.8"/>
        <n v="176559.9"/>
        <n v="1190140.0"/>
        <n v="98109.9"/>
        <n v="25745.04"/>
        <n v="84190.84"/>
        <n v="505608.2"/>
        <n v="640884.8"/>
        <n v="680155.9"/>
        <n v="433565.8"/>
        <n v="56749.12"/>
        <n v="954094.6"/>
        <n v="56520.42"/>
        <n v="146734.2"/>
        <n v="1250506.0"/>
        <n v="506870.8"/>
        <n v="414069.7"/>
        <n v="32879.98"/>
        <n v="69586.68"/>
        <n v="7777.07"/>
        <n v="527299.2"/>
        <n v="384714.2"/>
        <n v="570570.0"/>
        <n v="76098.81"/>
        <n v="986391.3"/>
        <n v="336612.3"/>
        <n v="77620.4"/>
        <n v="597974.7"/>
        <n v="94501.26"/>
        <n v="233539.2"/>
        <n v="125012.5"/>
        <n v="11266.75"/>
        <n v="20935.2"/>
        <n v="12384.99"/>
        <n v="559338.8"/>
        <n v="142352.1"/>
        <n v="367513.8"/>
        <n v="172367.6"/>
        <n v="292733.8"/>
        <n v="49568.68"/>
        <n v="168328.0"/>
        <n v="135313.6"/>
        <n v="1706882.0"/>
        <n v="130050.1"/>
        <n v="628900.4"/>
        <n v="1064793.0"/>
        <n v="105953.7"/>
        <n v="386808.5"/>
        <n v="1628814.0"/>
        <n v="351793.2"/>
        <n v="233759.5"/>
        <n v="136038.4"/>
        <n v="1536315.0"/>
        <n v="278713.6"/>
        <n v="109894.0"/>
        <n v="176472.5"/>
        <n v="142051.8"/>
        <n v="519253.4"/>
        <n v="529059.5"/>
        <n v="981148.4"/>
        <n v="35635.6"/>
        <n v="80398.44"/>
        <n v="31726.08"/>
        <n v="540592.6"/>
        <n v="8591.65"/>
        <n v="673858.2"/>
        <n v="65759.96"/>
        <n v="364115.5"/>
        <n v="96336.38"/>
        <n v="181166.6"/>
        <n v="14585.32"/>
        <n v="269.92"/>
        <n v="491356.6"/>
        <n v="23673.43"/>
        <n v="239417.9"/>
        <n v="7902.39"/>
        <n v="233859.9"/>
        <n v="473959.2"/>
        <n v="163104.1"/>
        <n v="128380.7"/>
        <n v="336564.8"/>
        <n v="547485.1"/>
        <n v="80427.62"/>
        <n v="182698.2"/>
        <n v="459457.0"/>
        <n v="1137008.0"/>
        <n v="338044.3"/>
        <n v="196819.2"/>
        <n v="78306.8"/>
        <n v="137555.9"/>
        <n v="1435471.0"/>
        <n v="362337.5"/>
        <n v="161177.5"/>
        <n v="52362.72"/>
        <n v="554178.2"/>
        <n v="1107844.0"/>
        <n v="777643.0"/>
        <n v="218795.5"/>
        <n v="121928.8"/>
        <n v="992276.1"/>
        <n v="38946.55"/>
        <n v="14233.46"/>
        <n v="710816.0"/>
        <n v="659491.2"/>
        <n v="58570.46"/>
        <n v="163182.8"/>
        <n v="298707.5"/>
        <n v="246585.8"/>
        <n v="658646.3"/>
        <n v="177575.2"/>
        <n v="17665.3"/>
        <n v="365964.6"/>
        <n v="897920.6"/>
        <n v="666418.7"/>
        <n v="567367.5"/>
        <n v="731903.0"/>
        <n v="802635.8"/>
        <n v="169205.1"/>
        <n v="812370.3"/>
        <n v="165358.5"/>
        <n v="554251.7"/>
        <n v="102845.6"/>
        <n v="167150.2"/>
        <n v="1110508.0"/>
        <n v="139075.4"/>
        <n v="115946.6"/>
        <n v="204465.7"/>
        <n v="529900.8"/>
        <n v="733424.9"/>
        <n v="21403.21"/>
        <n v="76975.44"/>
        <n v="13662.29"/>
        <n v="815559.5"/>
        <n v="88259.6"/>
        <n v="886321.6"/>
        <n v="22929.9"/>
        <n v="54605.74"/>
        <n v="67197.86"/>
        <n v="85998.24"/>
        <n v="22986.72"/>
        <n v="29503.44"/>
        <n v="26105.22"/>
        <n v="313352.5"/>
        <n v="879707.2"/>
        <n v="8750.71"/>
        <n v="558043.2"/>
        <n v="20470.54"/>
        <n v="161246.8"/>
        <n v="200858.4"/>
        <n v="26744.94"/>
        <n v="10888.38"/>
        <n v="374660.0"/>
        <n v="330994.1"/>
        <n v="214212.9"/>
        <n v="91861.56"/>
        <n v="13700.85"/>
        <n v="268933.8"/>
        <n v="1246845.0"/>
        <n v="18923.32"/>
        <n v="305199.9"/>
        <n v="536552.6"/>
        <n v="528020.6"/>
        <n v="145022.2"/>
        <n v="234176.5"/>
        <n v="21591.19"/>
        <n v="262226.4"/>
        <n v="477862.1"/>
        <n v="633860.6"/>
        <n v="434149.9"/>
        <n v="928639.7"/>
        <n v="11854.62"/>
        <n v="143114.4"/>
        <n v="589066.0"/>
        <n v="50871.8"/>
        <n v="481395.2"/>
        <n v="799376.5"/>
        <n v="547715.9"/>
        <n v="526567.3"/>
        <n v="180638.6"/>
        <n v="36412.18"/>
        <n v="497338.1"/>
        <n v="1588854.0"/>
        <n v="1559.27"/>
        <n v="451821.4"/>
        <n v="128528.4"/>
        <n v="16897.14"/>
        <n v="91501.38"/>
        <n v="19170.9"/>
        <n v="628811.8"/>
        <n v="19590.89"/>
        <n v="726081.1"/>
        <n v="433976.4"/>
        <n v="18658.22"/>
        <n v="333707.3"/>
        <n v="84957.81"/>
        <n v="185475.9"/>
        <n v="1650374.0"/>
        <n v="2489.94"/>
        <n v="23568.3"/>
        <n v="5130.89"/>
        <n v="18463.01"/>
        <n v="423161.3"/>
        <n v="17617.5"/>
        <n v="26998.4"/>
        <n v="432432.0"/>
        <n v="12368.12"/>
        <n v="207129.5"/>
        <n v="10852.23"/>
        <n v="341885.0"/>
        <n v="21299.58"/>
        <n v="91892.88"/>
        <n v="279218.9"/>
        <n v="343405.4"/>
        <n v="724509.9"/>
        <n v="202774.0"/>
        <n v="68125.71"/>
        <n v="235313.4"/>
        <n v="363979.1"/>
        <n v="3916.25"/>
        <n v="118994.1"/>
        <n v="136613.3"/>
        <n v="70689.48"/>
        <n v="310081.2"/>
        <n v="736094.3"/>
        <n v="436417.7"/>
        <n v="15403.72"/>
        <n v="77359.02"/>
        <n v="278084.0"/>
        <n v="220678.4"/>
        <n v="134875.0"/>
        <n v="3790.93"/>
        <n v="49217.84"/>
        <n v="376704.3"/>
        <n v="232911.4"/>
        <n v="375804.0"/>
        <n v="7270.56"/>
        <n v="41154.48"/>
        <n v="62718.3"/>
        <n v="17398.26"/>
        <n v="157479.8"/>
        <n v="654353.8"/>
        <n v="346918.0"/>
        <n v="7939.62"/>
        <n v="531639.6"/>
        <n v="131539.9"/>
        <n v="89496.9"/>
        <n v="4118.4"/>
        <n v="87309.04"/>
        <n v="465665.2"/>
        <n v="19923.47"/>
        <n v="490611.5"/>
        <n v="328145.4"/>
        <n v="578839.0"/>
        <n v="1497371.0"/>
        <n v="24007.48"/>
        <n v="159080.9"/>
        <n v="208665.6"/>
        <n v="83474.86"/>
        <n v="166051.6"/>
        <n v="108680.0"/>
        <n v="660283.7"/>
        <n v="572911.5"/>
        <n v="600754.6"/>
        <n v="10129.23"/>
        <n v="474195.0"/>
        <n v="15332.42"/>
        <n v="18812.46"/>
        <n v="57195.78"/>
        <n v="28176.54"/>
        <n v="1073125.0"/>
        <n v="502502.0"/>
        <n v="132017.6"/>
        <n v="116859.6"/>
        <n v="440789.2"/>
        <n v="55081.88"/>
        <n v="58286.52"/>
        <n v="91844.9"/>
        <n v="26019.61"/>
        <n v="185160.1"/>
        <n v="7219.26"/>
        <n v="39525.2"/>
        <n v="956596.3"/>
        <n v="1298992.0"/>
        <n v="20318.71"/>
        <n v="213756.4"/>
        <n v="9552.4"/>
        <n v="146955.0"/>
        <n v="382514.0"/>
        <n v="90514.8"/>
        <n v="15525.22"/>
        <n v="13862.32"/>
        <n v="418074.8"/>
        <n v="43654.52"/>
        <n v="151754.7"/>
        <n v="173289.9"/>
        <n v="572589.1"/>
        <n v="382340.8"/>
        <n v="114546.9"/>
        <n v="569998.0"/>
        <n v="268120.4"/>
        <n v="489844.8"/>
        <n v="28314.0"/>
        <n v="518.15"/>
        <n v="630105.5"/>
        <n v="156925.7"/>
        <n v="264893.2"/>
        <n v="263732.4"/>
        <n v="1225905.0"/>
        <n v="169376.1"/>
        <n v="1138018.0"/>
        <n v="619498.8"/>
        <n v="852674.7"/>
        <n v="554927.8"/>
        <n v="565329.2"/>
        <n v="535157.3"/>
        <n v="319632.7"/>
        <n v="1268903.0"/>
        <n v="244786.1"/>
        <n v="838150.0"/>
        <n v="606841.5"/>
        <n v="836201.0"/>
        <n v="427137.6"/>
        <n v="340712.6"/>
        <n v="348247.3"/>
        <n v="766688.3"/>
        <n v="290036.4"/>
        <n v="29890.08"/>
        <n v="9438.0"/>
        <n v="1441035.0"/>
        <n v="1354.42"/>
        <n v="560846.0"/>
        <n v="49478.0"/>
        <n v="309997.1"/>
        <n v="586565.3"/>
        <n v="3234.22"/>
        <n v="923423.6"/>
        <n v="208936.8"/>
        <n v="288730.3"/>
        <n v="108210.6"/>
        <n v="152666.8"/>
        <n v="1086.91"/>
        <n v="17947.27"/>
        <n v="158858.3"/>
        <n v="47105.28"/>
        <n v="1013439.0"/>
        <n v="1245958.0"/>
        <n v="11006.47"/>
        <n v="271962.9"/>
        <n v="493774.9"/>
        <n v="213987.3"/>
        <n v="17547.21"/>
        <n v="371840.9"/>
        <n v="475810.8"/>
        <n v="1012445.0"/>
        <n v="561217.7"/>
        <n v="875609.3"/>
        <n v="252927.2"/>
        <n v="775782.1"/>
        <n v="675046.1"/>
        <n v="26703.99"/>
        <n v="930242.5"/>
        <n v="26956.51"/>
        <n v="11360.74"/>
        <n v="887484.2"/>
        <n v="79543.8"/>
        <n v="20176.52"/>
        <n v="413183.8"/>
        <n v="294122.4"/>
        <n v="16486.81"/>
        <n v="281201.8"/>
        <n v="55257.3"/>
        <n v="488598.4"/>
        <n v="968211.3"/>
        <n v="187013.5"/>
        <n v="253837.3"/>
        <n v="67417.5"/>
        <n v="1574567.0"/>
        <n v="538498.9"/>
        <n v="216443.4"/>
        <n v="105924.2"/>
        <n v="463700.2"/>
        <n v="131528.3"/>
        <n v="578894.9"/>
        <n v="668304.0"/>
        <n v="300309.4"/>
        <n v="387634.2"/>
        <n v="285347.6"/>
        <n v="496225.0"/>
        <n v="858968.6"/>
        <n v="534802.9"/>
        <n v="8049.4"/>
        <n v="406809.7"/>
        <n v="28642.14"/>
        <n v="274236.7"/>
        <n v="370510.0"/>
        <n v="1088528.0"/>
        <n v="654968.3"/>
        <n v="953610.4"/>
        <n v="634401.5"/>
        <n v="342606.5"/>
        <n v="414100.0"/>
        <n v="1048759.0"/>
        <n v="10460.88"/>
        <n v="554986.1"/>
        <n v="1034745.0"/>
        <n v="689053.0"/>
        <n v="17865.36"/>
        <n v="483158.8"/>
        <n v="255850.3"/>
        <n v="179701.3"/>
        <n v="866574.4"/>
        <n v="692607.5"/>
        <n v="322089.3"/>
        <n v="5841.84"/>
        <n v="21735.79"/>
        <n v="132890.8"/>
        <n v="22769.64"/>
        <n v="43035.84"/>
        <n v="534227.8"/>
        <n v="127441.1"/>
        <n v="674662.7"/>
        <n v="192988.4"/>
        <n v="9671.33"/>
        <n v="716480.6"/>
        <n v="395023.0"/>
        <n v="650061.3"/>
        <n v="1218818.0"/>
        <n v="216794.1"/>
        <n v="1184472.0"/>
        <n v="192771.8"/>
        <n v="1293688.0"/>
        <n v="22705.01"/>
        <n v="57562.82"/>
        <n v="1565983.0"/>
        <n v="657924.1"/>
        <n v="1656286.0"/>
        <n v="124168.1"/>
        <n v="5497.21"/>
        <n v="503875.3"/>
        <n v="268912.5"/>
        <n v="146499.3"/>
        <n v="530211.2"/>
        <n v="25529.82"/>
        <n v="186529.2"/>
        <n v="312566.8"/>
        <n v="335935.6"/>
        <n v="102330.8"/>
        <n v="604631.5"/>
        <n v="47819.2"/>
        <n v="1202703.0"/>
        <n v="138254.7"/>
        <n v="148860.5"/>
        <n v="37990.96"/>
        <n v="903394.2"/>
        <n v="399198.8"/>
        <n v="119811.3"/>
        <n v="818660.2"/>
        <n v="90295.56"/>
        <n v="3535.47"/>
        <n v="22453.97"/>
        <n v="1176776.0"/>
        <n v="201058.0"/>
        <n v="53320.38"/>
        <n v="482489.3"/>
        <n v="177149.1"/>
        <n v="664743.0"/>
        <n v="99990.0"/>
        <n v="15992.76"/>
        <n v="425263.2"/>
        <n v="15072.14"/>
        <n v="456282.7"/>
        <n v="170959.3"/>
        <n v="329892.5"/>
        <n v="66809.96"/>
        <n v="106754.2"/>
        <n v="521128.1"/>
        <n v="452074.8"/>
        <n v="133820.4"/>
        <n v="58912.92"/>
        <n v="55029.72"/>
        <n v="535409.4"/>
        <n v="1210611.0"/>
        <n v="226229.6"/>
        <n v="106127.8"/>
        <n v="8738.66"/>
        <n v="41470.0"/>
        <n v="1000279.0"/>
        <n v="364779.3"/>
        <n v="358639.7"/>
        <n v="223923.5"/>
        <n v="363818.2"/>
        <n v="35642.16"/>
        <n v="110581.3"/>
        <n v="360517.0"/>
        <n v="18698.04"/>
        <n v="165526.9"/>
        <n v="417374.4"/>
        <n v="1083351.0"/>
        <n v="238771.7"/>
        <n v="211757.0"/>
        <n v="1089790.0"/>
        <n v="67983.17"/>
        <n v="383704.1"/>
        <n v="486010.2"/>
        <n v="1455275.0"/>
        <n v="541704.9"/>
        <n v="352066.0"/>
        <n v="572611.7"/>
        <n v="1785.24"/>
        <n v="1221216.0"/>
        <n v="320195.4"/>
        <n v="186160.1"/>
        <n v="501504.7"/>
        <n v="980836.3"/>
        <n v="780492.1"/>
        <n v="270133.5"/>
        <n v="1318282.0"/>
        <n v="12659.73"/>
        <n v="112364.9"/>
        <n v="508329.4"/>
        <n v="318949.9"/>
        <n v="1292897.0"/>
        <n v="200254.5"/>
        <n v="14491.33"/>
        <n v="614978.2"/>
        <n v="550950.4"/>
        <n v="477943.1"/>
        <n v="140266.6"/>
        <n v="79218.94"/>
        <n v="17236.32"/>
        <n v="1426082.0"/>
        <n v="1718183.0"/>
        <n v="27398.8"/>
        <n v="292793.4"/>
        <n v="4152.43"/>
        <n v="9881.0"/>
        <n v="138591.0"/>
        <n v="594495.2"/>
        <n v="72815.6"/>
        <n v="396052.8"/>
        <n v="86849.16"/>
        <n v="458786.0"/>
        <n v="191620.2"/>
        <n v="351518.6"/>
        <n v="173547.8"/>
        <n v="596210.7"/>
        <n v="23391.46"/>
        <n v="924186.3"/>
        <n v="924150.0"/>
        <n v="30988.68"/>
        <n v="22205.74"/>
        <n v="26185.34"/>
        <n v="204022.8"/>
        <n v="201116.3"/>
        <n v="1043220.0"/>
        <n v="67038.75"/>
        <n v="280275.0"/>
        <n v="492337.0"/>
        <n v="678846.3"/>
        <n v="14633.52"/>
        <n v="59743.04"/>
        <n v="101852.6"/>
        <n v="235295.0"/>
        <n v="119834.0"/>
        <n v="447020.0"/>
        <n v="2431.69"/>
        <n v="180237.2"/>
        <n v="246901.4"/>
        <n v="593501.3"/>
        <n v="159585.1"/>
        <n v="655011.4"/>
        <n v="944350.0"/>
        <n v="85976.25"/>
        <n v="446139.2"/>
        <n v="453345.1"/>
        <n v="305141.9"/>
        <n v="1072770.0"/>
        <n v="388792.1"/>
        <n v="1200714.0"/>
        <n v="44458.74"/>
        <n v="1156583.0"/>
        <n v="312899.9"/>
        <n v="931769.3"/>
        <n v="443944.8"/>
        <n v="412302.0"/>
        <n v="867384.7"/>
        <n v="368047.9"/>
        <n v="640824.1"/>
        <n v="89770.86"/>
        <n v="100992.6"/>
        <n v="501086.3"/>
        <n v="3914.94"/>
        <n v="418993.8"/>
        <n v="182572.0"/>
        <n v="127555.4"/>
        <n v="86715.2"/>
        <n v="187699.4"/>
        <n v="34413.74"/>
        <n v="782936.6"/>
        <n v="1101293.0"/>
        <n v="22396.13"/>
        <n v="558953.0"/>
        <n v="1710011.0"/>
        <n v="1219276.0"/>
        <n v="465736.3"/>
        <n v="22801.01"/>
        <n v="183739.9"/>
        <n v="670732.4"/>
        <n v="29499.94"/>
        <n v="13568.3"/>
        <n v="685956.5"/>
        <n v="444905.0"/>
        <n v="169427.5"/>
        <n v="408913.9"/>
        <n v="391207.5"/>
        <n v="591086.2"/>
        <n v="169295.5"/>
        <n v="108523.8"/>
        <n v="1071610.0"/>
        <n v="237775.6"/>
        <n v="167105.1"/>
        <n v="446798.8"/>
        <n v="189253.1"/>
        <n v="491242.3"/>
        <n v="222156.9"/>
        <n v="89258.75"/>
        <n v="787549.0"/>
        <n v="184663.9"/>
        <n v="324057.8"/>
        <n v="236548.1"/>
        <n v="84595.32"/>
        <n v="228812.9"/>
        <n v="514456.8"/>
        <n v="1385918.0"/>
        <n v="797990.0"/>
        <n v="719705.2"/>
        <n v="585026.9"/>
        <n v="20945.31"/>
        <n v="735474.2"/>
        <n v="500946.9"/>
        <n v="120187.8"/>
        <n v="89670.24"/>
        <n v="74240.88"/>
        <n v="1576258.0"/>
        <n v="463663.2"/>
        <n v="83589.92"/>
        <n v="1450138.0"/>
        <n v="260040.2"/>
        <n v="219826.3"/>
        <n v="261960.6"/>
        <n v="400054.8"/>
        <n v="1262.5"/>
        <n v="186659.1"/>
        <n v="6721.49"/>
        <n v="231729.8"/>
        <n v="117171.1"/>
        <n v="8247.02"/>
        <n v="941180.7"/>
        <n v="159931.2"/>
        <n v="33199.2"/>
        <n v="506997.0"/>
        <n v="509820.5"/>
        <n v="289491.3"/>
        <n v="23039.6"/>
        <n v="157307.5"/>
        <n v="107993.6"/>
        <n v="174688.8"/>
        <n v="799568.3"/>
        <n v="615427.2"/>
        <n v="14052.71"/>
        <n v="37193.68"/>
        <n v="238252.6"/>
        <n v="786223.1"/>
        <n v="709911.2"/>
        <n v="851349.9"/>
        <n v="148091.3"/>
        <n v="356810.8"/>
        <n v="111940.4"/>
        <n v="534374.9"/>
        <n v="146601.0"/>
        <n v="100458.9"/>
        <n v="272558.0"/>
        <n v="439937.9"/>
        <n v="298795.6"/>
        <n v="388968.3"/>
        <n v="493613.5"/>
        <n v="217655.0"/>
        <n v="456945.2"/>
        <n v="483081.5"/>
        <n v="15503.53"/>
        <n v="281669.4"/>
        <n v="421203.4"/>
        <n v="24233.02"/>
        <n v="747147.5"/>
        <n v="1651665.0"/>
        <n v="263282.4"/>
        <n v="379165.2"/>
        <n v="140592.3"/>
        <n v="183647.1"/>
        <n v="10454.58"/>
        <n v="294567.8"/>
        <n v="500671.6"/>
        <n v="239120.6"/>
        <n v="375976.0"/>
        <n v="137153.4"/>
        <n v="150366.8"/>
        <n v="1462567.0"/>
        <n v="492835.2"/>
        <n v="381331.1"/>
        <n v="1114030.0"/>
        <n v="9868.95"/>
        <n v="458243.5"/>
        <n v="463962.4"/>
        <n v="5673.14"/>
        <n v="109662.6"/>
        <n v="110555.7"/>
        <n v="322952.3"/>
        <n v="477670.4"/>
        <n v="3969.27"/>
        <n v="432319.2"/>
        <n v="262846.5"/>
        <n v="203185.0"/>
        <n v="671499.3"/>
        <n v="117381.0"/>
        <n v="85218.75"/>
        <n v="618291.4"/>
        <n v="428113.8"/>
        <n v="1341584.0"/>
        <n v="677442.6"/>
        <n v="107250.0"/>
        <n v="449232.5"/>
        <n v="24195.6"/>
        <n v="660438.5"/>
        <n v="16641.05"/>
        <n v="86239.52"/>
        <n v="440836.8"/>
        <n v="394416.4"/>
        <n v="845676.9"/>
        <n v="101457.6"/>
        <n v="389607.5"/>
        <n v="84198.4"/>
        <n v="511003.9"/>
        <n v="483878.6"/>
        <n v="63344.7"/>
        <n v="361419.3"/>
        <n v="71534.88"/>
        <n v="639769.6"/>
        <n v="899429.5"/>
        <n v="298812.8"/>
        <n v="1139028.0"/>
        <n v="12355.74"/>
        <n v="4292.21"/>
        <n v="918555.2"/>
        <n v="25259.58"/>
        <n v="299083.2"/>
        <n v="1159354.0"/>
        <n v="89082.72"/>
        <n v="191809.2"/>
        <n v="513541.6"/>
        <n v="42141.06"/>
        <n v="20070.48"/>
        <n v="180442.1"/>
        <n v="92145.62"/>
        <n v="730165.6"/>
        <n v="185872.5"/>
        <n v="76362.0"/>
        <n v="144601.6"/>
        <n v="511368.4"/>
        <n v="1279509.0"/>
        <n v="1669152.0"/>
        <n v="48334.0"/>
        <n v="493046.8"/>
        <n v="949109.9"/>
        <n v="40152.24"/>
        <n v="289353.6"/>
        <n v="668223.4"/>
        <n v="808099.5"/>
        <n v="531160.3"/>
        <n v="407550.0"/>
        <n v="687192.6"/>
        <n v="434662.8"/>
        <n v="96305.58"/>
        <n v="89465.58"/>
        <n v="1645332.0"/>
        <n v="560167.4"/>
        <n v="43566.12"/>
        <n v="316660.1"/>
        <n v="475558.3"/>
        <n v="18484.7"/>
        <n v="19133.58"/>
        <n v="714744.1"/>
        <n v="394372.8"/>
        <n v="280614.2"/>
        <n v="1163093.0"/>
        <n v="353023.0"/>
        <n v="383209.5"/>
        <n v="1084869.0"/>
        <n v="59463.54"/>
        <n v="408072.9"/>
        <n v="245803.7"/>
        <n v="201515.3"/>
        <n v="711040.0"/>
        <n v="604085.9"/>
        <n v="301911.8"/>
        <n v="169941.2"/>
        <n v="602134.6"/>
        <n v="834576.0"/>
        <n v="619242.2"/>
        <n v="114255.4"/>
        <n v="61922.22"/>
        <n v="317275.6"/>
        <n v="236691.7"/>
        <n v="15464.97"/>
        <n v="437039.6"/>
        <n v="458260.7"/>
        <n v="260867.3"/>
        <n v="42172.38"/>
        <n v="29915.6"/>
        <n v="1675064.0"/>
        <n v="621816.5"/>
        <n v="946496.3"/>
        <n v="405200.2"/>
        <n v="468696.8"/>
        <n v="149508.0"/>
        <n v="543942.6"/>
        <n v="248705.6"/>
        <n v="206745.0"/>
        <n v="145230.8"/>
        <n v="348778.8"/>
        <n v="14944.41"/>
        <n v="128207.0"/>
        <n v="54794.34"/>
        <n v="1027360.0"/>
        <n v="291548.4"/>
        <n v="301324.3"/>
        <n v="229327.3"/>
        <n v="789790.5"/>
        <n v="363162.8"/>
        <n v="33080.12"/>
        <n v="246364.9"/>
        <n v="339008.1"/>
        <n v="332632.0"/>
        <n v="1223489.0"/>
        <n v="735785.0"/>
        <n v="160071.4"/>
        <n v="452705.2"/>
        <n v="873397.5"/>
        <n v="942077.5"/>
        <n v="451729.4"/>
        <n v="540959.0"/>
        <n v="948895.0"/>
        <n v="4409.56"/>
        <n v="27019.64"/>
        <n v="193406.9"/>
        <n v="1126798.0"/>
        <n v="1546052.0"/>
        <n v="57566.16"/>
        <n v="490607.5"/>
        <n v="4924.14"/>
        <n v="22444.33"/>
        <n v="209212.8"/>
        <n v="145355.3"/>
        <n v="195791.0"/>
        <n v="835775.0"/>
        <n v="443020.8"/>
        <n v="1274467.0"/>
        <n v="874914.8"/>
        <n v="587430.1"/>
        <n v="101768.7"/>
        <n v="217495.7"/>
        <n v="401486.8"/>
        <n v="278881.3"/>
        <n v="524369.7"/>
        <n v="32814.54"/>
        <n v="594053.3"/>
        <n v="286813.1"/>
        <n v="379684.8"/>
        <n v="1192759.0"/>
        <n v="173245.0"/>
        <n v="15252.84"/>
        <n v="84423.06"/>
        <n v="366392.2"/>
        <n v="65065.2"/>
        <n v="230639.2"/>
        <n v="229048.4"/>
        <n v="1545357.0"/>
        <n v="113594.1"/>
        <n v="65130.94"/>
        <n v="95337.06"/>
        <n v="731123.4"/>
        <n v="970483.8"/>
        <n v="504385.9"/>
        <n v="132655.9"/>
        <n v="344735.3"/>
        <n v="14452.77"/>
        <n v="28838.22"/>
        <n v="448528.9"/>
        <n v="8620.64"/>
        <n v="105019.2"/>
        <n v="139029.5"/>
        <n v="715080.0"/>
        <n v="102445.2"/>
        <n v="823532.6"/>
        <n v="914807.5"/>
        <n v="425496.2"/>
        <n v="325712.0"/>
        <n v="123019.5"/>
        <n v="118422.5"/>
        <n v="50393.88"/>
        <n v="587813.8"/>
        <n v="226068.5"/>
        <n v="915947.2"/>
        <n v="52015.0"/>
        <n v="85053.64"/>
        <n v="103581.3"/>
        <n v="305861.6"/>
        <n v="321847.5"/>
        <n v="422708.0"/>
        <n v="99290.88"/>
        <n v="520542.7"/>
        <n v="1424865.0"/>
        <n v="879197.7"/>
        <n v="79094.88"/>
        <n v="498855.4"/>
        <n v="691070.4"/>
        <n v="154668.5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2" cacheId="0" dataCaption="" compact="0" compactData="0">
  <location ref="A1:B14" firstHeaderRow="0" firstDataRow="1" firstDataCol="0"/>
  <pivotFields>
    <pivotField name="Region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ount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t="default"/>
      </items>
    </pivotField>
    <pivotField name="Item Type" axis="axisRow" compact="0" outline="0" multipleItemSelectionAllowed="1" showAll="0" sortType="ascending">
      <items>
        <item x="0"/>
        <item x="2"/>
        <item x="3"/>
        <item x="5"/>
        <item x="7"/>
        <item x="9"/>
        <item x="11"/>
        <item x="8"/>
        <item x="6"/>
        <item x="4"/>
        <item x="1"/>
        <item x="10"/>
        <item t="default"/>
      </items>
    </pivotField>
    <pivotField name="Sales Channel" compact="0" outline="0" multipleItemSelectionAllowed="1" showAll="0">
      <items>
        <item x="0"/>
        <item x="1"/>
        <item t="default"/>
      </items>
    </pivotField>
    <pivotField name="Order Priority" compact="0" outline="0" multipleItemSelectionAllowed="1" showAll="0">
      <items>
        <item x="0"/>
        <item x="1"/>
        <item x="2"/>
        <item x="3"/>
        <item t="default"/>
      </items>
    </pivotField>
    <pivotField name="Order Date" compact="0" numFmtId="167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t="default"/>
      </items>
    </pivotField>
    <pivotField name="Order ID" compact="0" numFmtId="1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t="default"/>
      </items>
    </pivotField>
    <pivotField name="Ship Date" compact="0" numFmtId="167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t="default"/>
      </items>
    </pivotField>
    <pivotField name="Units Sol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t="default"/>
      </items>
    </pivotField>
    <pivotField name="Unit 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Unit Cos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Total Reven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t="default"/>
      </items>
    </pivotField>
    <pivotField name="Total Cos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t="default"/>
      </items>
    </pivotField>
    <pivotField name="Total 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t="default"/>
      </items>
    </pivotField>
  </pivotFields>
  <rowFields>
    <field x="2"/>
  </rowFields>
  <dataFields>
    <dataField name="SUM of Units Sold" fld="8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gist.github.com/seankross/a412dfbd88b3db70b74b" TargetMode="External"/><Relationship Id="rId2" Type="http://schemas.openxmlformats.org/officeDocument/2006/relationships/hyperlink" Target="https://www.momsteam.com/nutrition/sports-nutrition-basics/nutritional-needs-guidelines/carbohydrate-and-calorie-content-of-foods" TargetMode="External"/><Relationship Id="rId3" Type="http://schemas.openxmlformats.org/officeDocument/2006/relationships/hyperlink" Target="https://en.wikipedia.org/wiki/IMDb" TargetMode="External"/><Relationship Id="rId4" Type="http://schemas.openxmlformats.org/officeDocument/2006/relationships/hyperlink" Target="https://raw.githubusercontent.com/toyeiei/jetbrains-python/master/bookshop.xml" TargetMode="External"/><Relationship Id="rId11" Type="http://schemas.openxmlformats.org/officeDocument/2006/relationships/hyperlink" Target="https://www.bbc.co.uk/news/technology-68250127?at_medium=RSS&amp;at_campaign=KARANGA" TargetMode="External"/><Relationship Id="rId10" Type="http://schemas.openxmlformats.org/officeDocument/2006/relationships/hyperlink" Target="https://www.bbc.co.uk/news/business-68253309?at_medium=RSS&amp;at_campaign=KARANGA" TargetMode="External"/><Relationship Id="rId12" Type="http://schemas.openxmlformats.org/officeDocument/2006/relationships/drawing" Target="../drawings/drawing4.xml"/><Relationship Id="rId9" Type="http://schemas.openxmlformats.org/officeDocument/2006/relationships/hyperlink" Target="https://www.bbc.co.uk/news/business-68249168?at_medium=RSS&amp;at_campaign=KARANGA" TargetMode="External"/><Relationship Id="rId5" Type="http://schemas.openxmlformats.org/officeDocument/2006/relationships/hyperlink" Target="https://www.imdb.com/search/title/?groups=top_100&amp;sort=user_rating,desc" TargetMode="External"/><Relationship Id="rId6" Type="http://schemas.openxmlformats.org/officeDocument/2006/relationships/hyperlink" Target="http://feeds.bbci.co.uk/news/business/rss.xml" TargetMode="External"/><Relationship Id="rId7" Type="http://schemas.openxmlformats.org/officeDocument/2006/relationships/hyperlink" Target="https://www.bbc.co.uk/news/business-68253136?at_medium=RSS&amp;at_campaign=KARANGA" TargetMode="External"/><Relationship Id="rId8" Type="http://schemas.openxmlformats.org/officeDocument/2006/relationships/hyperlink" Target="https://www.bbc.co.uk/news/business-68055288?at_medium=RSS&amp;at_campaign=KARANGA" TargetMode="Externa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hyperlink" Target="mailto:mondewya@gmail.com" TargetMode="External"/><Relationship Id="rId2" Type="http://schemas.openxmlformats.org/officeDocument/2006/relationships/hyperlink" Target="mailto:mondewya@gmail.com" TargetMode="External"/><Relationship Id="rId3" Type="http://schemas.openxmlformats.org/officeDocument/2006/relationships/hyperlink" Target="mailto:mondewya@gmail.com" TargetMode="External"/><Relationship Id="rId4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hyperlink" Target="https://cloud.google.com/translate/docs/languages" TargetMode="External"/><Relationship Id="rId2" Type="http://schemas.openxmlformats.org/officeDocument/2006/relationships/hyperlink" Target="https://cdn-icons-png.flaticon.com/512/9479/9479627.png" TargetMode="External"/><Relationship Id="rId3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hyperlink" Target="https://gist.githubusercontent.com/seankross/a412dfbd88b3db70b74b/raw/5f23f993cd87c283ce766e7ac6b329ee7cc2e1d1/mtcars.csv" TargetMode="External"/><Relationship Id="rId3" Type="http://schemas.openxmlformats.org/officeDocument/2006/relationships/drawing" Target="../drawings/drawing24.xml"/><Relationship Id="rId4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8E7CC3"/>
    <outlinePr summaryBelow="0" summaryRight="0"/>
  </sheetPr>
  <sheetViews>
    <sheetView workbookViewId="0"/>
  </sheetViews>
  <sheetFormatPr customHeight="1" defaultColWidth="12.63" defaultRowHeight="15.75"/>
  <cols>
    <col customWidth="1" min="2" max="2" width="31.63"/>
    <col customWidth="1" min="3" max="3" width="26.75"/>
  </cols>
  <sheetData>
    <row r="1">
      <c r="A1" s="1" t="s">
        <v>0</v>
      </c>
      <c r="B1" s="2" t="s">
        <v>1</v>
      </c>
      <c r="C1" s="1" t="s">
        <v>2</v>
      </c>
      <c r="D1" s="1" t="s">
        <v>3</v>
      </c>
      <c r="E1" s="3"/>
      <c r="F1" s="2" t="s">
        <v>4</v>
      </c>
      <c r="G1" s="2" t="s">
        <v>5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4">
        <v>1.0</v>
      </c>
      <c r="B2" s="5" t="s">
        <v>6</v>
      </c>
      <c r="C2" s="6" t="s">
        <v>6</v>
      </c>
      <c r="D2" s="7" t="b">
        <v>1</v>
      </c>
      <c r="E2" s="3"/>
      <c r="F2" s="8">
        <f t="array" ref="F2">SUM(D2:D22*1)/COUNT(A2:A22)</f>
        <v>1</v>
      </c>
      <c r="G2" s="3" t="str">
        <f>IFERROR(__xludf.DUMMYFUNCTION("SPARKLINE(F2:F3, {""charttype"", ""bar""; 
""color1"", ""#fcba03""; 
""color2"", ""#ededed""})"),"")</f>
        <v/>
      </c>
      <c r="H2" s="3" t="str">
        <f>IF(F2=100%, "🥳 Congratulations", "")</f>
        <v>🥳 Congratulations</v>
      </c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4">
        <v>2.0</v>
      </c>
      <c r="B3" s="5" t="s">
        <v>7</v>
      </c>
      <c r="C3" s="6" t="s">
        <v>7</v>
      </c>
      <c r="D3" s="7" t="b">
        <v>1</v>
      </c>
      <c r="E3" s="3"/>
      <c r="F3" s="9">
        <f>1-F2</f>
        <v>0</v>
      </c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4">
        <v>3.0</v>
      </c>
      <c r="B4" s="5" t="s">
        <v>8</v>
      </c>
      <c r="C4" s="6" t="s">
        <v>8</v>
      </c>
      <c r="D4" s="7" t="b">
        <v>1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4">
        <v>4.0</v>
      </c>
      <c r="B5" s="5" t="s">
        <v>9</v>
      </c>
      <c r="C5" s="6" t="s">
        <v>9</v>
      </c>
      <c r="D5" s="7" t="b">
        <v>1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4">
        <v>5.0</v>
      </c>
      <c r="B6" s="5" t="s">
        <v>10</v>
      </c>
      <c r="C6" s="6" t="s">
        <v>11</v>
      </c>
      <c r="D6" s="7" t="b">
        <v>1</v>
      </c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4">
        <v>6.0</v>
      </c>
      <c r="B7" s="5" t="s">
        <v>12</v>
      </c>
      <c r="C7" s="6" t="s">
        <v>13</v>
      </c>
      <c r="D7" s="7" t="b">
        <v>1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4">
        <v>7.0</v>
      </c>
      <c r="B8" s="5" t="s">
        <v>14</v>
      </c>
      <c r="C8" s="6" t="s">
        <v>15</v>
      </c>
      <c r="D8" s="7" t="b">
        <v>1</v>
      </c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4">
        <v>8.0</v>
      </c>
      <c r="B9" s="5" t="s">
        <v>16</v>
      </c>
      <c r="C9" s="6" t="s">
        <v>16</v>
      </c>
      <c r="D9" s="7" t="b">
        <v>1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4">
        <v>9.0</v>
      </c>
      <c r="B10" s="5" t="s">
        <v>17</v>
      </c>
      <c r="C10" s="6" t="s">
        <v>18</v>
      </c>
      <c r="D10" s="7" t="b">
        <v>1</v>
      </c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>
      <c r="A11" s="4">
        <v>10.0</v>
      </c>
      <c r="B11" s="10" t="s">
        <v>19</v>
      </c>
      <c r="C11" s="6" t="s">
        <v>20</v>
      </c>
      <c r="D11" s="7" t="b">
        <v>1</v>
      </c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>
      <c r="A12" s="4">
        <v>11.0</v>
      </c>
      <c r="B12" s="5" t="s">
        <v>21</v>
      </c>
      <c r="C12" s="6" t="s">
        <v>22</v>
      </c>
      <c r="D12" s="7" t="b">
        <v>1</v>
      </c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>
      <c r="A13" s="4">
        <v>12.0</v>
      </c>
      <c r="B13" s="5" t="s">
        <v>23</v>
      </c>
      <c r="C13" s="6" t="s">
        <v>23</v>
      </c>
      <c r="D13" s="7" t="b">
        <v>1</v>
      </c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>
      <c r="A14" s="4">
        <v>13.0</v>
      </c>
      <c r="B14" s="5" t="s">
        <v>24</v>
      </c>
      <c r="C14" s="6" t="s">
        <v>25</v>
      </c>
      <c r="D14" s="7" t="b">
        <v>1</v>
      </c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>
      <c r="A15" s="4">
        <v>14.0</v>
      </c>
      <c r="B15" s="11" t="s">
        <v>26</v>
      </c>
      <c r="C15" s="6" t="s">
        <v>27</v>
      </c>
      <c r="D15" s="7" t="b">
        <v>1</v>
      </c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>
      <c r="A16" s="4">
        <v>15.0</v>
      </c>
      <c r="B16" s="5" t="s">
        <v>28</v>
      </c>
      <c r="C16" s="6" t="s">
        <v>28</v>
      </c>
      <c r="D16" s="7" t="b">
        <v>1</v>
      </c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>
      <c r="A17" s="4">
        <v>16.0</v>
      </c>
      <c r="B17" s="10" t="s">
        <v>29</v>
      </c>
      <c r="C17" s="6" t="s">
        <v>30</v>
      </c>
      <c r="D17" s="7" t="b">
        <v>1</v>
      </c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>
      <c r="A18" s="4">
        <v>17.0</v>
      </c>
      <c r="B18" s="5" t="s">
        <v>31</v>
      </c>
      <c r="C18" s="6" t="s">
        <v>31</v>
      </c>
      <c r="D18" s="7" t="b">
        <v>1</v>
      </c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>
      <c r="A19" s="4">
        <v>18.0</v>
      </c>
      <c r="B19" s="12" t="s">
        <v>32</v>
      </c>
      <c r="C19" s="6" t="s">
        <v>33</v>
      </c>
      <c r="D19" s="7" t="b">
        <v>1</v>
      </c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>
      <c r="A20" s="4">
        <v>19.0</v>
      </c>
      <c r="B20" s="5" t="s">
        <v>34</v>
      </c>
      <c r="C20" s="6" t="s">
        <v>34</v>
      </c>
      <c r="D20" s="7" t="b">
        <v>1</v>
      </c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>
      <c r="A21" s="4">
        <v>20.0</v>
      </c>
      <c r="B21" s="13" t="s">
        <v>35</v>
      </c>
      <c r="C21" s="6" t="s">
        <v>35</v>
      </c>
      <c r="D21" s="7" t="b">
        <v>1</v>
      </c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>
      <c r="A22" s="14">
        <v>21.0</v>
      </c>
      <c r="B22" s="15" t="s">
        <v>36</v>
      </c>
      <c r="C22" s="6" t="s">
        <v>37</v>
      </c>
      <c r="D22" s="7" t="b">
        <v>1</v>
      </c>
      <c r="E22" s="7" t="s">
        <v>38</v>
      </c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>
      <c r="A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>
      <c r="A24" s="4" t="s">
        <v>39</v>
      </c>
      <c r="B24" s="2" t="s">
        <v>40</v>
      </c>
      <c r="C24" s="6" t="s">
        <v>40</v>
      </c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>
      <c r="A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</sheetData>
  <hyperlinks>
    <hyperlink display="Data Entry" location="'01 - Data Entry'!A1" ref="C2"/>
    <hyperlink display="Array Formula" location="'02 - Array Formula'!A1" ref="C3"/>
    <hyperlink display="Import Data" location="'03 - Import Data'!A1" ref="C4"/>
    <hyperlink display="Explore" location="'04 - Explore'!A1" ref="C5"/>
    <hyperlink display="Filter and Sort" location="'05 - Filter and Sort'!A1" ref="C6"/>
    <hyperlink display="Conditions" location="'06 - Conditions'!A1" ref="C7"/>
    <hyperlink display="Advanced Conditions" location="'07 - Advanced Conditions'!A1" ref="C8"/>
    <hyperlink display="Conditional Formatting" location="'08 - Conditional Formatting'!A1" ref="C9"/>
    <hyperlink display="Query and Summarize Data" location="'09 - Query and Summarize Data'!A1" ref="C10"/>
    <hyperlink display="Project Dynamic Query" location="'10 - Project Dynamic Query'!A1" ref="C11"/>
    <hyperlink display="Vlookup" location="'11 - Vlookup'!A1" ref="C12"/>
    <hyperlink display="Working with Date" location="'12 - Working with Date'!A1" ref="C13"/>
    <hyperlink display="Working with Text" location="'13 - Working with Text'!A1" ref="C14"/>
    <hyperlink display="Project Convert TH to EN Date" location="'14 - Project Convert TH to EN D'!A1" ref="C15"/>
    <hyperlink display="Regular Expressions" location="'15 - Regular Expressions'!A1" ref="C16"/>
    <hyperlink display="Project ID Card Parser" location="'16 - Project ID Card Parser'!A1" ref="C17"/>
    <hyperlink display="Match and Index" location="'17 - Match and Index'!A1" ref="C18"/>
    <hyperlink display="Project Simple App" location="'18 - Project Simple App'!A1" ref="C19"/>
    <hyperlink display="Sparkline Basics" location="'19 - Sparkline Basics'!A1" ref="C20"/>
    <hyperlink display="Google Translate" location="'20 - Google Translate'!A1" ref="C21"/>
    <hyperlink display="Pivot Table" location="'21 - Pivot Table'!A1" ref="C22"/>
    <hyperlink display="Simple ML" location="'Simple ML'!A1" ref="C24"/>
  </hyperlin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" t="s">
        <v>41</v>
      </c>
      <c r="B3" s="2" t="s">
        <v>42</v>
      </c>
      <c r="C3" s="3"/>
      <c r="D3" s="2" t="s">
        <v>43</v>
      </c>
      <c r="E3" s="3"/>
      <c r="F3" s="3"/>
      <c r="G3" s="3"/>
      <c r="H3" s="3"/>
      <c r="I3" s="3"/>
      <c r="J3" s="2" t="s">
        <v>44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6">
        <v>1.0</v>
      </c>
      <c r="B4" s="17">
        <f t="array" ref="B4:B13">SEQUENCE(10,1,6,5)</f>
        <v>6</v>
      </c>
      <c r="C4" s="3"/>
      <c r="D4" s="18">
        <f t="array" ref="D4:H4">{1,2,3,4,5}</f>
        <v>1</v>
      </c>
      <c r="E4" s="18">
        <v>2.0</v>
      </c>
      <c r="F4" s="18">
        <v>3.0</v>
      </c>
      <c r="G4" s="18">
        <v>4.0</v>
      </c>
      <c r="H4" s="18">
        <v>5.0</v>
      </c>
      <c r="I4" s="3"/>
      <c r="J4" s="18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6">
        <v>2.0</v>
      </c>
      <c r="B5" s="16">
        <v>11.0</v>
      </c>
      <c r="C5" s="3"/>
      <c r="D5" s="7"/>
      <c r="E5" s="7"/>
      <c r="F5" s="7"/>
      <c r="G5" s="7"/>
      <c r="H5" s="7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16">
        <v>3.0</v>
      </c>
      <c r="B6" s="16">
        <v>16.0</v>
      </c>
      <c r="C6" s="3"/>
      <c r="D6" s="2" t="s">
        <v>45</v>
      </c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16">
        <v>4.0</v>
      </c>
      <c r="B7" s="16">
        <v>21.0</v>
      </c>
      <c r="C7" s="3"/>
      <c r="D7" s="18" t="str">
        <f t="array" ref="D7:D11">{"Mon";"Drew";"Ya";"Boo";"Toy"}</f>
        <v>Mon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16">
        <v>5.0</v>
      </c>
      <c r="B8" s="16">
        <v>26.0</v>
      </c>
      <c r="C8" s="3"/>
      <c r="D8" s="18" t="s">
        <v>46</v>
      </c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16">
        <v>6.0</v>
      </c>
      <c r="B9" s="16">
        <v>31.0</v>
      </c>
      <c r="C9" s="3"/>
      <c r="D9" s="18" t="s">
        <v>47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16">
        <v>7.0</v>
      </c>
      <c r="B10" s="16">
        <v>36.0</v>
      </c>
      <c r="C10" s="3"/>
      <c r="D10" s="18" t="s">
        <v>48</v>
      </c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16">
        <v>8.0</v>
      </c>
      <c r="B11" s="16">
        <v>41.0</v>
      </c>
      <c r="C11" s="3"/>
      <c r="D11" s="18" t="s">
        <v>49</v>
      </c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6">
        <v>9.0</v>
      </c>
      <c r="B12" s="16">
        <v>46.0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6">
        <v>10.0</v>
      </c>
      <c r="B13" s="16">
        <v>51.0</v>
      </c>
      <c r="C13" s="3"/>
      <c r="D13" s="2" t="s">
        <v>50</v>
      </c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3"/>
      <c r="D14" s="19">
        <f t="array" ref="D14:F16">{1,2,3;4,5,6;7,8,9}</f>
        <v>1</v>
      </c>
      <c r="E14" s="18">
        <v>2.0</v>
      </c>
      <c r="F14" s="18">
        <v>3.0</v>
      </c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18">
        <v>4.0</v>
      </c>
      <c r="E15" s="18">
        <v>5.0</v>
      </c>
      <c r="F15" s="18">
        <v>6.0</v>
      </c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18">
        <v>7.0</v>
      </c>
      <c r="E16" s="18">
        <v>8.0</v>
      </c>
      <c r="F16" s="18">
        <v>9.0</v>
      </c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2" t="s">
        <v>51</v>
      </c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7" t="s">
        <v>52</v>
      </c>
      <c r="E19" s="18">
        <f t="array" ref="E19:E23">{MIN(B4:B13); AVERAGE(B4:B13); MEDIAN(B4:B13); STDEV(B4:B13); MAX(B4:B13)}</f>
        <v>6</v>
      </c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7" t="s">
        <v>53</v>
      </c>
      <c r="E20" s="18">
        <v>28.5</v>
      </c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7" t="s">
        <v>54</v>
      </c>
      <c r="E21" s="18">
        <v>28.5</v>
      </c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7" t="s">
        <v>55</v>
      </c>
      <c r="E22" s="20">
        <v>15.138251770487457</v>
      </c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7" t="s">
        <v>56</v>
      </c>
      <c r="E23" s="18">
        <v>51.0</v>
      </c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8" max="8" width="21.63"/>
  </cols>
  <sheetData>
    <row r="1">
      <c r="A1" s="2" t="s">
        <v>7</v>
      </c>
      <c r="B1" s="3"/>
      <c r="C1" s="3"/>
      <c r="D1" s="3"/>
      <c r="E1" s="21"/>
      <c r="F1" s="7" t="s">
        <v>57</v>
      </c>
      <c r="G1" s="22">
        <v>0.15</v>
      </c>
      <c r="H1" s="22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r="2">
      <c r="A2" s="3"/>
      <c r="B2" s="3"/>
      <c r="C2" s="3"/>
      <c r="D2" s="3"/>
      <c r="E2" s="21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>
      <c r="A3" s="23" t="s">
        <v>58</v>
      </c>
      <c r="B3" s="23" t="s">
        <v>59</v>
      </c>
      <c r="C3" s="23" t="s">
        <v>60</v>
      </c>
      <c r="D3" s="23" t="s">
        <v>61</v>
      </c>
      <c r="E3" s="24" t="s">
        <v>62</v>
      </c>
      <c r="F3" s="25" t="s">
        <v>63</v>
      </c>
      <c r="G3" s="25" t="s">
        <v>64</v>
      </c>
      <c r="H3" s="25" t="s">
        <v>65</v>
      </c>
      <c r="I3" s="25" t="s">
        <v>66</v>
      </c>
      <c r="J3" s="3"/>
      <c r="K3" s="2" t="s">
        <v>67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</row>
    <row r="4">
      <c r="A4" s="26" t="s">
        <v>68</v>
      </c>
      <c r="B4" s="26" t="s">
        <v>69</v>
      </c>
      <c r="C4" s="26" t="s">
        <v>70</v>
      </c>
      <c r="D4" s="27">
        <v>38261.0</v>
      </c>
      <c r="E4" s="28">
        <v>57500.0</v>
      </c>
      <c r="F4" s="29">
        <f>IFERROR(__xludf.DUMMYFUNCTION("ArrayFormula(TO_DOLLARS(E4:E28 ))"),57500.0)</f>
        <v>57500</v>
      </c>
      <c r="G4" s="18">
        <f t="array" ref="G4:G28">E4:E28*(1+G1)</f>
        <v>66125</v>
      </c>
      <c r="H4" s="18" t="str">
        <f t="array" ref="H4:H28">LOWER(B4:B28 &amp; "." &amp; LEFT(C4:C28,1) &amp; "@gmail.com")</f>
        <v>milgrom.p@gmail.com</v>
      </c>
      <c r="I4" s="18" t="b">
        <f t="array" ref="I4:I28">ISEMAIL(H4:H28)</f>
        <v>1</v>
      </c>
      <c r="J4" s="3"/>
      <c r="K4" s="7" t="s">
        <v>71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</row>
    <row r="5">
      <c r="A5" s="26" t="s">
        <v>72</v>
      </c>
      <c r="B5" s="26" t="s">
        <v>73</v>
      </c>
      <c r="C5" s="26" t="s">
        <v>74</v>
      </c>
      <c r="D5" s="27">
        <v>36906.0</v>
      </c>
      <c r="E5" s="28">
        <v>19500.0</v>
      </c>
      <c r="F5" s="29">
        <f>IFERROR(__xludf.DUMMYFUNCTION("""COMPUTED_VALUE"""),19500.0)</f>
        <v>19500</v>
      </c>
      <c r="G5" s="18">
        <v>22425.0</v>
      </c>
      <c r="H5" s="18" t="s">
        <v>75</v>
      </c>
      <c r="I5" s="18" t="b">
        <v>1</v>
      </c>
      <c r="J5" s="3"/>
      <c r="K5" s="7" t="s">
        <v>76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</row>
    <row r="6">
      <c r="A6" s="26" t="s">
        <v>77</v>
      </c>
      <c r="B6" s="26" t="s">
        <v>78</v>
      </c>
      <c r="C6" s="26" t="s">
        <v>79</v>
      </c>
      <c r="D6" s="27">
        <v>35501.0</v>
      </c>
      <c r="E6" s="28">
        <v>69000.0</v>
      </c>
      <c r="F6" s="29">
        <f>IFERROR(__xludf.DUMMYFUNCTION("""COMPUTED_VALUE"""),69000.0)</f>
        <v>69000</v>
      </c>
      <c r="G6" s="18">
        <v>79350.0</v>
      </c>
      <c r="H6" s="18" t="s">
        <v>80</v>
      </c>
      <c r="I6" s="18" t="b">
        <v>1</v>
      </c>
      <c r="J6" s="3"/>
      <c r="K6" s="7" t="s">
        <v>81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</row>
    <row r="7">
      <c r="A7" s="26" t="s">
        <v>82</v>
      </c>
      <c r="B7" s="26" t="s">
        <v>83</v>
      </c>
      <c r="C7" s="26" t="s">
        <v>84</v>
      </c>
      <c r="D7" s="27">
        <v>38578.0</v>
      </c>
      <c r="E7" s="28">
        <v>55000.0</v>
      </c>
      <c r="F7" s="29">
        <f>IFERROR(__xludf.DUMMYFUNCTION("""COMPUTED_VALUE"""),55000.0)</f>
        <v>55000</v>
      </c>
      <c r="G7" s="18">
        <v>63249.99999999999</v>
      </c>
      <c r="H7" s="18" t="s">
        <v>85</v>
      </c>
      <c r="I7" s="18" t="b">
        <v>1</v>
      </c>
      <c r="J7" s="3"/>
      <c r="K7" s="7" t="s">
        <v>86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</row>
    <row r="8">
      <c r="A8" s="26" t="s">
        <v>87</v>
      </c>
      <c r="B8" s="26" t="s">
        <v>88</v>
      </c>
      <c r="C8" s="26" t="s">
        <v>89</v>
      </c>
      <c r="D8" s="27">
        <v>35188.0</v>
      </c>
      <c r="E8" s="28">
        <v>47500.0</v>
      </c>
      <c r="F8" s="29">
        <f>IFERROR(__xludf.DUMMYFUNCTION("""COMPUTED_VALUE"""),47500.0)</f>
        <v>47500</v>
      </c>
      <c r="G8" s="18">
        <v>54624.99999999999</v>
      </c>
      <c r="H8" s="18" t="s">
        <v>90</v>
      </c>
      <c r="I8" s="18" t="b">
        <v>1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</row>
    <row r="9">
      <c r="A9" s="26" t="s">
        <v>91</v>
      </c>
      <c r="B9" s="26" t="s">
        <v>92</v>
      </c>
      <c r="C9" s="26" t="s">
        <v>93</v>
      </c>
      <c r="D9" s="27">
        <v>34014.0</v>
      </c>
      <c r="E9" s="28">
        <v>100000.0</v>
      </c>
      <c r="F9" s="29">
        <f>IFERROR(__xludf.DUMMYFUNCTION("""COMPUTED_VALUE"""),100000.0)</f>
        <v>100000</v>
      </c>
      <c r="G9" s="18">
        <v>114999.99999999999</v>
      </c>
      <c r="H9" s="18" t="s">
        <v>94</v>
      </c>
      <c r="I9" s="18" t="b">
        <v>1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</row>
    <row r="10">
      <c r="A10" s="26" t="s">
        <v>95</v>
      </c>
      <c r="B10" s="26" t="s">
        <v>96</v>
      </c>
      <c r="C10" s="26" t="s">
        <v>97</v>
      </c>
      <c r="D10" s="27">
        <v>28212.0</v>
      </c>
      <c r="E10" s="28">
        <v>125000.0</v>
      </c>
      <c r="F10" s="29">
        <f>IFERROR(__xludf.DUMMYFUNCTION("""COMPUTED_VALUE"""),125000.0)</f>
        <v>125000</v>
      </c>
      <c r="G10" s="18">
        <v>143750.0</v>
      </c>
      <c r="H10" s="18" t="s">
        <v>98</v>
      </c>
      <c r="I10" s="18" t="b">
        <v>1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</row>
    <row r="11">
      <c r="A11" s="26" t="s">
        <v>99</v>
      </c>
      <c r="B11" s="26" t="s">
        <v>100</v>
      </c>
      <c r="C11" s="26" t="s">
        <v>101</v>
      </c>
      <c r="D11" s="27">
        <v>38718.0</v>
      </c>
      <c r="E11" s="28">
        <v>42500.0</v>
      </c>
      <c r="F11" s="29">
        <f>IFERROR(__xludf.DUMMYFUNCTION("""COMPUTED_VALUE"""),42500.0)</f>
        <v>42500</v>
      </c>
      <c r="G11" s="18">
        <v>48874.99999999999</v>
      </c>
      <c r="H11" s="18" t="s">
        <v>102</v>
      </c>
      <c r="I11" s="18" t="b">
        <v>1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</row>
    <row r="12">
      <c r="A12" s="26" t="s">
        <v>103</v>
      </c>
      <c r="B12" s="26" t="s">
        <v>104</v>
      </c>
      <c r="C12" s="26" t="s">
        <v>74</v>
      </c>
      <c r="D12" s="27">
        <v>38505.0</v>
      </c>
      <c r="E12" s="28">
        <v>69000.0</v>
      </c>
      <c r="F12" s="29">
        <f>IFERROR(__xludf.DUMMYFUNCTION("""COMPUTED_VALUE"""),69000.0)</f>
        <v>69000</v>
      </c>
      <c r="G12" s="18">
        <v>79350.0</v>
      </c>
      <c r="H12" s="18" t="s">
        <v>105</v>
      </c>
      <c r="I12" s="18" t="b">
        <v>1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</row>
    <row r="13">
      <c r="A13" s="26" t="s">
        <v>106</v>
      </c>
      <c r="B13" s="26" t="s">
        <v>107</v>
      </c>
      <c r="C13" s="26" t="s">
        <v>79</v>
      </c>
      <c r="D13" s="27">
        <v>36861.0</v>
      </c>
      <c r="E13" s="28">
        <v>49500.0</v>
      </c>
      <c r="F13" s="29">
        <f>IFERROR(__xludf.DUMMYFUNCTION("""COMPUTED_VALUE"""),49500.0)</f>
        <v>49500</v>
      </c>
      <c r="G13" s="18">
        <v>56924.99999999999</v>
      </c>
      <c r="H13" s="18" t="s">
        <v>108</v>
      </c>
      <c r="I13" s="18" t="b">
        <v>1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</row>
    <row r="14">
      <c r="A14" s="26" t="s">
        <v>109</v>
      </c>
      <c r="B14" s="26" t="s">
        <v>100</v>
      </c>
      <c r="C14" s="26" t="s">
        <v>110</v>
      </c>
      <c r="D14" s="27">
        <v>33267.0</v>
      </c>
      <c r="E14" s="28">
        <v>65000.0</v>
      </c>
      <c r="F14" s="29">
        <f>IFERROR(__xludf.DUMMYFUNCTION("""COMPUTED_VALUE"""),65000.0)</f>
        <v>65000</v>
      </c>
      <c r="G14" s="18">
        <v>74750.0</v>
      </c>
      <c r="H14" s="18" t="s">
        <v>111</v>
      </c>
      <c r="I14" s="18" t="b">
        <v>1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</row>
    <row r="15">
      <c r="A15" s="26" t="s">
        <v>112</v>
      </c>
      <c r="B15" s="26" t="s">
        <v>113</v>
      </c>
      <c r="C15" s="26" t="s">
        <v>114</v>
      </c>
      <c r="D15" s="27">
        <v>36957.0</v>
      </c>
      <c r="E15" s="28">
        <v>18500.0</v>
      </c>
      <c r="F15" s="29">
        <f>IFERROR(__xludf.DUMMYFUNCTION("""COMPUTED_VALUE"""),18500.0)</f>
        <v>18500</v>
      </c>
      <c r="G15" s="18">
        <v>21275.0</v>
      </c>
      <c r="H15" s="18" t="s">
        <v>115</v>
      </c>
      <c r="I15" s="18" t="b">
        <v>1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</row>
    <row r="16">
      <c r="A16" s="26" t="s">
        <v>116</v>
      </c>
      <c r="B16" s="26" t="s">
        <v>117</v>
      </c>
      <c r="C16" s="26" t="s">
        <v>118</v>
      </c>
      <c r="D16" s="27">
        <v>31510.0</v>
      </c>
      <c r="E16" s="28">
        <v>65000.0</v>
      </c>
      <c r="F16" s="29">
        <f>IFERROR(__xludf.DUMMYFUNCTION("""COMPUTED_VALUE"""),65000.0)</f>
        <v>65000</v>
      </c>
      <c r="G16" s="18">
        <v>74750.0</v>
      </c>
      <c r="H16" s="18" t="s">
        <v>119</v>
      </c>
      <c r="I16" s="18" t="b">
        <v>1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</row>
    <row r="17">
      <c r="A17" s="26" t="s">
        <v>120</v>
      </c>
      <c r="B17" s="26" t="s">
        <v>121</v>
      </c>
      <c r="C17" s="26" t="s">
        <v>122</v>
      </c>
      <c r="D17" s="27">
        <v>37945.0</v>
      </c>
      <c r="E17" s="28">
        <v>58000.0</v>
      </c>
      <c r="F17" s="29">
        <f>IFERROR(__xludf.DUMMYFUNCTION("""COMPUTED_VALUE"""),58000.0)</f>
        <v>58000</v>
      </c>
      <c r="G17" s="18">
        <v>66700.0</v>
      </c>
      <c r="H17" s="18" t="s">
        <v>123</v>
      </c>
      <c r="I17" s="18" t="b">
        <v>1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</row>
    <row r="18">
      <c r="A18" s="26" t="s">
        <v>124</v>
      </c>
      <c r="B18" s="26" t="s">
        <v>110</v>
      </c>
      <c r="C18" s="26" t="s">
        <v>125</v>
      </c>
      <c r="D18" s="27">
        <v>31147.0</v>
      </c>
      <c r="E18" s="28">
        <v>75000.0</v>
      </c>
      <c r="F18" s="29">
        <f>IFERROR(__xludf.DUMMYFUNCTION("""COMPUTED_VALUE"""),75000.0)</f>
        <v>75000</v>
      </c>
      <c r="G18" s="18">
        <v>86250.0</v>
      </c>
      <c r="H18" s="18" t="s">
        <v>126</v>
      </c>
      <c r="I18" s="18" t="b">
        <v>1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</row>
    <row r="19">
      <c r="A19" s="26" t="s">
        <v>127</v>
      </c>
      <c r="B19" s="26" t="s">
        <v>128</v>
      </c>
      <c r="C19" s="26" t="s">
        <v>129</v>
      </c>
      <c r="D19" s="27">
        <v>33267.0</v>
      </c>
      <c r="E19" s="28">
        <v>58500.0</v>
      </c>
      <c r="F19" s="29">
        <f>IFERROR(__xludf.DUMMYFUNCTION("""COMPUTED_VALUE"""),58500.0)</f>
        <v>58500</v>
      </c>
      <c r="G19" s="18">
        <v>67275.0</v>
      </c>
      <c r="H19" s="18" t="s">
        <v>130</v>
      </c>
      <c r="I19" s="18" t="b">
        <v>1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</row>
    <row r="20">
      <c r="A20" s="26" t="s">
        <v>131</v>
      </c>
      <c r="B20" s="26" t="s">
        <v>132</v>
      </c>
      <c r="C20" s="26" t="s">
        <v>133</v>
      </c>
      <c r="D20" s="27">
        <v>35992.0</v>
      </c>
      <c r="E20" s="28">
        <v>150000.0</v>
      </c>
      <c r="F20" s="29">
        <f>IFERROR(__xludf.DUMMYFUNCTION("""COMPUTED_VALUE"""),150000.0)</f>
        <v>150000</v>
      </c>
      <c r="G20" s="18">
        <v>172500.0</v>
      </c>
      <c r="H20" s="18" t="s">
        <v>134</v>
      </c>
      <c r="I20" s="18" t="b">
        <v>1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</row>
    <row r="21">
      <c r="A21" s="26" t="s">
        <v>135</v>
      </c>
      <c r="B21" s="26" t="s">
        <v>136</v>
      </c>
      <c r="C21" s="26" t="s">
        <v>70</v>
      </c>
      <c r="D21" s="27">
        <v>37827.0</v>
      </c>
      <c r="E21" s="28">
        <v>45000.0</v>
      </c>
      <c r="F21" s="29">
        <f>IFERROR(__xludf.DUMMYFUNCTION("""COMPUTED_VALUE"""),45000.0)</f>
        <v>45000</v>
      </c>
      <c r="G21" s="18">
        <v>51749.99999999999</v>
      </c>
      <c r="H21" s="18" t="s">
        <v>137</v>
      </c>
      <c r="I21" s="18" t="b">
        <v>1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</row>
    <row r="22">
      <c r="A22" s="26" t="s">
        <v>138</v>
      </c>
      <c r="B22" s="26" t="s">
        <v>139</v>
      </c>
      <c r="C22" s="26" t="s">
        <v>140</v>
      </c>
      <c r="D22" s="27">
        <v>35964.0</v>
      </c>
      <c r="E22" s="28">
        <v>40000.0</v>
      </c>
      <c r="F22" s="29">
        <f>IFERROR(__xludf.DUMMYFUNCTION("""COMPUTED_VALUE"""),40000.0)</f>
        <v>40000</v>
      </c>
      <c r="G22" s="18">
        <v>46000.0</v>
      </c>
      <c r="H22" s="18" t="s">
        <v>141</v>
      </c>
      <c r="I22" s="18" t="b">
        <v>1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</row>
    <row r="23">
      <c r="A23" s="26" t="s">
        <v>142</v>
      </c>
      <c r="B23" s="26" t="s">
        <v>143</v>
      </c>
      <c r="C23" s="26" t="s">
        <v>144</v>
      </c>
      <c r="D23" s="27">
        <v>30816.0</v>
      </c>
      <c r="E23" s="28">
        <v>79000.0</v>
      </c>
      <c r="F23" s="29">
        <f>IFERROR(__xludf.DUMMYFUNCTION("""COMPUTED_VALUE"""),79000.0)</f>
        <v>79000</v>
      </c>
      <c r="G23" s="18">
        <v>90850.0</v>
      </c>
      <c r="H23" s="18" t="s">
        <v>145</v>
      </c>
      <c r="I23" s="18" t="b">
        <v>1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</row>
    <row r="24">
      <c r="A24" s="26" t="s">
        <v>146</v>
      </c>
      <c r="B24" s="26" t="s">
        <v>147</v>
      </c>
      <c r="C24" s="26" t="s">
        <v>118</v>
      </c>
      <c r="D24" s="27">
        <v>33770.0</v>
      </c>
      <c r="E24" s="28">
        <v>55000.0</v>
      </c>
      <c r="F24" s="29">
        <f>IFERROR(__xludf.DUMMYFUNCTION("""COMPUTED_VALUE"""),55000.0)</f>
        <v>55000</v>
      </c>
      <c r="G24" s="18">
        <v>63249.99999999999</v>
      </c>
      <c r="H24" s="18" t="s">
        <v>148</v>
      </c>
      <c r="I24" s="18" t="b">
        <v>1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</row>
    <row r="25">
      <c r="A25" s="26" t="s">
        <v>149</v>
      </c>
      <c r="B25" s="26" t="s">
        <v>150</v>
      </c>
      <c r="C25" s="26" t="s">
        <v>151</v>
      </c>
      <c r="D25" s="27">
        <v>38955.0</v>
      </c>
      <c r="E25" s="28">
        <v>23000.0</v>
      </c>
      <c r="F25" s="29">
        <f>IFERROR(__xludf.DUMMYFUNCTION("""COMPUTED_VALUE"""),23000.0)</f>
        <v>23000</v>
      </c>
      <c r="G25" s="18">
        <v>26449.999999999996</v>
      </c>
      <c r="H25" s="18" t="s">
        <v>152</v>
      </c>
      <c r="I25" s="18" t="b">
        <v>1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</row>
    <row r="26">
      <c r="A26" s="26" t="s">
        <v>153</v>
      </c>
      <c r="B26" s="26" t="s">
        <v>154</v>
      </c>
      <c r="C26" s="26" t="s">
        <v>129</v>
      </c>
      <c r="D26" s="27">
        <v>37533.0</v>
      </c>
      <c r="E26" s="28">
        <v>52000.0</v>
      </c>
      <c r="F26" s="29">
        <f>IFERROR(__xludf.DUMMYFUNCTION("""COMPUTED_VALUE"""),52000.0)</f>
        <v>52000</v>
      </c>
      <c r="G26" s="18">
        <v>59799.99999999999</v>
      </c>
      <c r="H26" s="18" t="s">
        <v>155</v>
      </c>
      <c r="I26" s="18" t="b">
        <v>1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</row>
    <row r="27">
      <c r="A27" s="26" t="s">
        <v>156</v>
      </c>
      <c r="B27" s="26" t="s">
        <v>157</v>
      </c>
      <c r="C27" s="26" t="s">
        <v>158</v>
      </c>
      <c r="D27" s="27">
        <v>35698.0</v>
      </c>
      <c r="E27" s="28">
        <v>38500.0</v>
      </c>
      <c r="F27" s="29">
        <f>IFERROR(__xludf.DUMMYFUNCTION("""COMPUTED_VALUE"""),38500.0)</f>
        <v>38500</v>
      </c>
      <c r="G27" s="18">
        <v>44275.0</v>
      </c>
      <c r="H27" s="18" t="s">
        <v>159</v>
      </c>
      <c r="I27" s="18" t="b">
        <v>1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</row>
    <row r="28">
      <c r="A28" s="26" t="s">
        <v>160</v>
      </c>
      <c r="B28" s="26" t="s">
        <v>161</v>
      </c>
      <c r="C28" s="26" t="s">
        <v>129</v>
      </c>
      <c r="D28" s="27">
        <v>29427.0</v>
      </c>
      <c r="E28" s="28">
        <v>175000.0</v>
      </c>
      <c r="F28" s="29">
        <f>IFERROR(__xludf.DUMMYFUNCTION("""COMPUTED_VALUE"""),175000.0)</f>
        <v>175000</v>
      </c>
      <c r="G28" s="18">
        <v>201249.99999999997</v>
      </c>
      <c r="H28" s="18" t="s">
        <v>162</v>
      </c>
      <c r="I28" s="18" t="b">
        <v>1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</row>
    <row r="29">
      <c r="A29" s="3"/>
      <c r="B29" s="3"/>
      <c r="C29" s="3"/>
      <c r="D29" s="3"/>
      <c r="E29" s="21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</row>
    <row r="30">
      <c r="A30" s="3"/>
      <c r="B30" s="3"/>
      <c r="C30" s="3"/>
      <c r="D30" s="3"/>
      <c r="E30" s="21"/>
      <c r="F30" s="30"/>
      <c r="G30" s="30"/>
      <c r="H30" s="30"/>
      <c r="I30" s="30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</row>
    <row r="31">
      <c r="A31" s="3"/>
      <c r="B31" s="3"/>
      <c r="C31" s="7"/>
      <c r="D31" s="7"/>
      <c r="E31" s="21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</row>
    <row r="32">
      <c r="A32" s="3"/>
      <c r="B32" s="3"/>
      <c r="C32" s="3"/>
      <c r="D32" s="3"/>
      <c r="E32" s="21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</row>
    <row r="33">
      <c r="A33" s="3"/>
      <c r="B33" s="3"/>
      <c r="C33" s="3"/>
      <c r="D33" s="3"/>
      <c r="E33" s="21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</row>
    <row r="34">
      <c r="A34" s="3"/>
      <c r="B34" s="3"/>
      <c r="C34" s="3"/>
      <c r="D34" s="3"/>
      <c r="E34" s="21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</row>
    <row r="35">
      <c r="A35" s="3"/>
      <c r="B35" s="3"/>
      <c r="C35" s="3"/>
      <c r="D35" s="3"/>
      <c r="E35" s="21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</row>
    <row r="36">
      <c r="A36" s="3"/>
      <c r="B36" s="3"/>
      <c r="C36" s="3"/>
      <c r="D36" s="3"/>
      <c r="E36" s="21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</row>
    <row r="37">
      <c r="A37" s="3"/>
      <c r="B37" s="3"/>
      <c r="C37" s="3"/>
      <c r="D37" s="3"/>
      <c r="E37" s="21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</row>
    <row r="38">
      <c r="A38" s="3"/>
      <c r="B38" s="3"/>
      <c r="C38" s="3"/>
      <c r="D38" s="3"/>
      <c r="E38" s="21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</row>
    <row r="39">
      <c r="A39" s="3"/>
      <c r="B39" s="3"/>
      <c r="C39" s="3"/>
      <c r="D39" s="3"/>
      <c r="E39" s="21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</row>
    <row r="40">
      <c r="A40" s="3"/>
      <c r="B40" s="3"/>
      <c r="C40" s="3"/>
      <c r="D40" s="3"/>
      <c r="E40" s="21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</row>
    <row r="41">
      <c r="A41" s="3"/>
      <c r="B41" s="3"/>
      <c r="C41" s="3"/>
      <c r="D41" s="3"/>
      <c r="E41" s="21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</row>
    <row r="42">
      <c r="A42" s="3"/>
      <c r="B42" s="3"/>
      <c r="C42" s="3"/>
      <c r="D42" s="3"/>
      <c r="E42" s="21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</row>
    <row r="43">
      <c r="A43" s="3"/>
      <c r="B43" s="3"/>
      <c r="C43" s="3"/>
      <c r="D43" s="3"/>
      <c r="E43" s="21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</row>
    <row r="44">
      <c r="A44" s="3"/>
      <c r="B44" s="3"/>
      <c r="C44" s="3"/>
      <c r="D44" s="3"/>
      <c r="E44" s="21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</row>
    <row r="45">
      <c r="A45" s="3"/>
      <c r="B45" s="3"/>
      <c r="C45" s="3"/>
      <c r="D45" s="3"/>
      <c r="E45" s="21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</row>
    <row r="46">
      <c r="A46" s="3"/>
      <c r="B46" s="3"/>
      <c r="C46" s="3"/>
      <c r="D46" s="3"/>
      <c r="E46" s="21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</row>
    <row r="47">
      <c r="A47" s="3"/>
      <c r="B47" s="3"/>
      <c r="C47" s="3"/>
      <c r="D47" s="3"/>
      <c r="E47" s="21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</row>
    <row r="48">
      <c r="A48" s="3"/>
      <c r="B48" s="3"/>
      <c r="C48" s="3"/>
      <c r="D48" s="3"/>
      <c r="E48" s="21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</row>
    <row r="49">
      <c r="A49" s="3"/>
      <c r="B49" s="3"/>
      <c r="C49" s="3"/>
      <c r="D49" s="3"/>
      <c r="E49" s="21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</row>
    <row r="50">
      <c r="A50" s="3"/>
      <c r="B50" s="3"/>
      <c r="C50" s="3"/>
      <c r="D50" s="3"/>
      <c r="E50" s="21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</row>
    <row r="51">
      <c r="A51" s="3"/>
      <c r="B51" s="3"/>
      <c r="C51" s="3"/>
      <c r="D51" s="3"/>
      <c r="E51" s="21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</row>
    <row r="52">
      <c r="A52" s="3"/>
      <c r="B52" s="3"/>
      <c r="C52" s="3"/>
      <c r="D52" s="3"/>
      <c r="E52" s="21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</row>
    <row r="53">
      <c r="A53" s="3"/>
      <c r="B53" s="3"/>
      <c r="C53" s="3"/>
      <c r="D53" s="3"/>
      <c r="E53" s="21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</row>
    <row r="54">
      <c r="A54" s="3"/>
      <c r="B54" s="3"/>
      <c r="C54" s="3"/>
      <c r="D54" s="3"/>
      <c r="E54" s="21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</row>
    <row r="55">
      <c r="A55" s="3"/>
      <c r="B55" s="3"/>
      <c r="C55" s="3"/>
      <c r="D55" s="3"/>
      <c r="E55" s="21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</row>
    <row r="56">
      <c r="A56" s="3"/>
      <c r="B56" s="3"/>
      <c r="C56" s="3"/>
      <c r="D56" s="3"/>
      <c r="E56" s="21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</row>
    <row r="57">
      <c r="A57" s="3"/>
      <c r="B57" s="3"/>
      <c r="C57" s="3"/>
      <c r="D57" s="3"/>
      <c r="E57" s="21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</row>
    <row r="58">
      <c r="A58" s="3"/>
      <c r="B58" s="3"/>
      <c r="C58" s="3"/>
      <c r="D58" s="3"/>
      <c r="E58" s="21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</row>
    <row r="59">
      <c r="A59" s="3"/>
      <c r="B59" s="3"/>
      <c r="C59" s="3"/>
      <c r="D59" s="3"/>
      <c r="E59" s="21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</row>
    <row r="60">
      <c r="A60" s="3"/>
      <c r="B60" s="3"/>
      <c r="C60" s="3"/>
      <c r="D60" s="3"/>
      <c r="E60" s="21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</row>
    <row r="61">
      <c r="A61" s="3"/>
      <c r="B61" s="3"/>
      <c r="C61" s="3"/>
      <c r="D61" s="3"/>
      <c r="E61" s="21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</row>
    <row r="62">
      <c r="A62" s="3"/>
      <c r="B62" s="3"/>
      <c r="C62" s="3"/>
      <c r="D62" s="3"/>
      <c r="E62" s="21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</row>
    <row r="63">
      <c r="A63" s="3"/>
      <c r="B63" s="3"/>
      <c r="C63" s="3"/>
      <c r="D63" s="3"/>
      <c r="E63" s="21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</row>
    <row r="64">
      <c r="A64" s="3"/>
      <c r="B64" s="3"/>
      <c r="C64" s="3"/>
      <c r="D64" s="3"/>
      <c r="E64" s="21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</row>
    <row r="65">
      <c r="A65" s="3"/>
      <c r="B65" s="3"/>
      <c r="C65" s="3"/>
      <c r="D65" s="3"/>
      <c r="E65" s="21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</row>
    <row r="66">
      <c r="A66" s="3"/>
      <c r="B66" s="3"/>
      <c r="C66" s="3"/>
      <c r="D66" s="3"/>
      <c r="E66" s="21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</row>
    <row r="67">
      <c r="A67" s="3"/>
      <c r="B67" s="3"/>
      <c r="C67" s="3"/>
      <c r="D67" s="3"/>
      <c r="E67" s="21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</row>
    <row r="68">
      <c r="A68" s="3"/>
      <c r="B68" s="3"/>
      <c r="C68" s="3"/>
      <c r="D68" s="3"/>
      <c r="E68" s="21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</row>
    <row r="69">
      <c r="A69" s="3"/>
      <c r="B69" s="3"/>
      <c r="C69" s="3"/>
      <c r="D69" s="3"/>
      <c r="E69" s="21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</row>
    <row r="70">
      <c r="A70" s="3"/>
      <c r="B70" s="3"/>
      <c r="C70" s="3"/>
      <c r="D70" s="3"/>
      <c r="E70" s="21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</row>
    <row r="71">
      <c r="A71" s="3"/>
      <c r="B71" s="3"/>
      <c r="C71" s="3"/>
      <c r="D71" s="3"/>
      <c r="E71" s="21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</row>
    <row r="72">
      <c r="A72" s="3"/>
      <c r="B72" s="3"/>
      <c r="C72" s="3"/>
      <c r="D72" s="3"/>
      <c r="E72" s="21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</row>
    <row r="73">
      <c r="A73" s="3"/>
      <c r="B73" s="3"/>
      <c r="C73" s="3"/>
      <c r="D73" s="3"/>
      <c r="E73" s="21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</row>
    <row r="74">
      <c r="A74" s="3"/>
      <c r="B74" s="3"/>
      <c r="C74" s="3"/>
      <c r="D74" s="3"/>
      <c r="E74" s="21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</row>
    <row r="75">
      <c r="A75" s="3"/>
      <c r="B75" s="3"/>
      <c r="C75" s="3"/>
      <c r="D75" s="3"/>
      <c r="E75" s="21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</row>
    <row r="76">
      <c r="A76" s="3"/>
      <c r="B76" s="3"/>
      <c r="C76" s="3"/>
      <c r="D76" s="3"/>
      <c r="E76" s="21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</row>
    <row r="77">
      <c r="A77" s="3"/>
      <c r="B77" s="3"/>
      <c r="C77" s="3"/>
      <c r="D77" s="3"/>
      <c r="E77" s="21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</row>
    <row r="78">
      <c r="A78" s="3"/>
      <c r="B78" s="3"/>
      <c r="C78" s="3"/>
      <c r="D78" s="3"/>
      <c r="E78" s="21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</row>
    <row r="79">
      <c r="A79" s="3"/>
      <c r="B79" s="3"/>
      <c r="C79" s="3"/>
      <c r="D79" s="3"/>
      <c r="E79" s="21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</row>
    <row r="80">
      <c r="A80" s="3"/>
      <c r="B80" s="3"/>
      <c r="C80" s="3"/>
      <c r="D80" s="3"/>
      <c r="E80" s="21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</row>
    <row r="81">
      <c r="A81" s="3"/>
      <c r="B81" s="3"/>
      <c r="C81" s="3"/>
      <c r="D81" s="3"/>
      <c r="E81" s="21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</row>
    <row r="82">
      <c r="A82" s="3"/>
      <c r="B82" s="3"/>
      <c r="C82" s="3"/>
      <c r="D82" s="3"/>
      <c r="E82" s="21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</row>
    <row r="83">
      <c r="A83" s="3"/>
      <c r="B83" s="3"/>
      <c r="C83" s="3"/>
      <c r="D83" s="3"/>
      <c r="E83" s="21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</row>
    <row r="84">
      <c r="A84" s="3"/>
      <c r="B84" s="3"/>
      <c r="C84" s="3"/>
      <c r="D84" s="3"/>
      <c r="E84" s="21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</row>
    <row r="85">
      <c r="A85" s="3"/>
      <c r="B85" s="3"/>
      <c r="C85" s="3"/>
      <c r="D85" s="3"/>
      <c r="E85" s="21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</row>
    <row r="86">
      <c r="A86" s="3"/>
      <c r="B86" s="3"/>
      <c r="C86" s="3"/>
      <c r="D86" s="3"/>
      <c r="E86" s="21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</row>
    <row r="87">
      <c r="A87" s="3"/>
      <c r="B87" s="3"/>
      <c r="C87" s="3"/>
      <c r="D87" s="3"/>
      <c r="E87" s="21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</row>
    <row r="88">
      <c r="A88" s="3"/>
      <c r="B88" s="3"/>
      <c r="C88" s="3"/>
      <c r="D88" s="3"/>
      <c r="E88" s="21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</row>
    <row r="89">
      <c r="A89" s="3"/>
      <c r="B89" s="3"/>
      <c r="C89" s="3"/>
      <c r="D89" s="3"/>
      <c r="E89" s="21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</row>
    <row r="90">
      <c r="A90" s="3"/>
      <c r="B90" s="3"/>
      <c r="C90" s="3"/>
      <c r="D90" s="3"/>
      <c r="E90" s="21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</row>
    <row r="91">
      <c r="A91" s="3"/>
      <c r="B91" s="3"/>
      <c r="C91" s="3"/>
      <c r="D91" s="3"/>
      <c r="E91" s="21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</row>
    <row r="92">
      <c r="A92" s="3"/>
      <c r="B92" s="3"/>
      <c r="C92" s="3"/>
      <c r="D92" s="3"/>
      <c r="E92" s="21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</row>
    <row r="93">
      <c r="A93" s="3"/>
      <c r="B93" s="3"/>
      <c r="C93" s="3"/>
      <c r="D93" s="3"/>
      <c r="E93" s="21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</row>
    <row r="94">
      <c r="A94" s="3"/>
      <c r="B94" s="3"/>
      <c r="C94" s="3"/>
      <c r="D94" s="3"/>
      <c r="E94" s="21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</row>
    <row r="95">
      <c r="A95" s="3"/>
      <c r="B95" s="3"/>
      <c r="C95" s="3"/>
      <c r="D95" s="3"/>
      <c r="E95" s="21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</row>
    <row r="96">
      <c r="A96" s="3"/>
      <c r="B96" s="3"/>
      <c r="C96" s="3"/>
      <c r="D96" s="3"/>
      <c r="E96" s="21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</row>
    <row r="97">
      <c r="A97" s="3"/>
      <c r="B97" s="3"/>
      <c r="C97" s="3"/>
      <c r="D97" s="3"/>
      <c r="E97" s="21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</row>
    <row r="98">
      <c r="A98" s="3"/>
      <c r="B98" s="3"/>
      <c r="C98" s="3"/>
      <c r="D98" s="3"/>
      <c r="E98" s="21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</row>
    <row r="99">
      <c r="A99" s="3"/>
      <c r="B99" s="3"/>
      <c r="C99" s="3"/>
      <c r="D99" s="3"/>
      <c r="E99" s="21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</row>
    <row r="100">
      <c r="A100" s="3"/>
      <c r="B100" s="3"/>
      <c r="C100" s="3"/>
      <c r="D100" s="3"/>
      <c r="E100" s="21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</row>
    <row r="101">
      <c r="A101" s="3"/>
      <c r="B101" s="3"/>
      <c r="C101" s="3"/>
      <c r="D101" s="3"/>
      <c r="E101" s="21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</row>
    <row r="102">
      <c r="A102" s="3"/>
      <c r="B102" s="3"/>
      <c r="C102" s="3"/>
      <c r="D102" s="3"/>
      <c r="E102" s="21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</row>
    <row r="103">
      <c r="A103" s="3"/>
      <c r="B103" s="3"/>
      <c r="C103" s="3"/>
      <c r="D103" s="3"/>
      <c r="E103" s="21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</row>
    <row r="104">
      <c r="A104" s="3"/>
      <c r="B104" s="3"/>
      <c r="C104" s="3"/>
      <c r="D104" s="3"/>
      <c r="E104" s="21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</row>
    <row r="105">
      <c r="A105" s="3"/>
      <c r="B105" s="3"/>
      <c r="C105" s="3"/>
      <c r="D105" s="3"/>
      <c r="E105" s="21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</row>
    <row r="106">
      <c r="A106" s="3"/>
      <c r="B106" s="3"/>
      <c r="C106" s="3"/>
      <c r="D106" s="3"/>
      <c r="E106" s="21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</row>
    <row r="107">
      <c r="A107" s="3"/>
      <c r="B107" s="3"/>
      <c r="C107" s="3"/>
      <c r="D107" s="3"/>
      <c r="E107" s="21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</row>
    <row r="108">
      <c r="A108" s="3"/>
      <c r="B108" s="3"/>
      <c r="C108" s="3"/>
      <c r="D108" s="3"/>
      <c r="E108" s="21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</row>
    <row r="109">
      <c r="A109" s="3"/>
      <c r="B109" s="3"/>
      <c r="C109" s="3"/>
      <c r="D109" s="3"/>
      <c r="E109" s="21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</row>
    <row r="110">
      <c r="A110" s="3"/>
      <c r="B110" s="3"/>
      <c r="C110" s="3"/>
      <c r="D110" s="3"/>
      <c r="E110" s="21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</row>
    <row r="111">
      <c r="A111" s="3"/>
      <c r="B111" s="3"/>
      <c r="C111" s="3"/>
      <c r="D111" s="3"/>
      <c r="E111" s="21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</row>
    <row r="112">
      <c r="A112" s="3"/>
      <c r="B112" s="3"/>
      <c r="C112" s="3"/>
      <c r="D112" s="3"/>
      <c r="E112" s="21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</row>
    <row r="113">
      <c r="A113" s="3"/>
      <c r="B113" s="3"/>
      <c r="C113" s="3"/>
      <c r="D113" s="3"/>
      <c r="E113" s="21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</row>
    <row r="114">
      <c r="A114" s="3"/>
      <c r="B114" s="3"/>
      <c r="C114" s="3"/>
      <c r="D114" s="3"/>
      <c r="E114" s="21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</row>
    <row r="115">
      <c r="A115" s="3"/>
      <c r="B115" s="3"/>
      <c r="C115" s="3"/>
      <c r="D115" s="3"/>
      <c r="E115" s="21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</row>
    <row r="116">
      <c r="A116" s="3"/>
      <c r="B116" s="3"/>
      <c r="C116" s="3"/>
      <c r="D116" s="3"/>
      <c r="E116" s="21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</row>
    <row r="117">
      <c r="A117" s="3"/>
      <c r="B117" s="3"/>
      <c r="C117" s="3"/>
      <c r="D117" s="3"/>
      <c r="E117" s="21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</row>
    <row r="118">
      <c r="A118" s="3"/>
      <c r="B118" s="3"/>
      <c r="C118" s="3"/>
      <c r="D118" s="3"/>
      <c r="E118" s="21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</row>
    <row r="119">
      <c r="A119" s="3"/>
      <c r="B119" s="3"/>
      <c r="C119" s="3"/>
      <c r="D119" s="3"/>
      <c r="E119" s="21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</row>
    <row r="120">
      <c r="A120" s="3"/>
      <c r="B120" s="3"/>
      <c r="C120" s="3"/>
      <c r="D120" s="3"/>
      <c r="E120" s="21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</row>
    <row r="121">
      <c r="A121" s="3"/>
      <c r="B121" s="3"/>
      <c r="C121" s="3"/>
      <c r="D121" s="3"/>
      <c r="E121" s="21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</row>
    <row r="122">
      <c r="A122" s="3"/>
      <c r="B122" s="3"/>
      <c r="C122" s="3"/>
      <c r="D122" s="3"/>
      <c r="E122" s="21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</row>
    <row r="123">
      <c r="A123" s="3"/>
      <c r="B123" s="3"/>
      <c r="C123" s="3"/>
      <c r="D123" s="3"/>
      <c r="E123" s="21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</row>
    <row r="124">
      <c r="A124" s="3"/>
      <c r="B124" s="3"/>
      <c r="C124" s="3"/>
      <c r="D124" s="3"/>
      <c r="E124" s="21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</row>
    <row r="125">
      <c r="A125" s="3"/>
      <c r="B125" s="3"/>
      <c r="C125" s="3"/>
      <c r="D125" s="3"/>
      <c r="E125" s="21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</row>
    <row r="126">
      <c r="A126" s="3"/>
      <c r="B126" s="3"/>
      <c r="C126" s="3"/>
      <c r="D126" s="3"/>
      <c r="E126" s="21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</row>
    <row r="127">
      <c r="A127" s="3"/>
      <c r="B127" s="3"/>
      <c r="C127" s="3"/>
      <c r="D127" s="3"/>
      <c r="E127" s="21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</row>
    <row r="128">
      <c r="A128" s="3"/>
      <c r="B128" s="3"/>
      <c r="C128" s="3"/>
      <c r="D128" s="3"/>
      <c r="E128" s="21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</row>
    <row r="129">
      <c r="A129" s="3"/>
      <c r="B129" s="3"/>
      <c r="C129" s="3"/>
      <c r="D129" s="3"/>
      <c r="E129" s="21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</row>
    <row r="130">
      <c r="A130" s="3"/>
      <c r="B130" s="3"/>
      <c r="C130" s="3"/>
      <c r="D130" s="3"/>
      <c r="E130" s="21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</row>
    <row r="131">
      <c r="A131" s="3"/>
      <c r="B131" s="3"/>
      <c r="C131" s="3"/>
      <c r="D131" s="3"/>
      <c r="E131" s="21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</row>
    <row r="132">
      <c r="A132" s="3"/>
      <c r="B132" s="3"/>
      <c r="C132" s="3"/>
      <c r="D132" s="3"/>
      <c r="E132" s="21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</row>
    <row r="133">
      <c r="A133" s="3"/>
      <c r="B133" s="3"/>
      <c r="C133" s="3"/>
      <c r="D133" s="3"/>
      <c r="E133" s="21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</row>
    <row r="134">
      <c r="A134" s="3"/>
      <c r="B134" s="3"/>
      <c r="C134" s="3"/>
      <c r="D134" s="3"/>
      <c r="E134" s="21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</row>
    <row r="135">
      <c r="A135" s="3"/>
      <c r="B135" s="3"/>
      <c r="C135" s="3"/>
      <c r="D135" s="3"/>
      <c r="E135" s="21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</row>
    <row r="136">
      <c r="A136" s="3"/>
      <c r="B136" s="3"/>
      <c r="C136" s="3"/>
      <c r="D136" s="3"/>
      <c r="E136" s="21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</row>
    <row r="137">
      <c r="A137" s="3"/>
      <c r="B137" s="3"/>
      <c r="C137" s="3"/>
      <c r="D137" s="3"/>
      <c r="E137" s="21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</row>
    <row r="138">
      <c r="A138" s="3"/>
      <c r="B138" s="3"/>
      <c r="C138" s="3"/>
      <c r="D138" s="3"/>
      <c r="E138" s="21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</row>
    <row r="139">
      <c r="A139" s="3"/>
      <c r="B139" s="3"/>
      <c r="C139" s="3"/>
      <c r="D139" s="3"/>
      <c r="E139" s="21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</row>
    <row r="140">
      <c r="A140" s="3"/>
      <c r="B140" s="3"/>
      <c r="C140" s="3"/>
      <c r="D140" s="3"/>
      <c r="E140" s="21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</row>
    <row r="141">
      <c r="A141" s="3"/>
      <c r="B141" s="3"/>
      <c r="C141" s="3"/>
      <c r="D141" s="3"/>
      <c r="E141" s="21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</row>
    <row r="142">
      <c r="A142" s="3"/>
      <c r="B142" s="3"/>
      <c r="C142" s="3"/>
      <c r="D142" s="3"/>
      <c r="E142" s="21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</row>
    <row r="143">
      <c r="A143" s="3"/>
      <c r="B143" s="3"/>
      <c r="C143" s="3"/>
      <c r="D143" s="3"/>
      <c r="E143" s="21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</row>
    <row r="144">
      <c r="A144" s="3"/>
      <c r="B144" s="3"/>
      <c r="C144" s="3"/>
      <c r="D144" s="3"/>
      <c r="E144" s="21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</row>
    <row r="145">
      <c r="A145" s="3"/>
      <c r="B145" s="3"/>
      <c r="C145" s="3"/>
      <c r="D145" s="3"/>
      <c r="E145" s="21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</row>
    <row r="146">
      <c r="A146" s="3"/>
      <c r="B146" s="3"/>
      <c r="C146" s="3"/>
      <c r="D146" s="3"/>
      <c r="E146" s="21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</row>
    <row r="147">
      <c r="A147" s="3"/>
      <c r="B147" s="3"/>
      <c r="C147" s="3"/>
      <c r="D147" s="3"/>
      <c r="E147" s="21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</row>
    <row r="148">
      <c r="A148" s="3"/>
      <c r="B148" s="3"/>
      <c r="C148" s="3"/>
      <c r="D148" s="3"/>
      <c r="E148" s="21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</row>
    <row r="149">
      <c r="A149" s="3"/>
      <c r="B149" s="3"/>
      <c r="C149" s="3"/>
      <c r="D149" s="3"/>
      <c r="E149" s="21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</row>
    <row r="150">
      <c r="A150" s="3"/>
      <c r="B150" s="3"/>
      <c r="C150" s="3"/>
      <c r="D150" s="3"/>
      <c r="E150" s="21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</row>
    <row r="151">
      <c r="A151" s="3"/>
      <c r="B151" s="3"/>
      <c r="C151" s="3"/>
      <c r="D151" s="3"/>
      <c r="E151" s="21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</row>
    <row r="152">
      <c r="A152" s="3"/>
      <c r="B152" s="3"/>
      <c r="C152" s="3"/>
      <c r="D152" s="3"/>
      <c r="E152" s="21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</row>
    <row r="153">
      <c r="A153" s="3"/>
      <c r="B153" s="3"/>
      <c r="C153" s="3"/>
      <c r="D153" s="3"/>
      <c r="E153" s="21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</row>
    <row r="154">
      <c r="A154" s="3"/>
      <c r="B154" s="3"/>
      <c r="C154" s="3"/>
      <c r="D154" s="3"/>
      <c r="E154" s="21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</row>
    <row r="155">
      <c r="A155" s="3"/>
      <c r="B155" s="3"/>
      <c r="C155" s="3"/>
      <c r="D155" s="3"/>
      <c r="E155" s="21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</row>
    <row r="156">
      <c r="A156" s="3"/>
      <c r="B156" s="3"/>
      <c r="C156" s="3"/>
      <c r="D156" s="3"/>
      <c r="E156" s="21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</row>
    <row r="157">
      <c r="A157" s="3"/>
      <c r="B157" s="3"/>
      <c r="C157" s="3"/>
      <c r="D157" s="3"/>
      <c r="E157" s="21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</row>
    <row r="158">
      <c r="A158" s="3"/>
      <c r="B158" s="3"/>
      <c r="C158" s="3"/>
      <c r="D158" s="3"/>
      <c r="E158" s="21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</row>
    <row r="159">
      <c r="A159" s="3"/>
      <c r="B159" s="3"/>
      <c r="C159" s="3"/>
      <c r="D159" s="3"/>
      <c r="E159" s="21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</row>
    <row r="160">
      <c r="A160" s="3"/>
      <c r="B160" s="3"/>
      <c r="C160" s="3"/>
      <c r="D160" s="3"/>
      <c r="E160" s="21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</row>
    <row r="161">
      <c r="A161" s="3"/>
      <c r="B161" s="3"/>
      <c r="C161" s="3"/>
      <c r="D161" s="3"/>
      <c r="E161" s="21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</row>
    <row r="162">
      <c r="A162" s="3"/>
      <c r="B162" s="3"/>
      <c r="C162" s="3"/>
      <c r="D162" s="3"/>
      <c r="E162" s="21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</row>
    <row r="163">
      <c r="A163" s="3"/>
      <c r="B163" s="3"/>
      <c r="C163" s="3"/>
      <c r="D163" s="3"/>
      <c r="E163" s="21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</row>
    <row r="164">
      <c r="A164" s="3"/>
      <c r="B164" s="3"/>
      <c r="C164" s="3"/>
      <c r="D164" s="3"/>
      <c r="E164" s="21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</row>
    <row r="165">
      <c r="A165" s="3"/>
      <c r="B165" s="3"/>
      <c r="C165" s="3"/>
      <c r="D165" s="3"/>
      <c r="E165" s="21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</row>
    <row r="166">
      <c r="A166" s="3"/>
      <c r="B166" s="3"/>
      <c r="C166" s="3"/>
      <c r="D166" s="3"/>
      <c r="E166" s="21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</row>
    <row r="167">
      <c r="A167" s="3"/>
      <c r="B167" s="3"/>
      <c r="C167" s="3"/>
      <c r="D167" s="3"/>
      <c r="E167" s="21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</row>
    <row r="168">
      <c r="A168" s="3"/>
      <c r="B168" s="3"/>
      <c r="C168" s="3"/>
      <c r="D168" s="3"/>
      <c r="E168" s="21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</row>
    <row r="169">
      <c r="A169" s="3"/>
      <c r="B169" s="3"/>
      <c r="C169" s="3"/>
      <c r="D169" s="3"/>
      <c r="E169" s="21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</row>
    <row r="170">
      <c r="A170" s="3"/>
      <c r="B170" s="3"/>
      <c r="C170" s="3"/>
      <c r="D170" s="3"/>
      <c r="E170" s="21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</row>
    <row r="171">
      <c r="A171" s="3"/>
      <c r="B171" s="3"/>
      <c r="C171" s="3"/>
      <c r="D171" s="3"/>
      <c r="E171" s="21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>
      <c r="A172" s="3"/>
      <c r="B172" s="3"/>
      <c r="C172" s="3"/>
      <c r="D172" s="3"/>
      <c r="E172" s="21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>
      <c r="A173" s="3"/>
      <c r="B173" s="3"/>
      <c r="C173" s="3"/>
      <c r="D173" s="3"/>
      <c r="E173" s="21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>
      <c r="A174" s="3"/>
      <c r="B174" s="3"/>
      <c r="C174" s="3"/>
      <c r="D174" s="3"/>
      <c r="E174" s="21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>
      <c r="A175" s="3"/>
      <c r="B175" s="3"/>
      <c r="C175" s="3"/>
      <c r="D175" s="3"/>
      <c r="E175" s="21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>
      <c r="A176" s="3"/>
      <c r="B176" s="3"/>
      <c r="C176" s="3"/>
      <c r="D176" s="3"/>
      <c r="E176" s="21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>
      <c r="A177" s="3"/>
      <c r="B177" s="3"/>
      <c r="C177" s="3"/>
      <c r="D177" s="3"/>
      <c r="E177" s="21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>
      <c r="A178" s="3"/>
      <c r="B178" s="3"/>
      <c r="C178" s="3"/>
      <c r="D178" s="3"/>
      <c r="E178" s="21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>
      <c r="A179" s="3"/>
      <c r="B179" s="3"/>
      <c r="C179" s="3"/>
      <c r="D179" s="3"/>
      <c r="E179" s="21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>
      <c r="A180" s="3"/>
      <c r="B180" s="3"/>
      <c r="C180" s="3"/>
      <c r="D180" s="3"/>
      <c r="E180" s="21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>
      <c r="A181" s="3"/>
      <c r="B181" s="3"/>
      <c r="C181" s="3"/>
      <c r="D181" s="3"/>
      <c r="E181" s="21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>
      <c r="A182" s="3"/>
      <c r="B182" s="3"/>
      <c r="C182" s="3"/>
      <c r="D182" s="3"/>
      <c r="E182" s="21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>
      <c r="A183" s="3"/>
      <c r="B183" s="3"/>
      <c r="C183" s="3"/>
      <c r="D183" s="3"/>
      <c r="E183" s="21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>
      <c r="A184" s="3"/>
      <c r="B184" s="3"/>
      <c r="C184" s="3"/>
      <c r="D184" s="3"/>
      <c r="E184" s="21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>
      <c r="A185" s="3"/>
      <c r="B185" s="3"/>
      <c r="C185" s="3"/>
      <c r="D185" s="3"/>
      <c r="E185" s="21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>
      <c r="A186" s="3"/>
      <c r="B186" s="3"/>
      <c r="C186" s="3"/>
      <c r="D186" s="3"/>
      <c r="E186" s="21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>
      <c r="A187" s="3"/>
      <c r="B187" s="3"/>
      <c r="C187" s="3"/>
      <c r="D187" s="3"/>
      <c r="E187" s="21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>
      <c r="A188" s="3"/>
      <c r="B188" s="3"/>
      <c r="C188" s="3"/>
      <c r="D188" s="3"/>
      <c r="E188" s="21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>
      <c r="A189" s="3"/>
      <c r="B189" s="3"/>
      <c r="C189" s="3"/>
      <c r="D189" s="3"/>
      <c r="E189" s="21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>
      <c r="A190" s="3"/>
      <c r="B190" s="3"/>
      <c r="C190" s="3"/>
      <c r="D190" s="3"/>
      <c r="E190" s="21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>
      <c r="A191" s="3"/>
      <c r="B191" s="3"/>
      <c r="C191" s="3"/>
      <c r="D191" s="3"/>
      <c r="E191" s="21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>
      <c r="A192" s="3"/>
      <c r="B192" s="3"/>
      <c r="C192" s="3"/>
      <c r="D192" s="3"/>
      <c r="E192" s="21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>
      <c r="A193" s="3"/>
      <c r="B193" s="3"/>
      <c r="C193" s="3"/>
      <c r="D193" s="3"/>
      <c r="E193" s="21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>
      <c r="A194" s="3"/>
      <c r="B194" s="3"/>
      <c r="C194" s="3"/>
      <c r="D194" s="3"/>
      <c r="E194" s="21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>
      <c r="A195" s="3"/>
      <c r="B195" s="3"/>
      <c r="C195" s="3"/>
      <c r="D195" s="3"/>
      <c r="E195" s="21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>
      <c r="A196" s="3"/>
      <c r="B196" s="3"/>
      <c r="C196" s="3"/>
      <c r="D196" s="3"/>
      <c r="E196" s="21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>
      <c r="A197" s="3"/>
      <c r="B197" s="3"/>
      <c r="C197" s="3"/>
      <c r="D197" s="3"/>
      <c r="E197" s="21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>
      <c r="A198" s="3"/>
      <c r="B198" s="3"/>
      <c r="C198" s="3"/>
      <c r="D198" s="3"/>
      <c r="E198" s="21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>
      <c r="A199" s="3"/>
      <c r="B199" s="3"/>
      <c r="C199" s="3"/>
      <c r="D199" s="3"/>
      <c r="E199" s="21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>
      <c r="A200" s="3"/>
      <c r="B200" s="3"/>
      <c r="C200" s="3"/>
      <c r="D200" s="3"/>
      <c r="E200" s="21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>
      <c r="A201" s="3"/>
      <c r="B201" s="3"/>
      <c r="C201" s="3"/>
      <c r="D201" s="3"/>
      <c r="E201" s="21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>
      <c r="A202" s="3"/>
      <c r="B202" s="3"/>
      <c r="C202" s="3"/>
      <c r="D202" s="3"/>
      <c r="E202" s="21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>
      <c r="A203" s="3"/>
      <c r="B203" s="3"/>
      <c r="C203" s="3"/>
      <c r="D203" s="3"/>
      <c r="E203" s="21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>
      <c r="A204" s="3"/>
      <c r="B204" s="3"/>
      <c r="C204" s="3"/>
      <c r="D204" s="3"/>
      <c r="E204" s="21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>
      <c r="A205" s="3"/>
      <c r="B205" s="3"/>
      <c r="C205" s="3"/>
      <c r="D205" s="3"/>
      <c r="E205" s="21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</row>
    <row r="206">
      <c r="A206" s="3"/>
      <c r="B206" s="3"/>
      <c r="C206" s="3"/>
      <c r="D206" s="3"/>
      <c r="E206" s="21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</row>
    <row r="207">
      <c r="A207" s="3"/>
      <c r="B207" s="3"/>
      <c r="C207" s="3"/>
      <c r="D207" s="3"/>
      <c r="E207" s="21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</row>
    <row r="208">
      <c r="A208" s="3"/>
      <c r="B208" s="3"/>
      <c r="C208" s="3"/>
      <c r="D208" s="3"/>
      <c r="E208" s="21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</row>
    <row r="209">
      <c r="A209" s="3"/>
      <c r="B209" s="3"/>
      <c r="C209" s="3"/>
      <c r="D209" s="3"/>
      <c r="E209" s="21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</row>
    <row r="210">
      <c r="A210" s="3"/>
      <c r="B210" s="3"/>
      <c r="C210" s="3"/>
      <c r="D210" s="3"/>
      <c r="E210" s="21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</row>
    <row r="211">
      <c r="A211" s="3"/>
      <c r="B211" s="3"/>
      <c r="C211" s="3"/>
      <c r="D211" s="3"/>
      <c r="E211" s="21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</row>
    <row r="212">
      <c r="A212" s="3"/>
      <c r="B212" s="3"/>
      <c r="C212" s="3"/>
      <c r="D212" s="3"/>
      <c r="E212" s="21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</row>
    <row r="213">
      <c r="A213" s="3"/>
      <c r="B213" s="3"/>
      <c r="C213" s="3"/>
      <c r="D213" s="3"/>
      <c r="E213" s="21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</row>
    <row r="214">
      <c r="A214" s="3"/>
      <c r="B214" s="3"/>
      <c r="C214" s="3"/>
      <c r="D214" s="3"/>
      <c r="E214" s="21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</row>
    <row r="215">
      <c r="A215" s="3"/>
      <c r="B215" s="3"/>
      <c r="C215" s="3"/>
      <c r="D215" s="3"/>
      <c r="E215" s="21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</row>
    <row r="216">
      <c r="A216" s="3"/>
      <c r="B216" s="3"/>
      <c r="C216" s="3"/>
      <c r="D216" s="3"/>
      <c r="E216" s="21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</row>
    <row r="217">
      <c r="A217" s="3"/>
      <c r="B217" s="3"/>
      <c r="C217" s="3"/>
      <c r="D217" s="3"/>
      <c r="E217" s="21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</row>
    <row r="218">
      <c r="A218" s="3"/>
      <c r="B218" s="3"/>
      <c r="C218" s="3"/>
      <c r="D218" s="3"/>
      <c r="E218" s="21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</row>
    <row r="219">
      <c r="A219" s="3"/>
      <c r="B219" s="3"/>
      <c r="C219" s="3"/>
      <c r="D219" s="3"/>
      <c r="E219" s="21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</row>
    <row r="220">
      <c r="A220" s="3"/>
      <c r="B220" s="3"/>
      <c r="C220" s="3"/>
      <c r="D220" s="3"/>
      <c r="E220" s="21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</row>
    <row r="221">
      <c r="A221" s="3"/>
      <c r="B221" s="3"/>
      <c r="C221" s="3"/>
      <c r="D221" s="3"/>
      <c r="E221" s="21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</row>
    <row r="222">
      <c r="A222" s="3"/>
      <c r="B222" s="3"/>
      <c r="C222" s="3"/>
      <c r="D222" s="3"/>
      <c r="E222" s="21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</row>
    <row r="223">
      <c r="A223" s="3"/>
      <c r="B223" s="3"/>
      <c r="C223" s="3"/>
      <c r="D223" s="3"/>
      <c r="E223" s="21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</row>
    <row r="224">
      <c r="A224" s="3"/>
      <c r="B224" s="3"/>
      <c r="C224" s="3"/>
      <c r="D224" s="3"/>
      <c r="E224" s="21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</row>
    <row r="225">
      <c r="A225" s="3"/>
      <c r="B225" s="3"/>
      <c r="C225" s="3"/>
      <c r="D225" s="3"/>
      <c r="E225" s="21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</row>
    <row r="226">
      <c r="A226" s="3"/>
      <c r="B226" s="3"/>
      <c r="C226" s="3"/>
      <c r="D226" s="3"/>
      <c r="E226" s="21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</row>
    <row r="227">
      <c r="A227" s="3"/>
      <c r="B227" s="3"/>
      <c r="C227" s="3"/>
      <c r="D227" s="3"/>
      <c r="E227" s="21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>
      <c r="A228" s="3"/>
      <c r="B228" s="3"/>
      <c r="C228" s="3"/>
      <c r="D228" s="3"/>
      <c r="E228" s="21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>
      <c r="A229" s="3"/>
      <c r="B229" s="3"/>
      <c r="C229" s="3"/>
      <c r="D229" s="3"/>
      <c r="E229" s="21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>
      <c r="A230" s="3"/>
      <c r="B230" s="3"/>
      <c r="C230" s="3"/>
      <c r="D230" s="3"/>
      <c r="E230" s="21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>
      <c r="A231" s="3"/>
      <c r="B231" s="3"/>
      <c r="C231" s="3"/>
      <c r="D231" s="3"/>
      <c r="E231" s="21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>
      <c r="A232" s="3"/>
      <c r="B232" s="3"/>
      <c r="C232" s="3"/>
      <c r="D232" s="3"/>
      <c r="E232" s="21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>
      <c r="A233" s="3"/>
      <c r="B233" s="3"/>
      <c r="C233" s="3"/>
      <c r="D233" s="3"/>
      <c r="E233" s="21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>
      <c r="A234" s="3"/>
      <c r="B234" s="3"/>
      <c r="C234" s="3"/>
      <c r="D234" s="3"/>
      <c r="E234" s="21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>
      <c r="A235" s="3"/>
      <c r="B235" s="3"/>
      <c r="C235" s="3"/>
      <c r="D235" s="3"/>
      <c r="E235" s="21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>
      <c r="A236" s="3"/>
      <c r="B236" s="3"/>
      <c r="C236" s="3"/>
      <c r="D236" s="3"/>
      <c r="E236" s="21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>
      <c r="A237" s="3"/>
      <c r="B237" s="3"/>
      <c r="C237" s="3"/>
      <c r="D237" s="3"/>
      <c r="E237" s="21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>
      <c r="A238" s="3"/>
      <c r="B238" s="3"/>
      <c r="C238" s="3"/>
      <c r="D238" s="3"/>
      <c r="E238" s="21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>
      <c r="A239" s="3"/>
      <c r="B239" s="3"/>
      <c r="C239" s="3"/>
      <c r="D239" s="3"/>
      <c r="E239" s="21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>
      <c r="A240" s="3"/>
      <c r="B240" s="3"/>
      <c r="C240" s="3"/>
      <c r="D240" s="3"/>
      <c r="E240" s="21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>
      <c r="A241" s="3"/>
      <c r="B241" s="3"/>
      <c r="C241" s="3"/>
      <c r="D241" s="3"/>
      <c r="E241" s="21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>
      <c r="A242" s="3"/>
      <c r="B242" s="3"/>
      <c r="C242" s="3"/>
      <c r="D242" s="3"/>
      <c r="E242" s="21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>
      <c r="A243" s="3"/>
      <c r="B243" s="3"/>
      <c r="C243" s="3"/>
      <c r="D243" s="3"/>
      <c r="E243" s="21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>
      <c r="A244" s="3"/>
      <c r="B244" s="3"/>
      <c r="C244" s="3"/>
      <c r="D244" s="3"/>
      <c r="E244" s="21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>
      <c r="A245" s="3"/>
      <c r="B245" s="3"/>
      <c r="C245" s="3"/>
      <c r="D245" s="3"/>
      <c r="E245" s="21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>
      <c r="A246" s="3"/>
      <c r="B246" s="3"/>
      <c r="C246" s="3"/>
      <c r="D246" s="3"/>
      <c r="E246" s="21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>
      <c r="A247" s="3"/>
      <c r="B247" s="3"/>
      <c r="C247" s="3"/>
      <c r="D247" s="3"/>
      <c r="E247" s="21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>
      <c r="A248" s="3"/>
      <c r="B248" s="3"/>
      <c r="C248" s="3"/>
      <c r="D248" s="3"/>
      <c r="E248" s="21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>
      <c r="A249" s="3"/>
      <c r="B249" s="3"/>
      <c r="C249" s="3"/>
      <c r="D249" s="3"/>
      <c r="E249" s="21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>
      <c r="A250" s="3"/>
      <c r="B250" s="3"/>
      <c r="C250" s="3"/>
      <c r="D250" s="3"/>
      <c r="E250" s="21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>
      <c r="A251" s="3"/>
      <c r="B251" s="3"/>
      <c r="C251" s="3"/>
      <c r="D251" s="3"/>
      <c r="E251" s="21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>
      <c r="A252" s="3"/>
      <c r="B252" s="3"/>
      <c r="C252" s="3"/>
      <c r="D252" s="3"/>
      <c r="E252" s="21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>
      <c r="A253" s="3"/>
      <c r="B253" s="3"/>
      <c r="C253" s="3"/>
      <c r="D253" s="3"/>
      <c r="E253" s="21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>
      <c r="A254" s="3"/>
      <c r="B254" s="3"/>
      <c r="C254" s="3"/>
      <c r="D254" s="3"/>
      <c r="E254" s="21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>
      <c r="A255" s="3"/>
      <c r="B255" s="3"/>
      <c r="C255" s="3"/>
      <c r="D255" s="3"/>
      <c r="E255" s="21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>
      <c r="A256" s="3"/>
      <c r="B256" s="3"/>
      <c r="C256" s="3"/>
      <c r="D256" s="3"/>
      <c r="E256" s="21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>
      <c r="A257" s="3"/>
      <c r="B257" s="3"/>
      <c r="C257" s="3"/>
      <c r="D257" s="3"/>
      <c r="E257" s="21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>
      <c r="A258" s="3"/>
      <c r="B258" s="3"/>
      <c r="C258" s="3"/>
      <c r="D258" s="3"/>
      <c r="E258" s="21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>
      <c r="A259" s="3"/>
      <c r="B259" s="3"/>
      <c r="C259" s="3"/>
      <c r="D259" s="3"/>
      <c r="E259" s="21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>
      <c r="A260" s="3"/>
      <c r="B260" s="3"/>
      <c r="C260" s="3"/>
      <c r="D260" s="3"/>
      <c r="E260" s="21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>
      <c r="A261" s="3"/>
      <c r="B261" s="3"/>
      <c r="C261" s="3"/>
      <c r="D261" s="3"/>
      <c r="E261" s="21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>
      <c r="A262" s="3"/>
      <c r="B262" s="3"/>
      <c r="C262" s="3"/>
      <c r="D262" s="3"/>
      <c r="E262" s="21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>
      <c r="A263" s="3"/>
      <c r="B263" s="3"/>
      <c r="C263" s="3"/>
      <c r="D263" s="3"/>
      <c r="E263" s="21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>
      <c r="A264" s="3"/>
      <c r="B264" s="3"/>
      <c r="C264" s="3"/>
      <c r="D264" s="3"/>
      <c r="E264" s="21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>
      <c r="A265" s="3"/>
      <c r="B265" s="3"/>
      <c r="C265" s="3"/>
      <c r="D265" s="3"/>
      <c r="E265" s="21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>
      <c r="A266" s="3"/>
      <c r="B266" s="3"/>
      <c r="C266" s="3"/>
      <c r="D266" s="3"/>
      <c r="E266" s="21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>
      <c r="A267" s="3"/>
      <c r="B267" s="3"/>
      <c r="C267" s="3"/>
      <c r="D267" s="3"/>
      <c r="E267" s="21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>
      <c r="A268" s="3"/>
      <c r="B268" s="3"/>
      <c r="C268" s="3"/>
      <c r="D268" s="3"/>
      <c r="E268" s="21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>
      <c r="A269" s="3"/>
      <c r="B269" s="3"/>
      <c r="C269" s="3"/>
      <c r="D269" s="3"/>
      <c r="E269" s="21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>
      <c r="A270" s="3"/>
      <c r="B270" s="3"/>
      <c r="C270" s="3"/>
      <c r="D270" s="3"/>
      <c r="E270" s="21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>
      <c r="A271" s="3"/>
      <c r="B271" s="3"/>
      <c r="C271" s="3"/>
      <c r="D271" s="3"/>
      <c r="E271" s="21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>
      <c r="A272" s="3"/>
      <c r="B272" s="3"/>
      <c r="C272" s="3"/>
      <c r="D272" s="3"/>
      <c r="E272" s="21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>
      <c r="A273" s="3"/>
      <c r="B273" s="3"/>
      <c r="C273" s="3"/>
      <c r="D273" s="3"/>
      <c r="E273" s="21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>
      <c r="A274" s="3"/>
      <c r="B274" s="3"/>
      <c r="C274" s="3"/>
      <c r="D274" s="3"/>
      <c r="E274" s="21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>
      <c r="A275" s="3"/>
      <c r="B275" s="3"/>
      <c r="C275" s="3"/>
      <c r="D275" s="3"/>
      <c r="E275" s="21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>
      <c r="A276" s="3"/>
      <c r="B276" s="3"/>
      <c r="C276" s="3"/>
      <c r="D276" s="3"/>
      <c r="E276" s="21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>
      <c r="A277" s="3"/>
      <c r="B277" s="3"/>
      <c r="C277" s="3"/>
      <c r="D277" s="3"/>
      <c r="E277" s="21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>
      <c r="A278" s="3"/>
      <c r="B278" s="3"/>
      <c r="C278" s="3"/>
      <c r="D278" s="3"/>
      <c r="E278" s="21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>
      <c r="A279" s="3"/>
      <c r="B279" s="3"/>
      <c r="C279" s="3"/>
      <c r="D279" s="3"/>
      <c r="E279" s="21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>
      <c r="A280" s="3"/>
      <c r="B280" s="3"/>
      <c r="C280" s="3"/>
      <c r="D280" s="3"/>
      <c r="E280" s="21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>
      <c r="A281" s="3"/>
      <c r="B281" s="3"/>
      <c r="C281" s="3"/>
      <c r="D281" s="3"/>
      <c r="E281" s="21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>
      <c r="A282" s="3"/>
      <c r="B282" s="3"/>
      <c r="C282" s="3"/>
      <c r="D282" s="3"/>
      <c r="E282" s="21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>
      <c r="A283" s="3"/>
      <c r="B283" s="3"/>
      <c r="C283" s="3"/>
      <c r="D283" s="3"/>
      <c r="E283" s="21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</row>
    <row r="284">
      <c r="A284" s="3"/>
      <c r="B284" s="3"/>
      <c r="C284" s="3"/>
      <c r="D284" s="3"/>
      <c r="E284" s="21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</row>
    <row r="285">
      <c r="A285" s="3"/>
      <c r="B285" s="3"/>
      <c r="C285" s="3"/>
      <c r="D285" s="3"/>
      <c r="E285" s="21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</row>
    <row r="286">
      <c r="A286" s="3"/>
      <c r="B286" s="3"/>
      <c r="C286" s="3"/>
      <c r="D286" s="3"/>
      <c r="E286" s="21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</row>
    <row r="287">
      <c r="A287" s="3"/>
      <c r="B287" s="3"/>
      <c r="C287" s="3"/>
      <c r="D287" s="3"/>
      <c r="E287" s="21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</row>
    <row r="288">
      <c r="A288" s="3"/>
      <c r="B288" s="3"/>
      <c r="C288" s="3"/>
      <c r="D288" s="3"/>
      <c r="E288" s="21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</row>
    <row r="289">
      <c r="A289" s="3"/>
      <c r="B289" s="3"/>
      <c r="C289" s="3"/>
      <c r="D289" s="3"/>
      <c r="E289" s="21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</row>
    <row r="290">
      <c r="A290" s="3"/>
      <c r="B290" s="3"/>
      <c r="C290" s="3"/>
      <c r="D290" s="3"/>
      <c r="E290" s="21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</row>
    <row r="291">
      <c r="A291" s="3"/>
      <c r="B291" s="3"/>
      <c r="C291" s="3"/>
      <c r="D291" s="3"/>
      <c r="E291" s="21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</row>
    <row r="292">
      <c r="A292" s="3"/>
      <c r="B292" s="3"/>
      <c r="C292" s="3"/>
      <c r="D292" s="3"/>
      <c r="E292" s="21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</row>
    <row r="293">
      <c r="A293" s="3"/>
      <c r="B293" s="3"/>
      <c r="C293" s="3"/>
      <c r="D293" s="3"/>
      <c r="E293" s="21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</row>
    <row r="294">
      <c r="A294" s="3"/>
      <c r="B294" s="3"/>
      <c r="C294" s="3"/>
      <c r="D294" s="3"/>
      <c r="E294" s="21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</row>
    <row r="295">
      <c r="A295" s="3"/>
      <c r="B295" s="3"/>
      <c r="C295" s="3"/>
      <c r="D295" s="3"/>
      <c r="E295" s="21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>
      <c r="A296" s="3"/>
      <c r="B296" s="3"/>
      <c r="C296" s="3"/>
      <c r="D296" s="3"/>
      <c r="E296" s="21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</row>
    <row r="297">
      <c r="A297" s="3"/>
      <c r="B297" s="3"/>
      <c r="C297" s="3"/>
      <c r="D297" s="3"/>
      <c r="E297" s="21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</row>
    <row r="298">
      <c r="A298" s="3"/>
      <c r="B298" s="3"/>
      <c r="C298" s="3"/>
      <c r="D298" s="3"/>
      <c r="E298" s="21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</row>
    <row r="299">
      <c r="A299" s="3"/>
      <c r="B299" s="3"/>
      <c r="C299" s="3"/>
      <c r="D299" s="3"/>
      <c r="E299" s="21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</row>
    <row r="300">
      <c r="A300" s="3"/>
      <c r="B300" s="3"/>
      <c r="C300" s="3"/>
      <c r="D300" s="3"/>
      <c r="E300" s="21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</row>
    <row r="301">
      <c r="A301" s="3"/>
      <c r="B301" s="3"/>
      <c r="C301" s="3"/>
      <c r="D301" s="3"/>
      <c r="E301" s="21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</row>
    <row r="302">
      <c r="A302" s="3"/>
      <c r="B302" s="3"/>
      <c r="C302" s="3"/>
      <c r="D302" s="3"/>
      <c r="E302" s="21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</row>
    <row r="303">
      <c r="A303" s="3"/>
      <c r="B303" s="3"/>
      <c r="C303" s="3"/>
      <c r="D303" s="3"/>
      <c r="E303" s="21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</row>
    <row r="304">
      <c r="A304" s="3"/>
      <c r="B304" s="3"/>
      <c r="C304" s="3"/>
      <c r="D304" s="3"/>
      <c r="E304" s="21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</row>
    <row r="305">
      <c r="A305" s="3"/>
      <c r="B305" s="3"/>
      <c r="C305" s="3"/>
      <c r="D305" s="3"/>
      <c r="E305" s="21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</row>
    <row r="306">
      <c r="A306" s="3"/>
      <c r="B306" s="3"/>
      <c r="C306" s="3"/>
      <c r="D306" s="3"/>
      <c r="E306" s="21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</row>
    <row r="307">
      <c r="A307" s="3"/>
      <c r="B307" s="3"/>
      <c r="C307" s="3"/>
      <c r="D307" s="3"/>
      <c r="E307" s="21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</row>
    <row r="308">
      <c r="A308" s="3"/>
      <c r="B308" s="3"/>
      <c r="C308" s="3"/>
      <c r="D308" s="3"/>
      <c r="E308" s="21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</row>
    <row r="309">
      <c r="A309" s="3"/>
      <c r="B309" s="3"/>
      <c r="C309" s="3"/>
      <c r="D309" s="3"/>
      <c r="E309" s="21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</row>
    <row r="310">
      <c r="A310" s="3"/>
      <c r="B310" s="3"/>
      <c r="C310" s="3"/>
      <c r="D310" s="3"/>
      <c r="E310" s="21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</row>
    <row r="311">
      <c r="A311" s="3"/>
      <c r="B311" s="3"/>
      <c r="C311" s="3"/>
      <c r="D311" s="3"/>
      <c r="E311" s="21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</row>
    <row r="312">
      <c r="A312" s="3"/>
      <c r="B312" s="3"/>
      <c r="C312" s="3"/>
      <c r="D312" s="3"/>
      <c r="E312" s="21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</row>
    <row r="313">
      <c r="A313" s="3"/>
      <c r="B313" s="3"/>
      <c r="C313" s="3"/>
      <c r="D313" s="3"/>
      <c r="E313" s="21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</row>
    <row r="314">
      <c r="A314" s="3"/>
      <c r="B314" s="3"/>
      <c r="C314" s="3"/>
      <c r="D314" s="3"/>
      <c r="E314" s="21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</row>
    <row r="315">
      <c r="A315" s="3"/>
      <c r="B315" s="3"/>
      <c r="C315" s="3"/>
      <c r="D315" s="3"/>
      <c r="E315" s="21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</row>
    <row r="316">
      <c r="A316" s="3"/>
      <c r="B316" s="3"/>
      <c r="C316" s="3"/>
      <c r="D316" s="3"/>
      <c r="E316" s="21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</row>
    <row r="317">
      <c r="A317" s="3"/>
      <c r="B317" s="3"/>
      <c r="C317" s="3"/>
      <c r="D317" s="3"/>
      <c r="E317" s="21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</row>
    <row r="318">
      <c r="A318" s="3"/>
      <c r="B318" s="3"/>
      <c r="C318" s="3"/>
      <c r="D318" s="3"/>
      <c r="E318" s="21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</row>
    <row r="319">
      <c r="A319" s="3"/>
      <c r="B319" s="3"/>
      <c r="C319" s="3"/>
      <c r="D319" s="3"/>
      <c r="E319" s="21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</row>
    <row r="320">
      <c r="A320" s="3"/>
      <c r="B320" s="3"/>
      <c r="C320" s="3"/>
      <c r="D320" s="3"/>
      <c r="E320" s="21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</row>
    <row r="321">
      <c r="A321" s="3"/>
      <c r="B321" s="3"/>
      <c r="C321" s="3"/>
      <c r="D321" s="3"/>
      <c r="E321" s="21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>
      <c r="A322" s="3"/>
      <c r="B322" s="3"/>
      <c r="C322" s="3"/>
      <c r="D322" s="3"/>
      <c r="E322" s="21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</row>
    <row r="323">
      <c r="A323" s="3"/>
      <c r="B323" s="3"/>
      <c r="C323" s="3"/>
      <c r="D323" s="3"/>
      <c r="E323" s="21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</row>
    <row r="324">
      <c r="A324" s="3"/>
      <c r="B324" s="3"/>
      <c r="C324" s="3"/>
      <c r="D324" s="3"/>
      <c r="E324" s="21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</row>
    <row r="325">
      <c r="A325" s="3"/>
      <c r="B325" s="3"/>
      <c r="C325" s="3"/>
      <c r="D325" s="3"/>
      <c r="E325" s="21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</row>
    <row r="326">
      <c r="A326" s="3"/>
      <c r="B326" s="3"/>
      <c r="C326" s="3"/>
      <c r="D326" s="3"/>
      <c r="E326" s="21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</row>
    <row r="327">
      <c r="A327" s="3"/>
      <c r="B327" s="3"/>
      <c r="C327" s="3"/>
      <c r="D327" s="3"/>
      <c r="E327" s="21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</row>
    <row r="328">
      <c r="A328" s="3"/>
      <c r="B328" s="3"/>
      <c r="C328" s="3"/>
      <c r="D328" s="3"/>
      <c r="E328" s="21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</row>
    <row r="329">
      <c r="A329" s="3"/>
      <c r="B329" s="3"/>
      <c r="C329" s="3"/>
      <c r="D329" s="3"/>
      <c r="E329" s="21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</row>
    <row r="330">
      <c r="A330" s="3"/>
      <c r="B330" s="3"/>
      <c r="C330" s="3"/>
      <c r="D330" s="3"/>
      <c r="E330" s="21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</row>
    <row r="331">
      <c r="A331" s="3"/>
      <c r="B331" s="3"/>
      <c r="C331" s="3"/>
      <c r="D331" s="3"/>
      <c r="E331" s="21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</row>
    <row r="332">
      <c r="A332" s="3"/>
      <c r="B332" s="3"/>
      <c r="C332" s="3"/>
      <c r="D332" s="3"/>
      <c r="E332" s="21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</row>
    <row r="333">
      <c r="A333" s="3"/>
      <c r="B333" s="3"/>
      <c r="C333" s="3"/>
      <c r="D333" s="3"/>
      <c r="E333" s="21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</row>
    <row r="334">
      <c r="A334" s="3"/>
      <c r="B334" s="3"/>
      <c r="C334" s="3"/>
      <c r="D334" s="3"/>
      <c r="E334" s="21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</row>
    <row r="335">
      <c r="A335" s="3"/>
      <c r="B335" s="3"/>
      <c r="C335" s="3"/>
      <c r="D335" s="3"/>
      <c r="E335" s="21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</row>
    <row r="336">
      <c r="A336" s="3"/>
      <c r="B336" s="3"/>
      <c r="C336" s="3"/>
      <c r="D336" s="3"/>
      <c r="E336" s="21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</row>
    <row r="337">
      <c r="A337" s="3"/>
      <c r="B337" s="3"/>
      <c r="C337" s="3"/>
      <c r="D337" s="3"/>
      <c r="E337" s="21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>
      <c r="A338" s="3"/>
      <c r="B338" s="3"/>
      <c r="C338" s="3"/>
      <c r="D338" s="3"/>
      <c r="E338" s="21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</row>
    <row r="339">
      <c r="A339" s="3"/>
      <c r="B339" s="3"/>
      <c r="C339" s="3"/>
      <c r="D339" s="3"/>
      <c r="E339" s="21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</row>
    <row r="340">
      <c r="A340" s="3"/>
      <c r="B340" s="3"/>
      <c r="C340" s="3"/>
      <c r="D340" s="3"/>
      <c r="E340" s="21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</row>
    <row r="341">
      <c r="A341" s="3"/>
      <c r="B341" s="3"/>
      <c r="C341" s="3"/>
      <c r="D341" s="3"/>
      <c r="E341" s="21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</row>
    <row r="342">
      <c r="A342" s="3"/>
      <c r="B342" s="3"/>
      <c r="C342" s="3"/>
      <c r="D342" s="3"/>
      <c r="E342" s="21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</row>
    <row r="343">
      <c r="A343" s="3"/>
      <c r="B343" s="3"/>
      <c r="C343" s="3"/>
      <c r="D343" s="3"/>
      <c r="E343" s="21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</row>
    <row r="344">
      <c r="A344" s="3"/>
      <c r="B344" s="3"/>
      <c r="C344" s="3"/>
      <c r="D344" s="3"/>
      <c r="E344" s="21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</row>
    <row r="345">
      <c r="A345" s="3"/>
      <c r="B345" s="3"/>
      <c r="C345" s="3"/>
      <c r="D345" s="3"/>
      <c r="E345" s="21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</row>
    <row r="346">
      <c r="A346" s="3"/>
      <c r="B346" s="3"/>
      <c r="C346" s="3"/>
      <c r="D346" s="3"/>
      <c r="E346" s="21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</row>
    <row r="347">
      <c r="A347" s="3"/>
      <c r="B347" s="3"/>
      <c r="C347" s="3"/>
      <c r="D347" s="3"/>
      <c r="E347" s="21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</row>
    <row r="348">
      <c r="A348" s="3"/>
      <c r="B348" s="3"/>
      <c r="C348" s="3"/>
      <c r="D348" s="3"/>
      <c r="E348" s="21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</row>
    <row r="349">
      <c r="A349" s="3"/>
      <c r="B349" s="3"/>
      <c r="C349" s="3"/>
      <c r="D349" s="3"/>
      <c r="E349" s="21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</row>
    <row r="350">
      <c r="A350" s="3"/>
      <c r="B350" s="3"/>
      <c r="C350" s="3"/>
      <c r="D350" s="3"/>
      <c r="E350" s="21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</row>
    <row r="351">
      <c r="A351" s="3"/>
      <c r="B351" s="3"/>
      <c r="C351" s="3"/>
      <c r="D351" s="3"/>
      <c r="E351" s="21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</row>
    <row r="352">
      <c r="A352" s="3"/>
      <c r="B352" s="3"/>
      <c r="C352" s="3"/>
      <c r="D352" s="3"/>
      <c r="E352" s="21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</row>
    <row r="353">
      <c r="A353" s="3"/>
      <c r="B353" s="3"/>
      <c r="C353" s="3"/>
      <c r="D353" s="3"/>
      <c r="E353" s="21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</row>
    <row r="354">
      <c r="A354" s="3"/>
      <c r="B354" s="3"/>
      <c r="C354" s="3"/>
      <c r="D354" s="3"/>
      <c r="E354" s="21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</row>
    <row r="355">
      <c r="A355" s="3"/>
      <c r="B355" s="3"/>
      <c r="C355" s="3"/>
      <c r="D355" s="3"/>
      <c r="E355" s="21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</row>
    <row r="356">
      <c r="A356" s="3"/>
      <c r="B356" s="3"/>
      <c r="C356" s="3"/>
      <c r="D356" s="3"/>
      <c r="E356" s="21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</row>
    <row r="357">
      <c r="A357" s="3"/>
      <c r="B357" s="3"/>
      <c r="C357" s="3"/>
      <c r="D357" s="3"/>
      <c r="E357" s="21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</row>
    <row r="358">
      <c r="A358" s="3"/>
      <c r="B358" s="3"/>
      <c r="C358" s="3"/>
      <c r="D358" s="3"/>
      <c r="E358" s="21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</row>
    <row r="359">
      <c r="A359" s="3"/>
      <c r="B359" s="3"/>
      <c r="C359" s="3"/>
      <c r="D359" s="3"/>
      <c r="E359" s="21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</row>
    <row r="360">
      <c r="A360" s="3"/>
      <c r="B360" s="3"/>
      <c r="C360" s="3"/>
      <c r="D360" s="3"/>
      <c r="E360" s="21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</row>
    <row r="361">
      <c r="A361" s="3"/>
      <c r="B361" s="3"/>
      <c r="C361" s="3"/>
      <c r="D361" s="3"/>
      <c r="E361" s="21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</row>
    <row r="362">
      <c r="A362" s="3"/>
      <c r="B362" s="3"/>
      <c r="C362" s="3"/>
      <c r="D362" s="3"/>
      <c r="E362" s="21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</row>
    <row r="363">
      <c r="A363" s="3"/>
      <c r="B363" s="3"/>
      <c r="C363" s="3"/>
      <c r="D363" s="3"/>
      <c r="E363" s="21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</row>
    <row r="364">
      <c r="A364" s="3"/>
      <c r="B364" s="3"/>
      <c r="C364" s="3"/>
      <c r="D364" s="3"/>
      <c r="E364" s="21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</row>
    <row r="365">
      <c r="A365" s="3"/>
      <c r="B365" s="3"/>
      <c r="C365" s="3"/>
      <c r="D365" s="3"/>
      <c r="E365" s="21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</row>
    <row r="366">
      <c r="A366" s="3"/>
      <c r="B366" s="3"/>
      <c r="C366" s="3"/>
      <c r="D366" s="3"/>
      <c r="E366" s="21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</row>
    <row r="367">
      <c r="A367" s="3"/>
      <c r="B367" s="3"/>
      <c r="C367" s="3"/>
      <c r="D367" s="3"/>
      <c r="E367" s="21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</row>
    <row r="368">
      <c r="A368" s="3"/>
      <c r="B368" s="3"/>
      <c r="C368" s="3"/>
      <c r="D368" s="3"/>
      <c r="E368" s="21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</row>
    <row r="369">
      <c r="A369" s="3"/>
      <c r="B369" s="3"/>
      <c r="C369" s="3"/>
      <c r="D369" s="3"/>
      <c r="E369" s="21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</row>
    <row r="370">
      <c r="A370" s="3"/>
      <c r="B370" s="3"/>
      <c r="C370" s="3"/>
      <c r="D370" s="3"/>
      <c r="E370" s="21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</row>
    <row r="371">
      <c r="A371" s="3"/>
      <c r="B371" s="3"/>
      <c r="C371" s="3"/>
      <c r="D371" s="3"/>
      <c r="E371" s="21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</row>
    <row r="372">
      <c r="A372" s="3"/>
      <c r="B372" s="3"/>
      <c r="C372" s="3"/>
      <c r="D372" s="3"/>
      <c r="E372" s="21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</row>
    <row r="373">
      <c r="A373" s="3"/>
      <c r="B373" s="3"/>
      <c r="C373" s="3"/>
      <c r="D373" s="3"/>
      <c r="E373" s="21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</row>
    <row r="374">
      <c r="A374" s="3"/>
      <c r="B374" s="3"/>
      <c r="C374" s="3"/>
      <c r="D374" s="3"/>
      <c r="E374" s="21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</row>
    <row r="375">
      <c r="A375" s="3"/>
      <c r="B375" s="3"/>
      <c r="C375" s="3"/>
      <c r="D375" s="3"/>
      <c r="E375" s="21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</row>
    <row r="376">
      <c r="A376" s="3"/>
      <c r="B376" s="3"/>
      <c r="C376" s="3"/>
      <c r="D376" s="3"/>
      <c r="E376" s="21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</row>
    <row r="377">
      <c r="A377" s="3"/>
      <c r="B377" s="3"/>
      <c r="C377" s="3"/>
      <c r="D377" s="3"/>
      <c r="E377" s="21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</row>
    <row r="378">
      <c r="A378" s="3"/>
      <c r="B378" s="3"/>
      <c r="C378" s="3"/>
      <c r="D378" s="3"/>
      <c r="E378" s="21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</row>
    <row r="379">
      <c r="A379" s="3"/>
      <c r="B379" s="3"/>
      <c r="C379" s="3"/>
      <c r="D379" s="3"/>
      <c r="E379" s="21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</row>
    <row r="380">
      <c r="A380" s="3"/>
      <c r="B380" s="3"/>
      <c r="C380" s="3"/>
      <c r="D380" s="3"/>
      <c r="E380" s="21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>
      <c r="A381" s="3"/>
      <c r="B381" s="3"/>
      <c r="C381" s="3"/>
      <c r="D381" s="3"/>
      <c r="E381" s="21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</row>
    <row r="382">
      <c r="A382" s="3"/>
      <c r="B382" s="3"/>
      <c r="C382" s="3"/>
      <c r="D382" s="3"/>
      <c r="E382" s="21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</row>
    <row r="383">
      <c r="A383" s="3"/>
      <c r="B383" s="3"/>
      <c r="C383" s="3"/>
      <c r="D383" s="3"/>
      <c r="E383" s="21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</row>
    <row r="384">
      <c r="A384" s="3"/>
      <c r="B384" s="3"/>
      <c r="C384" s="3"/>
      <c r="D384" s="3"/>
      <c r="E384" s="21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</row>
    <row r="385">
      <c r="A385" s="3"/>
      <c r="B385" s="3"/>
      <c r="C385" s="3"/>
      <c r="D385" s="3"/>
      <c r="E385" s="21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</row>
    <row r="386">
      <c r="A386" s="3"/>
      <c r="B386" s="3"/>
      <c r="C386" s="3"/>
      <c r="D386" s="3"/>
      <c r="E386" s="21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</row>
    <row r="387">
      <c r="A387" s="3"/>
      <c r="B387" s="3"/>
      <c r="C387" s="3"/>
      <c r="D387" s="3"/>
      <c r="E387" s="21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>
      <c r="A388" s="3"/>
      <c r="B388" s="3"/>
      <c r="C388" s="3"/>
      <c r="D388" s="3"/>
      <c r="E388" s="21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</row>
    <row r="389">
      <c r="A389" s="3"/>
      <c r="B389" s="3"/>
      <c r="C389" s="3"/>
      <c r="D389" s="3"/>
      <c r="E389" s="21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</row>
    <row r="390">
      <c r="A390" s="3"/>
      <c r="B390" s="3"/>
      <c r="C390" s="3"/>
      <c r="D390" s="3"/>
      <c r="E390" s="21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</row>
    <row r="391">
      <c r="A391" s="3"/>
      <c r="B391" s="3"/>
      <c r="C391" s="3"/>
      <c r="D391" s="3"/>
      <c r="E391" s="21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</row>
    <row r="392">
      <c r="A392" s="3"/>
      <c r="B392" s="3"/>
      <c r="C392" s="3"/>
      <c r="D392" s="3"/>
      <c r="E392" s="21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</row>
    <row r="393">
      <c r="A393" s="3"/>
      <c r="B393" s="3"/>
      <c r="C393" s="3"/>
      <c r="D393" s="3"/>
      <c r="E393" s="21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</row>
    <row r="394">
      <c r="A394" s="3"/>
      <c r="B394" s="3"/>
      <c r="C394" s="3"/>
      <c r="D394" s="3"/>
      <c r="E394" s="21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</row>
    <row r="395">
      <c r="A395" s="3"/>
      <c r="B395" s="3"/>
      <c r="C395" s="3"/>
      <c r="D395" s="3"/>
      <c r="E395" s="21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</row>
    <row r="396">
      <c r="A396" s="3"/>
      <c r="B396" s="3"/>
      <c r="C396" s="3"/>
      <c r="D396" s="3"/>
      <c r="E396" s="21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</row>
    <row r="397">
      <c r="A397" s="3"/>
      <c r="B397" s="3"/>
      <c r="C397" s="3"/>
      <c r="D397" s="3"/>
      <c r="E397" s="21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</row>
    <row r="398">
      <c r="A398" s="3"/>
      <c r="B398" s="3"/>
      <c r="C398" s="3"/>
      <c r="D398" s="3"/>
      <c r="E398" s="21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</row>
    <row r="399">
      <c r="A399" s="3"/>
      <c r="B399" s="3"/>
      <c r="C399" s="3"/>
      <c r="D399" s="3"/>
      <c r="E399" s="21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</row>
    <row r="400">
      <c r="A400" s="3"/>
      <c r="B400" s="3"/>
      <c r="C400" s="3"/>
      <c r="D400" s="3"/>
      <c r="E400" s="21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</row>
    <row r="401">
      <c r="A401" s="3"/>
      <c r="B401" s="3"/>
      <c r="C401" s="3"/>
      <c r="D401" s="3"/>
      <c r="E401" s="21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</row>
    <row r="402">
      <c r="A402" s="3"/>
      <c r="B402" s="3"/>
      <c r="C402" s="3"/>
      <c r="D402" s="3"/>
      <c r="E402" s="21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</row>
    <row r="403">
      <c r="A403" s="3"/>
      <c r="B403" s="3"/>
      <c r="C403" s="3"/>
      <c r="D403" s="3"/>
      <c r="E403" s="21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>
      <c r="A404" s="3"/>
      <c r="B404" s="3"/>
      <c r="C404" s="3"/>
      <c r="D404" s="3"/>
      <c r="E404" s="21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</row>
    <row r="405">
      <c r="A405" s="3"/>
      <c r="B405" s="3"/>
      <c r="C405" s="3"/>
      <c r="D405" s="3"/>
      <c r="E405" s="21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</row>
    <row r="406">
      <c r="A406" s="3"/>
      <c r="B406" s="3"/>
      <c r="C406" s="3"/>
      <c r="D406" s="3"/>
      <c r="E406" s="21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</row>
    <row r="407">
      <c r="A407" s="3"/>
      <c r="B407" s="3"/>
      <c r="C407" s="3"/>
      <c r="D407" s="3"/>
      <c r="E407" s="21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</row>
    <row r="408">
      <c r="A408" s="3"/>
      <c r="B408" s="3"/>
      <c r="C408" s="3"/>
      <c r="D408" s="3"/>
      <c r="E408" s="21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</row>
    <row r="409">
      <c r="A409" s="3"/>
      <c r="B409" s="3"/>
      <c r="C409" s="3"/>
      <c r="D409" s="3"/>
      <c r="E409" s="21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</row>
    <row r="410">
      <c r="A410" s="3"/>
      <c r="B410" s="3"/>
      <c r="C410" s="3"/>
      <c r="D410" s="3"/>
      <c r="E410" s="21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>
      <c r="A411" s="3"/>
      <c r="B411" s="3"/>
      <c r="C411" s="3"/>
      <c r="D411" s="3"/>
      <c r="E411" s="21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</row>
    <row r="412">
      <c r="A412" s="3"/>
      <c r="B412" s="3"/>
      <c r="C412" s="3"/>
      <c r="D412" s="3"/>
      <c r="E412" s="21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</row>
    <row r="413">
      <c r="A413" s="3"/>
      <c r="B413" s="3"/>
      <c r="C413" s="3"/>
      <c r="D413" s="3"/>
      <c r="E413" s="21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</row>
    <row r="414">
      <c r="A414" s="3"/>
      <c r="B414" s="3"/>
      <c r="C414" s="3"/>
      <c r="D414" s="3"/>
      <c r="E414" s="21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</row>
    <row r="415">
      <c r="A415" s="3"/>
      <c r="B415" s="3"/>
      <c r="C415" s="3"/>
      <c r="D415" s="3"/>
      <c r="E415" s="21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</row>
    <row r="416">
      <c r="A416" s="3"/>
      <c r="B416" s="3"/>
      <c r="C416" s="3"/>
      <c r="D416" s="3"/>
      <c r="E416" s="21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</row>
    <row r="417">
      <c r="A417" s="3"/>
      <c r="B417" s="3"/>
      <c r="C417" s="3"/>
      <c r="D417" s="3"/>
      <c r="E417" s="21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</row>
    <row r="418">
      <c r="A418" s="3"/>
      <c r="B418" s="3"/>
      <c r="C418" s="3"/>
      <c r="D418" s="3"/>
      <c r="E418" s="21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</row>
    <row r="419">
      <c r="A419" s="3"/>
      <c r="B419" s="3"/>
      <c r="C419" s="3"/>
      <c r="D419" s="3"/>
      <c r="E419" s="21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</row>
    <row r="420">
      <c r="A420" s="3"/>
      <c r="B420" s="3"/>
      <c r="C420" s="3"/>
      <c r="D420" s="3"/>
      <c r="E420" s="21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</row>
    <row r="421">
      <c r="A421" s="3"/>
      <c r="B421" s="3"/>
      <c r="C421" s="3"/>
      <c r="D421" s="3"/>
      <c r="E421" s="21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</row>
    <row r="422">
      <c r="A422" s="3"/>
      <c r="B422" s="3"/>
      <c r="C422" s="3"/>
      <c r="D422" s="3"/>
      <c r="E422" s="21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</row>
    <row r="423">
      <c r="A423" s="3"/>
      <c r="B423" s="3"/>
      <c r="C423" s="3"/>
      <c r="D423" s="3"/>
      <c r="E423" s="21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</row>
    <row r="424">
      <c r="A424" s="3"/>
      <c r="B424" s="3"/>
      <c r="C424" s="3"/>
      <c r="D424" s="3"/>
      <c r="E424" s="21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>
      <c r="A425" s="3"/>
      <c r="B425" s="3"/>
      <c r="C425" s="3"/>
      <c r="D425" s="3"/>
      <c r="E425" s="21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</row>
    <row r="426">
      <c r="A426" s="3"/>
      <c r="B426" s="3"/>
      <c r="C426" s="3"/>
      <c r="D426" s="3"/>
      <c r="E426" s="21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</row>
    <row r="427">
      <c r="A427" s="3"/>
      <c r="B427" s="3"/>
      <c r="C427" s="3"/>
      <c r="D427" s="3"/>
      <c r="E427" s="21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</row>
    <row r="428">
      <c r="A428" s="3"/>
      <c r="B428" s="3"/>
      <c r="C428" s="3"/>
      <c r="D428" s="3"/>
      <c r="E428" s="21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</row>
    <row r="429">
      <c r="A429" s="3"/>
      <c r="B429" s="3"/>
      <c r="C429" s="3"/>
      <c r="D429" s="3"/>
      <c r="E429" s="21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</row>
    <row r="430">
      <c r="A430" s="3"/>
      <c r="B430" s="3"/>
      <c r="C430" s="3"/>
      <c r="D430" s="3"/>
      <c r="E430" s="21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</row>
    <row r="431">
      <c r="A431" s="3"/>
      <c r="B431" s="3"/>
      <c r="C431" s="3"/>
      <c r="D431" s="3"/>
      <c r="E431" s="21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</row>
    <row r="432">
      <c r="A432" s="3"/>
      <c r="B432" s="3"/>
      <c r="C432" s="3"/>
      <c r="D432" s="3"/>
      <c r="E432" s="21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</row>
    <row r="433">
      <c r="A433" s="3"/>
      <c r="B433" s="3"/>
      <c r="C433" s="3"/>
      <c r="D433" s="3"/>
      <c r="E433" s="21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</row>
    <row r="434">
      <c r="A434" s="3"/>
      <c r="B434" s="3"/>
      <c r="C434" s="3"/>
      <c r="D434" s="3"/>
      <c r="E434" s="21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</row>
    <row r="435">
      <c r="A435" s="3"/>
      <c r="B435" s="3"/>
      <c r="C435" s="3"/>
      <c r="D435" s="3"/>
      <c r="E435" s="21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</row>
    <row r="436">
      <c r="A436" s="3"/>
      <c r="B436" s="3"/>
      <c r="C436" s="3"/>
      <c r="D436" s="3"/>
      <c r="E436" s="21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</row>
    <row r="437">
      <c r="A437" s="3"/>
      <c r="B437" s="3"/>
      <c r="C437" s="3"/>
      <c r="D437" s="3"/>
      <c r="E437" s="21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</row>
    <row r="438">
      <c r="A438" s="3"/>
      <c r="B438" s="3"/>
      <c r="C438" s="3"/>
      <c r="D438" s="3"/>
      <c r="E438" s="21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</row>
    <row r="439">
      <c r="A439" s="3"/>
      <c r="B439" s="3"/>
      <c r="C439" s="3"/>
      <c r="D439" s="3"/>
      <c r="E439" s="21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</row>
    <row r="440">
      <c r="A440" s="3"/>
      <c r="B440" s="3"/>
      <c r="C440" s="3"/>
      <c r="D440" s="3"/>
      <c r="E440" s="21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</row>
    <row r="441">
      <c r="A441" s="3"/>
      <c r="B441" s="3"/>
      <c r="C441" s="3"/>
      <c r="D441" s="3"/>
      <c r="E441" s="21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</row>
    <row r="442">
      <c r="A442" s="3"/>
      <c r="B442" s="3"/>
      <c r="C442" s="3"/>
      <c r="D442" s="3"/>
      <c r="E442" s="21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</row>
    <row r="443">
      <c r="A443" s="3"/>
      <c r="B443" s="3"/>
      <c r="C443" s="3"/>
      <c r="D443" s="3"/>
      <c r="E443" s="21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</row>
    <row r="444">
      <c r="A444" s="3"/>
      <c r="B444" s="3"/>
      <c r="C444" s="3"/>
      <c r="D444" s="3"/>
      <c r="E444" s="21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</row>
    <row r="445">
      <c r="A445" s="3"/>
      <c r="B445" s="3"/>
      <c r="C445" s="3"/>
      <c r="D445" s="3"/>
      <c r="E445" s="21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</row>
    <row r="446">
      <c r="A446" s="3"/>
      <c r="B446" s="3"/>
      <c r="C446" s="3"/>
      <c r="D446" s="3"/>
      <c r="E446" s="21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</row>
    <row r="447">
      <c r="A447" s="3"/>
      <c r="B447" s="3"/>
      <c r="C447" s="3"/>
      <c r="D447" s="3"/>
      <c r="E447" s="21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</row>
    <row r="448">
      <c r="A448" s="3"/>
      <c r="B448" s="3"/>
      <c r="C448" s="3"/>
      <c r="D448" s="3"/>
      <c r="E448" s="21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</row>
    <row r="449">
      <c r="A449" s="3"/>
      <c r="B449" s="3"/>
      <c r="C449" s="3"/>
      <c r="D449" s="3"/>
      <c r="E449" s="21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</row>
    <row r="450">
      <c r="A450" s="3"/>
      <c r="B450" s="3"/>
      <c r="C450" s="3"/>
      <c r="D450" s="3"/>
      <c r="E450" s="21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</row>
    <row r="451">
      <c r="A451" s="3"/>
      <c r="B451" s="3"/>
      <c r="C451" s="3"/>
      <c r="D451" s="3"/>
      <c r="E451" s="21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</row>
    <row r="452">
      <c r="A452" s="3"/>
      <c r="B452" s="3"/>
      <c r="C452" s="3"/>
      <c r="D452" s="3"/>
      <c r="E452" s="21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</row>
    <row r="453">
      <c r="A453" s="3"/>
      <c r="B453" s="3"/>
      <c r="C453" s="3"/>
      <c r="D453" s="3"/>
      <c r="E453" s="21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</row>
    <row r="454">
      <c r="A454" s="3"/>
      <c r="B454" s="3"/>
      <c r="C454" s="3"/>
      <c r="D454" s="3"/>
      <c r="E454" s="21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</row>
    <row r="455">
      <c r="A455" s="3"/>
      <c r="B455" s="3"/>
      <c r="C455" s="3"/>
      <c r="D455" s="3"/>
      <c r="E455" s="21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</row>
    <row r="456">
      <c r="A456" s="3"/>
      <c r="B456" s="3"/>
      <c r="C456" s="3"/>
      <c r="D456" s="3"/>
      <c r="E456" s="21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</row>
    <row r="457">
      <c r="A457" s="3"/>
      <c r="B457" s="3"/>
      <c r="C457" s="3"/>
      <c r="D457" s="3"/>
      <c r="E457" s="21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</row>
    <row r="458">
      <c r="A458" s="3"/>
      <c r="B458" s="3"/>
      <c r="C458" s="3"/>
      <c r="D458" s="3"/>
      <c r="E458" s="21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</row>
    <row r="459">
      <c r="A459" s="3"/>
      <c r="B459" s="3"/>
      <c r="C459" s="3"/>
      <c r="D459" s="3"/>
      <c r="E459" s="21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</row>
    <row r="460">
      <c r="A460" s="3"/>
      <c r="B460" s="3"/>
      <c r="C460" s="3"/>
      <c r="D460" s="3"/>
      <c r="E460" s="21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</row>
    <row r="461">
      <c r="A461" s="3"/>
      <c r="B461" s="3"/>
      <c r="C461" s="3"/>
      <c r="D461" s="3"/>
      <c r="E461" s="21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</row>
    <row r="462">
      <c r="A462" s="3"/>
      <c r="B462" s="3"/>
      <c r="C462" s="3"/>
      <c r="D462" s="3"/>
      <c r="E462" s="21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</row>
    <row r="463">
      <c r="A463" s="3"/>
      <c r="B463" s="3"/>
      <c r="C463" s="3"/>
      <c r="D463" s="3"/>
      <c r="E463" s="21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</row>
    <row r="464">
      <c r="A464" s="3"/>
      <c r="B464" s="3"/>
      <c r="C464" s="3"/>
      <c r="D464" s="3"/>
      <c r="E464" s="21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</row>
    <row r="465">
      <c r="A465" s="3"/>
      <c r="B465" s="3"/>
      <c r="C465" s="3"/>
      <c r="D465" s="3"/>
      <c r="E465" s="21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</row>
    <row r="466">
      <c r="A466" s="3"/>
      <c r="B466" s="3"/>
      <c r="C466" s="3"/>
      <c r="D466" s="3"/>
      <c r="E466" s="21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</row>
    <row r="467">
      <c r="A467" s="3"/>
      <c r="B467" s="3"/>
      <c r="C467" s="3"/>
      <c r="D467" s="3"/>
      <c r="E467" s="21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</row>
    <row r="468">
      <c r="A468" s="3"/>
      <c r="B468" s="3"/>
      <c r="C468" s="3"/>
      <c r="D468" s="3"/>
      <c r="E468" s="21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</row>
    <row r="469">
      <c r="A469" s="3"/>
      <c r="B469" s="3"/>
      <c r="C469" s="3"/>
      <c r="D469" s="3"/>
      <c r="E469" s="21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</row>
    <row r="470">
      <c r="A470" s="3"/>
      <c r="B470" s="3"/>
      <c r="C470" s="3"/>
      <c r="D470" s="3"/>
      <c r="E470" s="21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</row>
    <row r="471">
      <c r="A471" s="3"/>
      <c r="B471" s="3"/>
      <c r="C471" s="3"/>
      <c r="D471" s="3"/>
      <c r="E471" s="21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</row>
    <row r="472">
      <c r="A472" s="3"/>
      <c r="B472" s="3"/>
      <c r="C472" s="3"/>
      <c r="D472" s="3"/>
      <c r="E472" s="21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</row>
    <row r="473">
      <c r="A473" s="3"/>
      <c r="B473" s="3"/>
      <c r="C473" s="3"/>
      <c r="D473" s="3"/>
      <c r="E473" s="21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</row>
    <row r="474">
      <c r="A474" s="3"/>
      <c r="B474" s="3"/>
      <c r="C474" s="3"/>
      <c r="D474" s="3"/>
      <c r="E474" s="21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</row>
    <row r="475">
      <c r="A475" s="3"/>
      <c r="B475" s="3"/>
      <c r="C475" s="3"/>
      <c r="D475" s="3"/>
      <c r="E475" s="21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</row>
    <row r="476">
      <c r="A476" s="3"/>
      <c r="B476" s="3"/>
      <c r="C476" s="3"/>
      <c r="D476" s="3"/>
      <c r="E476" s="21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</row>
    <row r="477">
      <c r="A477" s="3"/>
      <c r="B477" s="3"/>
      <c r="C477" s="3"/>
      <c r="D477" s="3"/>
      <c r="E477" s="21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</row>
    <row r="478">
      <c r="A478" s="3"/>
      <c r="B478" s="3"/>
      <c r="C478" s="3"/>
      <c r="D478" s="3"/>
      <c r="E478" s="21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</row>
    <row r="479">
      <c r="A479" s="3"/>
      <c r="B479" s="3"/>
      <c r="C479" s="3"/>
      <c r="D479" s="3"/>
      <c r="E479" s="21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</row>
    <row r="480">
      <c r="A480" s="3"/>
      <c r="B480" s="3"/>
      <c r="C480" s="3"/>
      <c r="D480" s="3"/>
      <c r="E480" s="21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</row>
    <row r="481">
      <c r="A481" s="3"/>
      <c r="B481" s="3"/>
      <c r="C481" s="3"/>
      <c r="D481" s="3"/>
      <c r="E481" s="21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</row>
    <row r="482">
      <c r="A482" s="3"/>
      <c r="B482" s="3"/>
      <c r="C482" s="3"/>
      <c r="D482" s="3"/>
      <c r="E482" s="21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</row>
    <row r="483">
      <c r="A483" s="3"/>
      <c r="B483" s="3"/>
      <c r="C483" s="3"/>
      <c r="D483" s="3"/>
      <c r="E483" s="21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</row>
    <row r="484">
      <c r="A484" s="3"/>
      <c r="B484" s="3"/>
      <c r="C484" s="3"/>
      <c r="D484" s="3"/>
      <c r="E484" s="21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</row>
    <row r="485">
      <c r="A485" s="3"/>
      <c r="B485" s="3"/>
      <c r="C485" s="3"/>
      <c r="D485" s="3"/>
      <c r="E485" s="21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</row>
    <row r="486">
      <c r="A486" s="3"/>
      <c r="B486" s="3"/>
      <c r="C486" s="3"/>
      <c r="D486" s="3"/>
      <c r="E486" s="21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</row>
    <row r="487">
      <c r="A487" s="3"/>
      <c r="B487" s="3"/>
      <c r="C487" s="3"/>
      <c r="D487" s="3"/>
      <c r="E487" s="21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</row>
    <row r="488">
      <c r="A488" s="3"/>
      <c r="B488" s="3"/>
      <c r="C488" s="3"/>
      <c r="D488" s="3"/>
      <c r="E488" s="21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</row>
    <row r="489">
      <c r="A489" s="3"/>
      <c r="B489" s="3"/>
      <c r="C489" s="3"/>
      <c r="D489" s="3"/>
      <c r="E489" s="21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</row>
    <row r="490">
      <c r="A490" s="3"/>
      <c r="B490" s="3"/>
      <c r="C490" s="3"/>
      <c r="D490" s="3"/>
      <c r="E490" s="21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</row>
    <row r="491">
      <c r="A491" s="3"/>
      <c r="B491" s="3"/>
      <c r="C491" s="3"/>
      <c r="D491" s="3"/>
      <c r="E491" s="21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</row>
    <row r="492">
      <c r="A492" s="3"/>
      <c r="B492" s="3"/>
      <c r="C492" s="3"/>
      <c r="D492" s="3"/>
      <c r="E492" s="21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</row>
    <row r="493">
      <c r="A493" s="3"/>
      <c r="B493" s="3"/>
      <c r="C493" s="3"/>
      <c r="D493" s="3"/>
      <c r="E493" s="21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</row>
    <row r="494">
      <c r="A494" s="3"/>
      <c r="B494" s="3"/>
      <c r="C494" s="3"/>
      <c r="D494" s="3"/>
      <c r="E494" s="21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</row>
    <row r="495">
      <c r="A495" s="3"/>
      <c r="B495" s="3"/>
      <c r="C495" s="3"/>
      <c r="D495" s="3"/>
      <c r="E495" s="21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</row>
    <row r="496">
      <c r="A496" s="3"/>
      <c r="B496" s="3"/>
      <c r="C496" s="3"/>
      <c r="D496" s="3"/>
      <c r="E496" s="21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</row>
    <row r="497">
      <c r="A497" s="3"/>
      <c r="B497" s="3"/>
      <c r="C497" s="3"/>
      <c r="D497" s="3"/>
      <c r="E497" s="21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</row>
    <row r="498">
      <c r="A498" s="3"/>
      <c r="B498" s="3"/>
      <c r="C498" s="3"/>
      <c r="D498" s="3"/>
      <c r="E498" s="21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</row>
    <row r="499">
      <c r="A499" s="3"/>
      <c r="B499" s="3"/>
      <c r="C499" s="3"/>
      <c r="D499" s="3"/>
      <c r="E499" s="21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</row>
    <row r="500">
      <c r="A500" s="3"/>
      <c r="B500" s="3"/>
      <c r="C500" s="3"/>
      <c r="D500" s="3"/>
      <c r="E500" s="21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</row>
    <row r="501">
      <c r="A501" s="3"/>
      <c r="B501" s="3"/>
      <c r="C501" s="3"/>
      <c r="D501" s="3"/>
      <c r="E501" s="21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</row>
    <row r="502">
      <c r="A502" s="3"/>
      <c r="B502" s="3"/>
      <c r="C502" s="3"/>
      <c r="D502" s="3"/>
      <c r="E502" s="21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</row>
    <row r="503">
      <c r="A503" s="3"/>
      <c r="B503" s="3"/>
      <c r="C503" s="3"/>
      <c r="D503" s="3"/>
      <c r="E503" s="21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</row>
    <row r="504">
      <c r="A504" s="3"/>
      <c r="B504" s="3"/>
      <c r="C504" s="3"/>
      <c r="D504" s="3"/>
      <c r="E504" s="21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</row>
    <row r="505">
      <c r="A505" s="3"/>
      <c r="B505" s="3"/>
      <c r="C505" s="3"/>
      <c r="D505" s="3"/>
      <c r="E505" s="21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</row>
    <row r="506">
      <c r="A506" s="3"/>
      <c r="B506" s="3"/>
      <c r="C506" s="3"/>
      <c r="D506" s="3"/>
      <c r="E506" s="21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</row>
    <row r="507">
      <c r="A507" s="3"/>
      <c r="B507" s="3"/>
      <c r="C507" s="3"/>
      <c r="D507" s="3"/>
      <c r="E507" s="21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</row>
    <row r="508">
      <c r="A508" s="3"/>
      <c r="B508" s="3"/>
      <c r="C508" s="3"/>
      <c r="D508" s="3"/>
      <c r="E508" s="21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</row>
    <row r="509">
      <c r="A509" s="3"/>
      <c r="B509" s="3"/>
      <c r="C509" s="3"/>
      <c r="D509" s="3"/>
      <c r="E509" s="21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</row>
    <row r="510">
      <c r="A510" s="3"/>
      <c r="B510" s="3"/>
      <c r="C510" s="3"/>
      <c r="D510" s="3"/>
      <c r="E510" s="21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</row>
    <row r="511">
      <c r="A511" s="3"/>
      <c r="B511" s="3"/>
      <c r="C511" s="3"/>
      <c r="D511" s="3"/>
      <c r="E511" s="21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</row>
    <row r="512">
      <c r="A512" s="3"/>
      <c r="B512" s="3"/>
      <c r="C512" s="3"/>
      <c r="D512" s="3"/>
      <c r="E512" s="21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</row>
    <row r="513">
      <c r="A513" s="3"/>
      <c r="B513" s="3"/>
      <c r="C513" s="3"/>
      <c r="D513" s="3"/>
      <c r="E513" s="21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</row>
    <row r="514">
      <c r="A514" s="3"/>
      <c r="B514" s="3"/>
      <c r="C514" s="3"/>
      <c r="D514" s="3"/>
      <c r="E514" s="21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</row>
    <row r="515">
      <c r="A515" s="3"/>
      <c r="B515" s="3"/>
      <c r="C515" s="3"/>
      <c r="D515" s="3"/>
      <c r="E515" s="21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</row>
    <row r="516">
      <c r="A516" s="3"/>
      <c r="B516" s="3"/>
      <c r="C516" s="3"/>
      <c r="D516" s="3"/>
      <c r="E516" s="21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</row>
    <row r="517">
      <c r="A517" s="3"/>
      <c r="B517" s="3"/>
      <c r="C517" s="3"/>
      <c r="D517" s="3"/>
      <c r="E517" s="21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</row>
    <row r="518">
      <c r="A518" s="3"/>
      <c r="B518" s="3"/>
      <c r="C518" s="3"/>
      <c r="D518" s="3"/>
      <c r="E518" s="21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</row>
    <row r="519">
      <c r="A519" s="3"/>
      <c r="B519" s="3"/>
      <c r="C519" s="3"/>
      <c r="D519" s="3"/>
      <c r="E519" s="21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</row>
    <row r="520">
      <c r="A520" s="3"/>
      <c r="B520" s="3"/>
      <c r="C520" s="3"/>
      <c r="D520" s="3"/>
      <c r="E520" s="21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</row>
    <row r="521">
      <c r="A521" s="3"/>
      <c r="B521" s="3"/>
      <c r="C521" s="3"/>
      <c r="D521" s="3"/>
      <c r="E521" s="21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</row>
    <row r="522">
      <c r="A522" s="3"/>
      <c r="B522" s="3"/>
      <c r="C522" s="3"/>
      <c r="D522" s="3"/>
      <c r="E522" s="21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</row>
    <row r="523">
      <c r="A523" s="3"/>
      <c r="B523" s="3"/>
      <c r="C523" s="3"/>
      <c r="D523" s="3"/>
      <c r="E523" s="21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</row>
    <row r="524">
      <c r="A524" s="3"/>
      <c r="B524" s="3"/>
      <c r="C524" s="3"/>
      <c r="D524" s="3"/>
      <c r="E524" s="21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</row>
    <row r="525">
      <c r="A525" s="3"/>
      <c r="B525" s="3"/>
      <c r="C525" s="3"/>
      <c r="D525" s="3"/>
      <c r="E525" s="21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</row>
    <row r="526">
      <c r="A526" s="3"/>
      <c r="B526" s="3"/>
      <c r="C526" s="3"/>
      <c r="D526" s="3"/>
      <c r="E526" s="21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</row>
    <row r="527">
      <c r="A527" s="3"/>
      <c r="B527" s="3"/>
      <c r="C527" s="3"/>
      <c r="D527" s="3"/>
      <c r="E527" s="21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</row>
    <row r="528">
      <c r="A528" s="3"/>
      <c r="B528" s="3"/>
      <c r="C528" s="3"/>
      <c r="D528" s="3"/>
      <c r="E528" s="21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</row>
    <row r="529">
      <c r="A529" s="3"/>
      <c r="B529" s="3"/>
      <c r="C529" s="3"/>
      <c r="D529" s="3"/>
      <c r="E529" s="21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</row>
    <row r="530">
      <c r="A530" s="3"/>
      <c r="B530" s="3"/>
      <c r="C530" s="3"/>
      <c r="D530" s="3"/>
      <c r="E530" s="21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</row>
    <row r="531">
      <c r="A531" s="3"/>
      <c r="B531" s="3"/>
      <c r="C531" s="3"/>
      <c r="D531" s="3"/>
      <c r="E531" s="21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</row>
    <row r="532">
      <c r="A532" s="3"/>
      <c r="B532" s="3"/>
      <c r="C532" s="3"/>
      <c r="D532" s="3"/>
      <c r="E532" s="21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</row>
    <row r="533">
      <c r="A533" s="3"/>
      <c r="B533" s="3"/>
      <c r="C533" s="3"/>
      <c r="D533" s="3"/>
      <c r="E533" s="21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</row>
    <row r="534">
      <c r="A534" s="3"/>
      <c r="B534" s="3"/>
      <c r="C534" s="3"/>
      <c r="D534" s="3"/>
      <c r="E534" s="21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</row>
    <row r="535">
      <c r="A535" s="3"/>
      <c r="B535" s="3"/>
      <c r="C535" s="3"/>
      <c r="D535" s="3"/>
      <c r="E535" s="21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</row>
    <row r="536">
      <c r="A536" s="3"/>
      <c r="B536" s="3"/>
      <c r="C536" s="3"/>
      <c r="D536" s="3"/>
      <c r="E536" s="21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</row>
    <row r="537">
      <c r="A537" s="3"/>
      <c r="B537" s="3"/>
      <c r="C537" s="3"/>
      <c r="D537" s="3"/>
      <c r="E537" s="21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</row>
    <row r="538">
      <c r="A538" s="3"/>
      <c r="B538" s="3"/>
      <c r="C538" s="3"/>
      <c r="D538" s="3"/>
      <c r="E538" s="21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</row>
    <row r="539">
      <c r="A539" s="3"/>
      <c r="B539" s="3"/>
      <c r="C539" s="3"/>
      <c r="D539" s="3"/>
      <c r="E539" s="21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</row>
    <row r="540">
      <c r="A540" s="3"/>
      <c r="B540" s="3"/>
      <c r="C540" s="3"/>
      <c r="D540" s="3"/>
      <c r="E540" s="21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</row>
    <row r="541">
      <c r="A541" s="3"/>
      <c r="B541" s="3"/>
      <c r="C541" s="3"/>
      <c r="D541" s="3"/>
      <c r="E541" s="21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</row>
    <row r="542">
      <c r="A542" s="3"/>
      <c r="B542" s="3"/>
      <c r="C542" s="3"/>
      <c r="D542" s="3"/>
      <c r="E542" s="21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</row>
    <row r="543">
      <c r="A543" s="3"/>
      <c r="B543" s="3"/>
      <c r="C543" s="3"/>
      <c r="D543" s="3"/>
      <c r="E543" s="21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</row>
    <row r="544">
      <c r="A544" s="3"/>
      <c r="B544" s="3"/>
      <c r="C544" s="3"/>
      <c r="D544" s="3"/>
      <c r="E544" s="21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</row>
    <row r="545">
      <c r="A545" s="3"/>
      <c r="B545" s="3"/>
      <c r="C545" s="3"/>
      <c r="D545" s="3"/>
      <c r="E545" s="21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</row>
    <row r="546">
      <c r="A546" s="3"/>
      <c r="B546" s="3"/>
      <c r="C546" s="3"/>
      <c r="D546" s="3"/>
      <c r="E546" s="21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</row>
    <row r="547">
      <c r="A547" s="3"/>
      <c r="B547" s="3"/>
      <c r="C547" s="3"/>
      <c r="D547" s="3"/>
      <c r="E547" s="21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</row>
    <row r="548">
      <c r="A548" s="3"/>
      <c r="B548" s="3"/>
      <c r="C548" s="3"/>
      <c r="D548" s="3"/>
      <c r="E548" s="21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</row>
    <row r="549">
      <c r="A549" s="3"/>
      <c r="B549" s="3"/>
      <c r="C549" s="3"/>
      <c r="D549" s="3"/>
      <c r="E549" s="21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</row>
    <row r="550">
      <c r="A550" s="3"/>
      <c r="B550" s="3"/>
      <c r="C550" s="3"/>
      <c r="D550" s="3"/>
      <c r="E550" s="21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</row>
    <row r="551">
      <c r="A551" s="3"/>
      <c r="B551" s="3"/>
      <c r="C551" s="3"/>
      <c r="D551" s="3"/>
      <c r="E551" s="21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</row>
    <row r="552">
      <c r="A552" s="3"/>
      <c r="B552" s="3"/>
      <c r="C552" s="3"/>
      <c r="D552" s="3"/>
      <c r="E552" s="21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</row>
    <row r="553">
      <c r="A553" s="3"/>
      <c r="B553" s="3"/>
      <c r="C553" s="3"/>
      <c r="D553" s="3"/>
      <c r="E553" s="21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</row>
    <row r="554">
      <c r="A554" s="3"/>
      <c r="B554" s="3"/>
      <c r="C554" s="3"/>
      <c r="D554" s="3"/>
      <c r="E554" s="21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</row>
    <row r="555">
      <c r="A555" s="3"/>
      <c r="B555" s="3"/>
      <c r="C555" s="3"/>
      <c r="D555" s="3"/>
      <c r="E555" s="21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</row>
    <row r="556">
      <c r="A556" s="3"/>
      <c r="B556" s="3"/>
      <c r="C556" s="3"/>
      <c r="D556" s="3"/>
      <c r="E556" s="21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</row>
    <row r="557">
      <c r="A557" s="3"/>
      <c r="B557" s="3"/>
      <c r="C557" s="3"/>
      <c r="D557" s="3"/>
      <c r="E557" s="21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</row>
    <row r="558">
      <c r="A558" s="3"/>
      <c r="B558" s="3"/>
      <c r="C558" s="3"/>
      <c r="D558" s="3"/>
      <c r="E558" s="21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</row>
    <row r="559">
      <c r="A559" s="3"/>
      <c r="B559" s="3"/>
      <c r="C559" s="3"/>
      <c r="D559" s="3"/>
      <c r="E559" s="21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</row>
    <row r="560">
      <c r="A560" s="3"/>
      <c r="B560" s="3"/>
      <c r="C560" s="3"/>
      <c r="D560" s="3"/>
      <c r="E560" s="21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</row>
    <row r="561">
      <c r="A561" s="3"/>
      <c r="B561" s="3"/>
      <c r="C561" s="3"/>
      <c r="D561" s="3"/>
      <c r="E561" s="21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</row>
    <row r="562">
      <c r="A562" s="3"/>
      <c r="B562" s="3"/>
      <c r="C562" s="3"/>
      <c r="D562" s="3"/>
      <c r="E562" s="21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</row>
    <row r="563">
      <c r="A563" s="3"/>
      <c r="B563" s="3"/>
      <c r="C563" s="3"/>
      <c r="D563" s="3"/>
      <c r="E563" s="21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</row>
    <row r="564">
      <c r="A564" s="3"/>
      <c r="B564" s="3"/>
      <c r="C564" s="3"/>
      <c r="D564" s="3"/>
      <c r="E564" s="21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</row>
    <row r="565">
      <c r="A565" s="3"/>
      <c r="B565" s="3"/>
      <c r="C565" s="3"/>
      <c r="D565" s="3"/>
      <c r="E565" s="21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</row>
    <row r="566">
      <c r="A566" s="3"/>
      <c r="B566" s="3"/>
      <c r="C566" s="3"/>
      <c r="D566" s="3"/>
      <c r="E566" s="21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</row>
    <row r="567">
      <c r="A567" s="3"/>
      <c r="B567" s="3"/>
      <c r="C567" s="3"/>
      <c r="D567" s="3"/>
      <c r="E567" s="21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</row>
    <row r="568">
      <c r="A568" s="3"/>
      <c r="B568" s="3"/>
      <c r="C568" s="3"/>
      <c r="D568" s="3"/>
      <c r="E568" s="21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</row>
    <row r="569">
      <c r="A569" s="3"/>
      <c r="B569" s="3"/>
      <c r="C569" s="3"/>
      <c r="D569" s="3"/>
      <c r="E569" s="21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</row>
    <row r="570">
      <c r="A570" s="3"/>
      <c r="B570" s="3"/>
      <c r="C570" s="3"/>
      <c r="D570" s="3"/>
      <c r="E570" s="21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</row>
    <row r="571">
      <c r="A571" s="3"/>
      <c r="B571" s="3"/>
      <c r="C571" s="3"/>
      <c r="D571" s="3"/>
      <c r="E571" s="21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</row>
    <row r="572">
      <c r="A572" s="3"/>
      <c r="B572" s="3"/>
      <c r="C572" s="3"/>
      <c r="D572" s="3"/>
      <c r="E572" s="21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</row>
    <row r="573">
      <c r="A573" s="3"/>
      <c r="B573" s="3"/>
      <c r="C573" s="3"/>
      <c r="D573" s="3"/>
      <c r="E573" s="21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</row>
    <row r="574">
      <c r="A574" s="3"/>
      <c r="B574" s="3"/>
      <c r="C574" s="3"/>
      <c r="D574" s="3"/>
      <c r="E574" s="21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</row>
    <row r="575">
      <c r="A575" s="3"/>
      <c r="B575" s="3"/>
      <c r="C575" s="3"/>
      <c r="D575" s="3"/>
      <c r="E575" s="21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</row>
    <row r="576">
      <c r="A576" s="3"/>
      <c r="B576" s="3"/>
      <c r="C576" s="3"/>
      <c r="D576" s="3"/>
      <c r="E576" s="21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</row>
    <row r="577">
      <c r="A577" s="3"/>
      <c r="B577" s="3"/>
      <c r="C577" s="3"/>
      <c r="D577" s="3"/>
      <c r="E577" s="21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</row>
    <row r="578">
      <c r="A578" s="3"/>
      <c r="B578" s="3"/>
      <c r="C578" s="3"/>
      <c r="D578" s="3"/>
      <c r="E578" s="21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</row>
    <row r="579">
      <c r="A579" s="3"/>
      <c r="B579" s="3"/>
      <c r="C579" s="3"/>
      <c r="D579" s="3"/>
      <c r="E579" s="21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</row>
    <row r="580">
      <c r="A580" s="3"/>
      <c r="B580" s="3"/>
      <c r="C580" s="3"/>
      <c r="D580" s="3"/>
      <c r="E580" s="21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</row>
    <row r="581">
      <c r="A581" s="3"/>
      <c r="B581" s="3"/>
      <c r="C581" s="3"/>
      <c r="D581" s="3"/>
      <c r="E581" s="21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</row>
    <row r="582">
      <c r="A582" s="3"/>
      <c r="B582" s="3"/>
      <c r="C582" s="3"/>
      <c r="D582" s="3"/>
      <c r="E582" s="21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</row>
    <row r="583">
      <c r="A583" s="3"/>
      <c r="B583" s="3"/>
      <c r="C583" s="3"/>
      <c r="D583" s="3"/>
      <c r="E583" s="21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</row>
    <row r="584">
      <c r="A584" s="3"/>
      <c r="B584" s="3"/>
      <c r="C584" s="3"/>
      <c r="D584" s="3"/>
      <c r="E584" s="21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</row>
    <row r="585">
      <c r="A585" s="3"/>
      <c r="B585" s="3"/>
      <c r="C585" s="3"/>
      <c r="D585" s="3"/>
      <c r="E585" s="21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</row>
    <row r="586">
      <c r="A586" s="3"/>
      <c r="B586" s="3"/>
      <c r="C586" s="3"/>
      <c r="D586" s="3"/>
      <c r="E586" s="21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</row>
    <row r="587">
      <c r="A587" s="3"/>
      <c r="B587" s="3"/>
      <c r="C587" s="3"/>
      <c r="D587" s="3"/>
      <c r="E587" s="21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</row>
    <row r="588">
      <c r="A588" s="3"/>
      <c r="B588" s="3"/>
      <c r="C588" s="3"/>
      <c r="D588" s="3"/>
      <c r="E588" s="21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</row>
    <row r="589">
      <c r="A589" s="3"/>
      <c r="B589" s="3"/>
      <c r="C589" s="3"/>
      <c r="D589" s="3"/>
      <c r="E589" s="21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</row>
    <row r="590">
      <c r="A590" s="3"/>
      <c r="B590" s="3"/>
      <c r="C590" s="3"/>
      <c r="D590" s="3"/>
      <c r="E590" s="21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</row>
    <row r="591">
      <c r="A591" s="3"/>
      <c r="B591" s="3"/>
      <c r="C591" s="3"/>
      <c r="D591" s="3"/>
      <c r="E591" s="21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</row>
    <row r="592">
      <c r="A592" s="3"/>
      <c r="B592" s="3"/>
      <c r="C592" s="3"/>
      <c r="D592" s="3"/>
      <c r="E592" s="21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</row>
    <row r="593">
      <c r="A593" s="3"/>
      <c r="B593" s="3"/>
      <c r="C593" s="3"/>
      <c r="D593" s="3"/>
      <c r="E593" s="21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</row>
    <row r="594">
      <c r="A594" s="3"/>
      <c r="B594" s="3"/>
      <c r="C594" s="3"/>
      <c r="D594" s="3"/>
      <c r="E594" s="21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</row>
    <row r="595">
      <c r="A595" s="3"/>
      <c r="B595" s="3"/>
      <c r="C595" s="3"/>
      <c r="D595" s="3"/>
      <c r="E595" s="21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</row>
    <row r="596">
      <c r="A596" s="3"/>
      <c r="B596" s="3"/>
      <c r="C596" s="3"/>
      <c r="D596" s="3"/>
      <c r="E596" s="21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</row>
    <row r="597">
      <c r="A597" s="3"/>
      <c r="B597" s="3"/>
      <c r="C597" s="3"/>
      <c r="D597" s="3"/>
      <c r="E597" s="21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</row>
    <row r="598">
      <c r="A598" s="3"/>
      <c r="B598" s="3"/>
      <c r="C598" s="3"/>
      <c r="D598" s="3"/>
      <c r="E598" s="21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</row>
    <row r="599">
      <c r="A599" s="3"/>
      <c r="B599" s="3"/>
      <c r="C599" s="3"/>
      <c r="D599" s="3"/>
      <c r="E599" s="21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</row>
    <row r="600">
      <c r="A600" s="3"/>
      <c r="B600" s="3"/>
      <c r="C600" s="3"/>
      <c r="D600" s="3"/>
      <c r="E600" s="21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</row>
    <row r="601">
      <c r="A601" s="3"/>
      <c r="B601" s="3"/>
      <c r="C601" s="3"/>
      <c r="D601" s="3"/>
      <c r="E601" s="21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</row>
    <row r="602">
      <c r="A602" s="3"/>
      <c r="B602" s="3"/>
      <c r="C602" s="3"/>
      <c r="D602" s="3"/>
      <c r="E602" s="21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</row>
    <row r="603">
      <c r="A603" s="3"/>
      <c r="B603" s="3"/>
      <c r="C603" s="3"/>
      <c r="D603" s="3"/>
      <c r="E603" s="21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</row>
    <row r="604">
      <c r="A604" s="3"/>
      <c r="B604" s="3"/>
      <c r="C604" s="3"/>
      <c r="D604" s="3"/>
      <c r="E604" s="21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</row>
    <row r="605">
      <c r="A605" s="3"/>
      <c r="B605" s="3"/>
      <c r="C605" s="3"/>
      <c r="D605" s="3"/>
      <c r="E605" s="21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</row>
    <row r="606">
      <c r="A606" s="3"/>
      <c r="B606" s="3"/>
      <c r="C606" s="3"/>
      <c r="D606" s="3"/>
      <c r="E606" s="21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</row>
    <row r="607">
      <c r="A607" s="3"/>
      <c r="B607" s="3"/>
      <c r="C607" s="3"/>
      <c r="D607" s="3"/>
      <c r="E607" s="21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</row>
    <row r="608">
      <c r="A608" s="3"/>
      <c r="B608" s="3"/>
      <c r="C608" s="3"/>
      <c r="D608" s="3"/>
      <c r="E608" s="21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</row>
    <row r="609">
      <c r="A609" s="3"/>
      <c r="B609" s="3"/>
      <c r="C609" s="3"/>
      <c r="D609" s="3"/>
      <c r="E609" s="21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</row>
    <row r="610">
      <c r="A610" s="3"/>
      <c r="B610" s="3"/>
      <c r="C610" s="3"/>
      <c r="D610" s="3"/>
      <c r="E610" s="21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</row>
    <row r="611">
      <c r="A611" s="3"/>
      <c r="B611" s="3"/>
      <c r="C611" s="3"/>
      <c r="D611" s="3"/>
      <c r="E611" s="21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</row>
    <row r="612">
      <c r="A612" s="3"/>
      <c r="B612" s="3"/>
      <c r="C612" s="3"/>
      <c r="D612" s="3"/>
      <c r="E612" s="21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</row>
    <row r="613">
      <c r="A613" s="3"/>
      <c r="B613" s="3"/>
      <c r="C613" s="3"/>
      <c r="D613" s="3"/>
      <c r="E613" s="21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</row>
    <row r="614">
      <c r="A614" s="3"/>
      <c r="B614" s="3"/>
      <c r="C614" s="3"/>
      <c r="D614" s="3"/>
      <c r="E614" s="21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</row>
    <row r="615">
      <c r="A615" s="3"/>
      <c r="B615" s="3"/>
      <c r="C615" s="3"/>
      <c r="D615" s="3"/>
      <c r="E615" s="21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</row>
    <row r="616">
      <c r="A616" s="3"/>
      <c r="B616" s="3"/>
      <c r="C616" s="3"/>
      <c r="D616" s="3"/>
      <c r="E616" s="21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</row>
    <row r="617">
      <c r="A617" s="3"/>
      <c r="B617" s="3"/>
      <c r="C617" s="3"/>
      <c r="D617" s="3"/>
      <c r="E617" s="21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</row>
    <row r="618">
      <c r="A618" s="3"/>
      <c r="B618" s="3"/>
      <c r="C618" s="3"/>
      <c r="D618" s="3"/>
      <c r="E618" s="21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</row>
    <row r="619">
      <c r="A619" s="3"/>
      <c r="B619" s="3"/>
      <c r="C619" s="3"/>
      <c r="D619" s="3"/>
      <c r="E619" s="21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</row>
    <row r="620">
      <c r="A620" s="3"/>
      <c r="B620" s="3"/>
      <c r="C620" s="3"/>
      <c r="D620" s="3"/>
      <c r="E620" s="21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</row>
    <row r="621">
      <c r="A621" s="3"/>
      <c r="B621" s="3"/>
      <c r="C621" s="3"/>
      <c r="D621" s="3"/>
      <c r="E621" s="21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</row>
    <row r="622">
      <c r="A622" s="3"/>
      <c r="B622" s="3"/>
      <c r="C622" s="3"/>
      <c r="D622" s="3"/>
      <c r="E622" s="21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</row>
    <row r="623">
      <c r="A623" s="3"/>
      <c r="B623" s="3"/>
      <c r="C623" s="3"/>
      <c r="D623" s="3"/>
      <c r="E623" s="21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</row>
    <row r="624">
      <c r="A624" s="3"/>
      <c r="B624" s="3"/>
      <c r="C624" s="3"/>
      <c r="D624" s="3"/>
      <c r="E624" s="21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</row>
    <row r="625">
      <c r="A625" s="3"/>
      <c r="B625" s="3"/>
      <c r="C625" s="3"/>
      <c r="D625" s="3"/>
      <c r="E625" s="21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</row>
    <row r="626">
      <c r="A626" s="3"/>
      <c r="B626" s="3"/>
      <c r="C626" s="3"/>
      <c r="D626" s="3"/>
      <c r="E626" s="21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</row>
    <row r="627">
      <c r="A627" s="3"/>
      <c r="B627" s="3"/>
      <c r="C627" s="3"/>
      <c r="D627" s="3"/>
      <c r="E627" s="21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</row>
    <row r="628">
      <c r="A628" s="3"/>
      <c r="B628" s="3"/>
      <c r="C628" s="3"/>
      <c r="D628" s="3"/>
      <c r="E628" s="21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</row>
    <row r="629">
      <c r="A629" s="3"/>
      <c r="B629" s="3"/>
      <c r="C629" s="3"/>
      <c r="D629" s="3"/>
      <c r="E629" s="21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</row>
    <row r="630">
      <c r="A630" s="3"/>
      <c r="B630" s="3"/>
      <c r="C630" s="3"/>
      <c r="D630" s="3"/>
      <c r="E630" s="21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</row>
    <row r="631">
      <c r="A631" s="3"/>
      <c r="B631" s="3"/>
      <c r="C631" s="3"/>
      <c r="D631" s="3"/>
      <c r="E631" s="21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</row>
    <row r="632">
      <c r="A632" s="3"/>
      <c r="B632" s="3"/>
      <c r="C632" s="3"/>
      <c r="D632" s="3"/>
      <c r="E632" s="21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</row>
    <row r="633">
      <c r="A633" s="3"/>
      <c r="B633" s="3"/>
      <c r="C633" s="3"/>
      <c r="D633" s="3"/>
      <c r="E633" s="21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</row>
    <row r="634">
      <c r="A634" s="3"/>
      <c r="B634" s="3"/>
      <c r="C634" s="3"/>
      <c r="D634" s="3"/>
      <c r="E634" s="21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</row>
    <row r="635">
      <c r="A635" s="3"/>
      <c r="B635" s="3"/>
      <c r="C635" s="3"/>
      <c r="D635" s="3"/>
      <c r="E635" s="21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</row>
    <row r="636">
      <c r="A636" s="3"/>
      <c r="B636" s="3"/>
      <c r="C636" s="3"/>
      <c r="D636" s="3"/>
      <c r="E636" s="21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</row>
    <row r="637">
      <c r="A637" s="3"/>
      <c r="B637" s="3"/>
      <c r="C637" s="3"/>
      <c r="D637" s="3"/>
      <c r="E637" s="21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</row>
    <row r="638">
      <c r="A638" s="3"/>
      <c r="B638" s="3"/>
      <c r="C638" s="3"/>
      <c r="D638" s="3"/>
      <c r="E638" s="21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</row>
    <row r="639">
      <c r="A639" s="3"/>
      <c r="B639" s="3"/>
      <c r="C639" s="3"/>
      <c r="D639" s="3"/>
      <c r="E639" s="21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</row>
    <row r="640">
      <c r="A640" s="3"/>
      <c r="B640" s="3"/>
      <c r="C640" s="3"/>
      <c r="D640" s="3"/>
      <c r="E640" s="21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</row>
    <row r="641">
      <c r="A641" s="3"/>
      <c r="B641" s="3"/>
      <c r="C641" s="3"/>
      <c r="D641" s="3"/>
      <c r="E641" s="21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</row>
    <row r="642">
      <c r="A642" s="3"/>
      <c r="B642" s="3"/>
      <c r="C642" s="3"/>
      <c r="D642" s="3"/>
      <c r="E642" s="21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</row>
    <row r="643">
      <c r="A643" s="3"/>
      <c r="B643" s="3"/>
      <c r="C643" s="3"/>
      <c r="D643" s="3"/>
      <c r="E643" s="21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</row>
    <row r="644">
      <c r="A644" s="3"/>
      <c r="B644" s="3"/>
      <c r="C644" s="3"/>
      <c r="D644" s="3"/>
      <c r="E644" s="21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</row>
    <row r="645">
      <c r="A645" s="3"/>
      <c r="B645" s="3"/>
      <c r="C645" s="3"/>
      <c r="D645" s="3"/>
      <c r="E645" s="21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</row>
    <row r="646">
      <c r="A646" s="3"/>
      <c r="B646" s="3"/>
      <c r="C646" s="3"/>
      <c r="D646" s="3"/>
      <c r="E646" s="21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</row>
    <row r="647">
      <c r="A647" s="3"/>
      <c r="B647" s="3"/>
      <c r="C647" s="3"/>
      <c r="D647" s="3"/>
      <c r="E647" s="21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</row>
    <row r="648">
      <c r="A648" s="3"/>
      <c r="B648" s="3"/>
      <c r="C648" s="3"/>
      <c r="D648" s="3"/>
      <c r="E648" s="21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</row>
    <row r="649">
      <c r="A649" s="3"/>
      <c r="B649" s="3"/>
      <c r="C649" s="3"/>
      <c r="D649" s="3"/>
      <c r="E649" s="21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</row>
    <row r="650">
      <c r="A650" s="3"/>
      <c r="B650" s="3"/>
      <c r="C650" s="3"/>
      <c r="D650" s="3"/>
      <c r="E650" s="21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</row>
    <row r="651">
      <c r="A651" s="3"/>
      <c r="B651" s="3"/>
      <c r="C651" s="3"/>
      <c r="D651" s="3"/>
      <c r="E651" s="21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</row>
    <row r="652">
      <c r="A652" s="3"/>
      <c r="B652" s="3"/>
      <c r="C652" s="3"/>
      <c r="D652" s="3"/>
      <c r="E652" s="21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</row>
    <row r="653">
      <c r="A653" s="3"/>
      <c r="B653" s="3"/>
      <c r="C653" s="3"/>
      <c r="D653" s="3"/>
      <c r="E653" s="21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</row>
    <row r="654">
      <c r="A654" s="3"/>
      <c r="B654" s="3"/>
      <c r="C654" s="3"/>
      <c r="D654" s="3"/>
      <c r="E654" s="21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</row>
    <row r="655">
      <c r="A655" s="3"/>
      <c r="B655" s="3"/>
      <c r="C655" s="3"/>
      <c r="D655" s="3"/>
      <c r="E655" s="21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</row>
    <row r="656">
      <c r="A656" s="3"/>
      <c r="B656" s="3"/>
      <c r="C656" s="3"/>
      <c r="D656" s="3"/>
      <c r="E656" s="21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</row>
    <row r="657">
      <c r="A657" s="3"/>
      <c r="B657" s="3"/>
      <c r="C657" s="3"/>
      <c r="D657" s="3"/>
      <c r="E657" s="21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</row>
    <row r="658">
      <c r="A658" s="3"/>
      <c r="B658" s="3"/>
      <c r="C658" s="3"/>
      <c r="D658" s="3"/>
      <c r="E658" s="21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</row>
    <row r="659">
      <c r="A659" s="3"/>
      <c r="B659" s="3"/>
      <c r="C659" s="3"/>
      <c r="D659" s="3"/>
      <c r="E659" s="21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</row>
    <row r="660">
      <c r="A660" s="3"/>
      <c r="B660" s="3"/>
      <c r="C660" s="3"/>
      <c r="D660" s="3"/>
      <c r="E660" s="21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</row>
    <row r="661">
      <c r="A661" s="3"/>
      <c r="B661" s="3"/>
      <c r="C661" s="3"/>
      <c r="D661" s="3"/>
      <c r="E661" s="21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</row>
    <row r="662">
      <c r="A662" s="3"/>
      <c r="B662" s="3"/>
      <c r="C662" s="3"/>
      <c r="D662" s="3"/>
      <c r="E662" s="21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</row>
    <row r="663">
      <c r="A663" s="3"/>
      <c r="B663" s="3"/>
      <c r="C663" s="3"/>
      <c r="D663" s="3"/>
      <c r="E663" s="21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</row>
    <row r="664">
      <c r="A664" s="3"/>
      <c r="B664" s="3"/>
      <c r="C664" s="3"/>
      <c r="D664" s="3"/>
      <c r="E664" s="21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</row>
    <row r="665">
      <c r="A665" s="3"/>
      <c r="B665" s="3"/>
      <c r="C665" s="3"/>
      <c r="D665" s="3"/>
      <c r="E665" s="21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</row>
    <row r="666">
      <c r="A666" s="3"/>
      <c r="B666" s="3"/>
      <c r="C666" s="3"/>
      <c r="D666" s="3"/>
      <c r="E666" s="21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</row>
    <row r="667">
      <c r="A667" s="3"/>
      <c r="B667" s="3"/>
      <c r="C667" s="3"/>
      <c r="D667" s="3"/>
      <c r="E667" s="21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</row>
    <row r="668">
      <c r="A668" s="3"/>
      <c r="B668" s="3"/>
      <c r="C668" s="3"/>
      <c r="D668" s="3"/>
      <c r="E668" s="21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</row>
    <row r="669">
      <c r="A669" s="3"/>
      <c r="B669" s="3"/>
      <c r="C669" s="3"/>
      <c r="D669" s="3"/>
      <c r="E669" s="21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</row>
    <row r="670">
      <c r="A670" s="3"/>
      <c r="B670" s="3"/>
      <c r="C670" s="3"/>
      <c r="D670" s="3"/>
      <c r="E670" s="21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</row>
    <row r="671">
      <c r="A671" s="3"/>
      <c r="B671" s="3"/>
      <c r="C671" s="3"/>
      <c r="D671" s="3"/>
      <c r="E671" s="21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</row>
    <row r="672">
      <c r="A672" s="3"/>
      <c r="B672" s="3"/>
      <c r="C672" s="3"/>
      <c r="D672" s="3"/>
      <c r="E672" s="21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</row>
    <row r="673">
      <c r="A673" s="3"/>
      <c r="B673" s="3"/>
      <c r="C673" s="3"/>
      <c r="D673" s="3"/>
      <c r="E673" s="21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</row>
    <row r="674">
      <c r="A674" s="3"/>
      <c r="B674" s="3"/>
      <c r="C674" s="3"/>
      <c r="D674" s="3"/>
      <c r="E674" s="21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</row>
    <row r="675">
      <c r="A675" s="3"/>
      <c r="B675" s="3"/>
      <c r="C675" s="3"/>
      <c r="D675" s="3"/>
      <c r="E675" s="21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</row>
    <row r="676">
      <c r="A676" s="3"/>
      <c r="B676" s="3"/>
      <c r="C676" s="3"/>
      <c r="D676" s="3"/>
      <c r="E676" s="21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</row>
    <row r="677">
      <c r="A677" s="3"/>
      <c r="B677" s="3"/>
      <c r="C677" s="3"/>
      <c r="D677" s="3"/>
      <c r="E677" s="21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</row>
    <row r="678">
      <c r="A678" s="3"/>
      <c r="B678" s="3"/>
      <c r="C678" s="3"/>
      <c r="D678" s="3"/>
      <c r="E678" s="21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</row>
    <row r="679">
      <c r="A679" s="3"/>
      <c r="B679" s="3"/>
      <c r="C679" s="3"/>
      <c r="D679" s="3"/>
      <c r="E679" s="21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</row>
    <row r="680">
      <c r="A680" s="3"/>
      <c r="B680" s="3"/>
      <c r="C680" s="3"/>
      <c r="D680" s="3"/>
      <c r="E680" s="21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</row>
    <row r="681">
      <c r="A681" s="3"/>
      <c r="B681" s="3"/>
      <c r="C681" s="3"/>
      <c r="D681" s="3"/>
      <c r="E681" s="21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</row>
    <row r="682">
      <c r="A682" s="3"/>
      <c r="B682" s="3"/>
      <c r="C682" s="3"/>
      <c r="D682" s="3"/>
      <c r="E682" s="21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</row>
    <row r="683">
      <c r="A683" s="3"/>
      <c r="B683" s="3"/>
      <c r="C683" s="3"/>
      <c r="D683" s="3"/>
      <c r="E683" s="21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</row>
    <row r="684">
      <c r="A684" s="3"/>
      <c r="B684" s="3"/>
      <c r="C684" s="3"/>
      <c r="D684" s="3"/>
      <c r="E684" s="21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</row>
    <row r="685">
      <c r="A685" s="3"/>
      <c r="B685" s="3"/>
      <c r="C685" s="3"/>
      <c r="D685" s="3"/>
      <c r="E685" s="21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</row>
    <row r="686">
      <c r="A686" s="3"/>
      <c r="B686" s="3"/>
      <c r="C686" s="3"/>
      <c r="D686" s="3"/>
      <c r="E686" s="21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</row>
    <row r="687">
      <c r="A687" s="3"/>
      <c r="B687" s="3"/>
      <c r="C687" s="3"/>
      <c r="D687" s="3"/>
      <c r="E687" s="21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</row>
    <row r="688">
      <c r="A688" s="3"/>
      <c r="B688" s="3"/>
      <c r="C688" s="3"/>
      <c r="D688" s="3"/>
      <c r="E688" s="21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</row>
    <row r="689">
      <c r="A689" s="3"/>
      <c r="B689" s="3"/>
      <c r="C689" s="3"/>
      <c r="D689" s="3"/>
      <c r="E689" s="21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</row>
    <row r="690">
      <c r="A690" s="3"/>
      <c r="B690" s="3"/>
      <c r="C690" s="3"/>
      <c r="D690" s="3"/>
      <c r="E690" s="21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</row>
    <row r="691">
      <c r="A691" s="3"/>
      <c r="B691" s="3"/>
      <c r="C691" s="3"/>
      <c r="D691" s="3"/>
      <c r="E691" s="21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</row>
    <row r="692">
      <c r="A692" s="3"/>
      <c r="B692" s="3"/>
      <c r="C692" s="3"/>
      <c r="D692" s="3"/>
      <c r="E692" s="21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</row>
    <row r="693">
      <c r="A693" s="3"/>
      <c r="B693" s="3"/>
      <c r="C693" s="3"/>
      <c r="D693" s="3"/>
      <c r="E693" s="21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</row>
    <row r="694">
      <c r="A694" s="3"/>
      <c r="B694" s="3"/>
      <c r="C694" s="3"/>
      <c r="D694" s="3"/>
      <c r="E694" s="21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</row>
    <row r="695">
      <c r="A695" s="3"/>
      <c r="B695" s="3"/>
      <c r="C695" s="3"/>
      <c r="D695" s="3"/>
      <c r="E695" s="21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</row>
    <row r="696">
      <c r="A696" s="3"/>
      <c r="B696" s="3"/>
      <c r="C696" s="3"/>
      <c r="D696" s="3"/>
      <c r="E696" s="21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</row>
    <row r="697">
      <c r="A697" s="3"/>
      <c r="B697" s="3"/>
      <c r="C697" s="3"/>
      <c r="D697" s="3"/>
      <c r="E697" s="21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</row>
    <row r="698">
      <c r="A698" s="3"/>
      <c r="B698" s="3"/>
      <c r="C698" s="3"/>
      <c r="D698" s="3"/>
      <c r="E698" s="21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</row>
    <row r="699">
      <c r="A699" s="3"/>
      <c r="B699" s="3"/>
      <c r="C699" s="3"/>
      <c r="D699" s="3"/>
      <c r="E699" s="21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</row>
    <row r="700">
      <c r="A700" s="3"/>
      <c r="B700" s="3"/>
      <c r="C700" s="3"/>
      <c r="D700" s="3"/>
      <c r="E700" s="21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</row>
    <row r="701">
      <c r="A701" s="3"/>
      <c r="B701" s="3"/>
      <c r="C701" s="3"/>
      <c r="D701" s="3"/>
      <c r="E701" s="21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</row>
    <row r="702">
      <c r="A702" s="3"/>
      <c r="B702" s="3"/>
      <c r="C702" s="3"/>
      <c r="D702" s="3"/>
      <c r="E702" s="21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</row>
    <row r="703">
      <c r="A703" s="3"/>
      <c r="B703" s="3"/>
      <c r="C703" s="3"/>
      <c r="D703" s="3"/>
      <c r="E703" s="21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</row>
    <row r="704">
      <c r="A704" s="3"/>
      <c r="B704" s="3"/>
      <c r="C704" s="3"/>
      <c r="D704" s="3"/>
      <c r="E704" s="21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</row>
    <row r="705">
      <c r="A705" s="3"/>
      <c r="B705" s="3"/>
      <c r="C705" s="3"/>
      <c r="D705" s="3"/>
      <c r="E705" s="21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</row>
    <row r="706">
      <c r="A706" s="3"/>
      <c r="B706" s="3"/>
      <c r="C706" s="3"/>
      <c r="D706" s="3"/>
      <c r="E706" s="21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</row>
    <row r="707">
      <c r="A707" s="3"/>
      <c r="B707" s="3"/>
      <c r="C707" s="3"/>
      <c r="D707" s="3"/>
      <c r="E707" s="21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</row>
    <row r="708">
      <c r="A708" s="3"/>
      <c r="B708" s="3"/>
      <c r="C708" s="3"/>
      <c r="D708" s="3"/>
      <c r="E708" s="21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</row>
    <row r="709">
      <c r="A709" s="3"/>
      <c r="B709" s="3"/>
      <c r="C709" s="3"/>
      <c r="D709" s="3"/>
      <c r="E709" s="21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</row>
    <row r="710">
      <c r="A710" s="3"/>
      <c r="B710" s="3"/>
      <c r="C710" s="3"/>
      <c r="D710" s="3"/>
      <c r="E710" s="21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</row>
    <row r="711">
      <c r="A711" s="3"/>
      <c r="B711" s="3"/>
      <c r="C711" s="3"/>
      <c r="D711" s="3"/>
      <c r="E711" s="21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</row>
    <row r="712">
      <c r="A712" s="3"/>
      <c r="B712" s="3"/>
      <c r="C712" s="3"/>
      <c r="D712" s="3"/>
      <c r="E712" s="21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</row>
    <row r="713">
      <c r="A713" s="3"/>
      <c r="B713" s="3"/>
      <c r="C713" s="3"/>
      <c r="D713" s="3"/>
      <c r="E713" s="21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</row>
    <row r="714">
      <c r="A714" s="3"/>
      <c r="B714" s="3"/>
      <c r="C714" s="3"/>
      <c r="D714" s="3"/>
      <c r="E714" s="21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</row>
    <row r="715">
      <c r="A715" s="3"/>
      <c r="B715" s="3"/>
      <c r="C715" s="3"/>
      <c r="D715" s="3"/>
      <c r="E715" s="21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</row>
    <row r="716">
      <c r="A716" s="3"/>
      <c r="B716" s="3"/>
      <c r="C716" s="3"/>
      <c r="D716" s="3"/>
      <c r="E716" s="21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</row>
    <row r="717">
      <c r="A717" s="3"/>
      <c r="B717" s="3"/>
      <c r="C717" s="3"/>
      <c r="D717" s="3"/>
      <c r="E717" s="21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</row>
    <row r="718">
      <c r="A718" s="3"/>
      <c r="B718" s="3"/>
      <c r="C718" s="3"/>
      <c r="D718" s="3"/>
      <c r="E718" s="21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</row>
    <row r="719">
      <c r="A719" s="3"/>
      <c r="B719" s="3"/>
      <c r="C719" s="3"/>
      <c r="D719" s="3"/>
      <c r="E719" s="21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</row>
    <row r="720">
      <c r="A720" s="3"/>
      <c r="B720" s="3"/>
      <c r="C720" s="3"/>
      <c r="D720" s="3"/>
      <c r="E720" s="21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</row>
    <row r="721">
      <c r="A721" s="3"/>
      <c r="B721" s="3"/>
      <c r="C721" s="3"/>
      <c r="D721" s="3"/>
      <c r="E721" s="21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</row>
    <row r="722">
      <c r="A722" s="3"/>
      <c r="B722" s="3"/>
      <c r="C722" s="3"/>
      <c r="D722" s="3"/>
      <c r="E722" s="21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</row>
    <row r="723">
      <c r="A723" s="3"/>
      <c r="B723" s="3"/>
      <c r="C723" s="3"/>
      <c r="D723" s="3"/>
      <c r="E723" s="21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</row>
    <row r="724">
      <c r="A724" s="3"/>
      <c r="B724" s="3"/>
      <c r="C724" s="3"/>
      <c r="D724" s="3"/>
      <c r="E724" s="21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</row>
    <row r="725">
      <c r="A725" s="3"/>
      <c r="B725" s="3"/>
      <c r="C725" s="3"/>
      <c r="D725" s="3"/>
      <c r="E725" s="21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</row>
    <row r="726">
      <c r="A726" s="3"/>
      <c r="B726" s="3"/>
      <c r="C726" s="3"/>
      <c r="D726" s="3"/>
      <c r="E726" s="21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</row>
    <row r="727">
      <c r="A727" s="3"/>
      <c r="B727" s="3"/>
      <c r="C727" s="3"/>
      <c r="D727" s="3"/>
      <c r="E727" s="21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</row>
    <row r="728">
      <c r="A728" s="3"/>
      <c r="B728" s="3"/>
      <c r="C728" s="3"/>
      <c r="D728" s="3"/>
      <c r="E728" s="21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</row>
    <row r="729">
      <c r="A729" s="3"/>
      <c r="B729" s="3"/>
      <c r="C729" s="3"/>
      <c r="D729" s="3"/>
      <c r="E729" s="21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</row>
    <row r="730">
      <c r="A730" s="3"/>
      <c r="B730" s="3"/>
      <c r="C730" s="3"/>
      <c r="D730" s="3"/>
      <c r="E730" s="21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</row>
    <row r="731">
      <c r="A731" s="3"/>
      <c r="B731" s="3"/>
      <c r="C731" s="3"/>
      <c r="D731" s="3"/>
      <c r="E731" s="21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</row>
    <row r="732">
      <c r="A732" s="3"/>
      <c r="B732" s="3"/>
      <c r="C732" s="3"/>
      <c r="D732" s="3"/>
      <c r="E732" s="21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</row>
    <row r="733">
      <c r="A733" s="3"/>
      <c r="B733" s="3"/>
      <c r="C733" s="3"/>
      <c r="D733" s="3"/>
      <c r="E733" s="21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</row>
    <row r="734">
      <c r="A734" s="3"/>
      <c r="B734" s="3"/>
      <c r="C734" s="3"/>
      <c r="D734" s="3"/>
      <c r="E734" s="21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</row>
    <row r="735">
      <c r="A735" s="3"/>
      <c r="B735" s="3"/>
      <c r="C735" s="3"/>
      <c r="D735" s="3"/>
      <c r="E735" s="21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</row>
    <row r="736">
      <c r="A736" s="3"/>
      <c r="B736" s="3"/>
      <c r="C736" s="3"/>
      <c r="D736" s="3"/>
      <c r="E736" s="21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</row>
    <row r="737">
      <c r="A737" s="3"/>
      <c r="B737" s="3"/>
      <c r="C737" s="3"/>
      <c r="D737" s="3"/>
      <c r="E737" s="21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</row>
    <row r="738">
      <c r="A738" s="3"/>
      <c r="B738" s="3"/>
      <c r="C738" s="3"/>
      <c r="D738" s="3"/>
      <c r="E738" s="21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</row>
    <row r="739">
      <c r="A739" s="3"/>
      <c r="B739" s="3"/>
      <c r="C739" s="3"/>
      <c r="D739" s="3"/>
      <c r="E739" s="21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</row>
    <row r="740">
      <c r="A740" s="3"/>
      <c r="B740" s="3"/>
      <c r="C740" s="3"/>
      <c r="D740" s="3"/>
      <c r="E740" s="21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</row>
    <row r="741">
      <c r="A741" s="3"/>
      <c r="B741" s="3"/>
      <c r="C741" s="3"/>
      <c r="D741" s="3"/>
      <c r="E741" s="21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</row>
    <row r="742">
      <c r="A742" s="3"/>
      <c r="B742" s="3"/>
      <c r="C742" s="3"/>
      <c r="D742" s="3"/>
      <c r="E742" s="21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</row>
    <row r="743">
      <c r="A743" s="3"/>
      <c r="B743" s="3"/>
      <c r="C743" s="3"/>
      <c r="D743" s="3"/>
      <c r="E743" s="21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</row>
    <row r="744">
      <c r="A744" s="3"/>
      <c r="B744" s="3"/>
      <c r="C744" s="3"/>
      <c r="D744" s="3"/>
      <c r="E744" s="21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</row>
    <row r="745">
      <c r="A745" s="3"/>
      <c r="B745" s="3"/>
      <c r="C745" s="3"/>
      <c r="D745" s="3"/>
      <c r="E745" s="21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</row>
    <row r="746">
      <c r="A746" s="3"/>
      <c r="B746" s="3"/>
      <c r="C746" s="3"/>
      <c r="D746" s="3"/>
      <c r="E746" s="21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</row>
    <row r="747">
      <c r="A747" s="3"/>
      <c r="B747" s="3"/>
      <c r="C747" s="3"/>
      <c r="D747" s="3"/>
      <c r="E747" s="21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</row>
    <row r="748">
      <c r="A748" s="3"/>
      <c r="B748" s="3"/>
      <c r="C748" s="3"/>
      <c r="D748" s="3"/>
      <c r="E748" s="21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</row>
    <row r="749">
      <c r="A749" s="3"/>
      <c r="B749" s="3"/>
      <c r="C749" s="3"/>
      <c r="D749" s="3"/>
      <c r="E749" s="21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</row>
    <row r="750">
      <c r="A750" s="3"/>
      <c r="B750" s="3"/>
      <c r="C750" s="3"/>
      <c r="D750" s="3"/>
      <c r="E750" s="21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</row>
    <row r="751">
      <c r="A751" s="3"/>
      <c r="B751" s="3"/>
      <c r="C751" s="3"/>
      <c r="D751" s="3"/>
      <c r="E751" s="21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</row>
    <row r="752">
      <c r="A752" s="3"/>
      <c r="B752" s="3"/>
      <c r="C752" s="3"/>
      <c r="D752" s="3"/>
      <c r="E752" s="21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</row>
    <row r="753">
      <c r="A753" s="3"/>
      <c r="B753" s="3"/>
      <c r="C753" s="3"/>
      <c r="D753" s="3"/>
      <c r="E753" s="21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</row>
    <row r="754">
      <c r="A754" s="3"/>
      <c r="B754" s="3"/>
      <c r="C754" s="3"/>
      <c r="D754" s="3"/>
      <c r="E754" s="21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</row>
    <row r="755">
      <c r="A755" s="3"/>
      <c r="B755" s="3"/>
      <c r="C755" s="3"/>
      <c r="D755" s="3"/>
      <c r="E755" s="21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</row>
    <row r="756">
      <c r="A756" s="3"/>
      <c r="B756" s="3"/>
      <c r="C756" s="3"/>
      <c r="D756" s="3"/>
      <c r="E756" s="21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</row>
    <row r="757">
      <c r="A757" s="3"/>
      <c r="B757" s="3"/>
      <c r="C757" s="3"/>
      <c r="D757" s="3"/>
      <c r="E757" s="21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</row>
    <row r="758">
      <c r="A758" s="3"/>
      <c r="B758" s="3"/>
      <c r="C758" s="3"/>
      <c r="D758" s="3"/>
      <c r="E758" s="21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</row>
    <row r="759">
      <c r="A759" s="3"/>
      <c r="B759" s="3"/>
      <c r="C759" s="3"/>
      <c r="D759" s="3"/>
      <c r="E759" s="21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</row>
    <row r="760">
      <c r="A760" s="3"/>
      <c r="B760" s="3"/>
      <c r="C760" s="3"/>
      <c r="D760" s="3"/>
      <c r="E760" s="21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</row>
    <row r="761">
      <c r="A761" s="3"/>
      <c r="B761" s="3"/>
      <c r="C761" s="3"/>
      <c r="D761" s="3"/>
      <c r="E761" s="21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</row>
    <row r="762">
      <c r="A762" s="3"/>
      <c r="B762" s="3"/>
      <c r="C762" s="3"/>
      <c r="D762" s="3"/>
      <c r="E762" s="21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</row>
    <row r="763">
      <c r="A763" s="3"/>
      <c r="B763" s="3"/>
      <c r="C763" s="3"/>
      <c r="D763" s="3"/>
      <c r="E763" s="21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</row>
    <row r="764">
      <c r="A764" s="3"/>
      <c r="B764" s="3"/>
      <c r="C764" s="3"/>
      <c r="D764" s="3"/>
      <c r="E764" s="21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</row>
    <row r="765">
      <c r="A765" s="3"/>
      <c r="B765" s="3"/>
      <c r="C765" s="3"/>
      <c r="D765" s="3"/>
      <c r="E765" s="21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</row>
    <row r="766">
      <c r="A766" s="3"/>
      <c r="B766" s="3"/>
      <c r="C766" s="3"/>
      <c r="D766" s="3"/>
      <c r="E766" s="21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</row>
    <row r="767">
      <c r="A767" s="3"/>
      <c r="B767" s="3"/>
      <c r="C767" s="3"/>
      <c r="D767" s="3"/>
      <c r="E767" s="21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</row>
    <row r="768">
      <c r="A768" s="3"/>
      <c r="B768" s="3"/>
      <c r="C768" s="3"/>
      <c r="D768" s="3"/>
      <c r="E768" s="21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</row>
    <row r="769">
      <c r="A769" s="3"/>
      <c r="B769" s="3"/>
      <c r="C769" s="3"/>
      <c r="D769" s="3"/>
      <c r="E769" s="21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</row>
    <row r="770">
      <c r="A770" s="3"/>
      <c r="B770" s="3"/>
      <c r="C770" s="3"/>
      <c r="D770" s="3"/>
      <c r="E770" s="21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</row>
    <row r="771">
      <c r="A771" s="3"/>
      <c r="B771" s="3"/>
      <c r="C771" s="3"/>
      <c r="D771" s="3"/>
      <c r="E771" s="21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</row>
    <row r="772">
      <c r="A772" s="3"/>
      <c r="B772" s="3"/>
      <c r="C772" s="3"/>
      <c r="D772" s="3"/>
      <c r="E772" s="21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</row>
    <row r="773">
      <c r="A773" s="3"/>
      <c r="B773" s="3"/>
      <c r="C773" s="3"/>
      <c r="D773" s="3"/>
      <c r="E773" s="21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</row>
    <row r="774">
      <c r="A774" s="3"/>
      <c r="B774" s="3"/>
      <c r="C774" s="3"/>
      <c r="D774" s="3"/>
      <c r="E774" s="21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</row>
    <row r="775">
      <c r="A775" s="3"/>
      <c r="B775" s="3"/>
      <c r="C775" s="3"/>
      <c r="D775" s="3"/>
      <c r="E775" s="21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</row>
    <row r="776">
      <c r="A776" s="3"/>
      <c r="B776" s="3"/>
      <c r="C776" s="3"/>
      <c r="D776" s="3"/>
      <c r="E776" s="21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</row>
    <row r="777">
      <c r="A777" s="3"/>
      <c r="B777" s="3"/>
      <c r="C777" s="3"/>
      <c r="D777" s="3"/>
      <c r="E777" s="21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</row>
    <row r="778">
      <c r="A778" s="3"/>
      <c r="B778" s="3"/>
      <c r="C778" s="3"/>
      <c r="D778" s="3"/>
      <c r="E778" s="21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</row>
    <row r="779">
      <c r="A779" s="3"/>
      <c r="B779" s="3"/>
      <c r="C779" s="3"/>
      <c r="D779" s="3"/>
      <c r="E779" s="21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</row>
    <row r="780">
      <c r="A780" s="3"/>
      <c r="B780" s="3"/>
      <c r="C780" s="3"/>
      <c r="D780" s="3"/>
      <c r="E780" s="21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</row>
    <row r="781">
      <c r="A781" s="3"/>
      <c r="B781" s="3"/>
      <c r="C781" s="3"/>
      <c r="D781" s="3"/>
      <c r="E781" s="21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</row>
    <row r="782">
      <c r="A782" s="3"/>
      <c r="B782" s="3"/>
      <c r="C782" s="3"/>
      <c r="D782" s="3"/>
      <c r="E782" s="21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</row>
    <row r="783">
      <c r="A783" s="3"/>
      <c r="B783" s="3"/>
      <c r="C783" s="3"/>
      <c r="D783" s="3"/>
      <c r="E783" s="21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</row>
    <row r="784">
      <c r="A784" s="3"/>
      <c r="B784" s="3"/>
      <c r="C784" s="3"/>
      <c r="D784" s="3"/>
      <c r="E784" s="21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</row>
    <row r="785">
      <c r="A785" s="3"/>
      <c r="B785" s="3"/>
      <c r="C785" s="3"/>
      <c r="D785" s="3"/>
      <c r="E785" s="21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</row>
    <row r="786">
      <c r="A786" s="3"/>
      <c r="B786" s="3"/>
      <c r="C786" s="3"/>
      <c r="D786" s="3"/>
      <c r="E786" s="21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</row>
    <row r="787">
      <c r="A787" s="3"/>
      <c r="B787" s="3"/>
      <c r="C787" s="3"/>
      <c r="D787" s="3"/>
      <c r="E787" s="21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</row>
    <row r="788">
      <c r="A788" s="3"/>
      <c r="B788" s="3"/>
      <c r="C788" s="3"/>
      <c r="D788" s="3"/>
      <c r="E788" s="21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</row>
    <row r="789">
      <c r="A789" s="3"/>
      <c r="B789" s="3"/>
      <c r="C789" s="3"/>
      <c r="D789" s="3"/>
      <c r="E789" s="21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</row>
    <row r="790">
      <c r="A790" s="3"/>
      <c r="B790" s="3"/>
      <c r="C790" s="3"/>
      <c r="D790" s="3"/>
      <c r="E790" s="21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</row>
    <row r="791">
      <c r="A791" s="3"/>
      <c r="B791" s="3"/>
      <c r="C791" s="3"/>
      <c r="D791" s="3"/>
      <c r="E791" s="21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</row>
    <row r="792">
      <c r="A792" s="3"/>
      <c r="B792" s="3"/>
      <c r="C792" s="3"/>
      <c r="D792" s="3"/>
      <c r="E792" s="21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</row>
    <row r="793">
      <c r="A793" s="3"/>
      <c r="B793" s="3"/>
      <c r="C793" s="3"/>
      <c r="D793" s="3"/>
      <c r="E793" s="21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</row>
    <row r="794">
      <c r="A794" s="3"/>
      <c r="B794" s="3"/>
      <c r="C794" s="3"/>
      <c r="D794" s="3"/>
      <c r="E794" s="21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</row>
    <row r="795">
      <c r="A795" s="3"/>
      <c r="B795" s="3"/>
      <c r="C795" s="3"/>
      <c r="D795" s="3"/>
      <c r="E795" s="21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</row>
    <row r="796">
      <c r="A796" s="3"/>
      <c r="B796" s="3"/>
      <c r="C796" s="3"/>
      <c r="D796" s="3"/>
      <c r="E796" s="21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</row>
    <row r="797">
      <c r="A797" s="3"/>
      <c r="B797" s="3"/>
      <c r="C797" s="3"/>
      <c r="D797" s="3"/>
      <c r="E797" s="21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</row>
    <row r="798">
      <c r="A798" s="3"/>
      <c r="B798" s="3"/>
      <c r="C798" s="3"/>
      <c r="D798" s="3"/>
      <c r="E798" s="21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</row>
    <row r="799">
      <c r="A799" s="3"/>
      <c r="B799" s="3"/>
      <c r="C799" s="3"/>
      <c r="D799" s="3"/>
      <c r="E799" s="21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</row>
    <row r="800">
      <c r="A800" s="3"/>
      <c r="B800" s="3"/>
      <c r="C800" s="3"/>
      <c r="D800" s="3"/>
      <c r="E800" s="21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</row>
    <row r="801">
      <c r="A801" s="3"/>
      <c r="B801" s="3"/>
      <c r="C801" s="3"/>
      <c r="D801" s="3"/>
      <c r="E801" s="21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</row>
    <row r="802">
      <c r="A802" s="3"/>
      <c r="B802" s="3"/>
      <c r="C802" s="3"/>
      <c r="D802" s="3"/>
      <c r="E802" s="21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</row>
    <row r="803">
      <c r="A803" s="3"/>
      <c r="B803" s="3"/>
      <c r="C803" s="3"/>
      <c r="D803" s="3"/>
      <c r="E803" s="21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</row>
    <row r="804">
      <c r="A804" s="3"/>
      <c r="B804" s="3"/>
      <c r="C804" s="3"/>
      <c r="D804" s="3"/>
      <c r="E804" s="21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</row>
    <row r="805">
      <c r="A805" s="3"/>
      <c r="B805" s="3"/>
      <c r="C805" s="3"/>
      <c r="D805" s="3"/>
      <c r="E805" s="21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</row>
    <row r="806">
      <c r="A806" s="3"/>
      <c r="B806" s="3"/>
      <c r="C806" s="3"/>
      <c r="D806" s="3"/>
      <c r="E806" s="21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</row>
    <row r="807">
      <c r="A807" s="3"/>
      <c r="B807" s="3"/>
      <c r="C807" s="3"/>
      <c r="D807" s="3"/>
      <c r="E807" s="21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</row>
    <row r="808">
      <c r="A808" s="3"/>
      <c r="B808" s="3"/>
      <c r="C808" s="3"/>
      <c r="D808" s="3"/>
      <c r="E808" s="21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</row>
    <row r="809">
      <c r="A809" s="3"/>
      <c r="B809" s="3"/>
      <c r="C809" s="3"/>
      <c r="D809" s="3"/>
      <c r="E809" s="21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</row>
    <row r="810">
      <c r="A810" s="3"/>
      <c r="B810" s="3"/>
      <c r="C810" s="3"/>
      <c r="D810" s="3"/>
      <c r="E810" s="21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</row>
    <row r="811">
      <c r="A811" s="3"/>
      <c r="B811" s="3"/>
      <c r="C811" s="3"/>
      <c r="D811" s="3"/>
      <c r="E811" s="21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</row>
    <row r="812">
      <c r="A812" s="3"/>
      <c r="B812" s="3"/>
      <c r="C812" s="3"/>
      <c r="D812" s="3"/>
      <c r="E812" s="21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</row>
    <row r="813">
      <c r="A813" s="3"/>
      <c r="B813" s="3"/>
      <c r="C813" s="3"/>
      <c r="D813" s="3"/>
      <c r="E813" s="21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</row>
    <row r="814">
      <c r="A814" s="3"/>
      <c r="B814" s="3"/>
      <c r="C814" s="3"/>
      <c r="D814" s="3"/>
      <c r="E814" s="21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</row>
    <row r="815">
      <c r="A815" s="3"/>
      <c r="B815" s="3"/>
      <c r="C815" s="3"/>
      <c r="D815" s="3"/>
      <c r="E815" s="21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</row>
    <row r="816">
      <c r="A816" s="3"/>
      <c r="B816" s="3"/>
      <c r="C816" s="3"/>
      <c r="D816" s="3"/>
      <c r="E816" s="21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</row>
    <row r="817">
      <c r="A817" s="3"/>
      <c r="B817" s="3"/>
      <c r="C817" s="3"/>
      <c r="D817" s="3"/>
      <c r="E817" s="21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</row>
    <row r="818">
      <c r="A818" s="3"/>
      <c r="B818" s="3"/>
      <c r="C818" s="3"/>
      <c r="D818" s="3"/>
      <c r="E818" s="21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</row>
    <row r="819">
      <c r="A819" s="3"/>
      <c r="B819" s="3"/>
      <c r="C819" s="3"/>
      <c r="D819" s="3"/>
      <c r="E819" s="21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</row>
    <row r="820">
      <c r="A820" s="3"/>
      <c r="B820" s="3"/>
      <c r="C820" s="3"/>
      <c r="D820" s="3"/>
      <c r="E820" s="21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</row>
    <row r="821">
      <c r="A821" s="3"/>
      <c r="B821" s="3"/>
      <c r="C821" s="3"/>
      <c r="D821" s="3"/>
      <c r="E821" s="21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</row>
    <row r="822">
      <c r="A822" s="3"/>
      <c r="B822" s="3"/>
      <c r="C822" s="3"/>
      <c r="D822" s="3"/>
      <c r="E822" s="21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</row>
    <row r="823">
      <c r="A823" s="3"/>
      <c r="B823" s="3"/>
      <c r="C823" s="3"/>
      <c r="D823" s="3"/>
      <c r="E823" s="21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</row>
    <row r="824">
      <c r="A824" s="3"/>
      <c r="B824" s="3"/>
      <c r="C824" s="3"/>
      <c r="D824" s="3"/>
      <c r="E824" s="21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</row>
    <row r="825">
      <c r="A825" s="3"/>
      <c r="B825" s="3"/>
      <c r="C825" s="3"/>
      <c r="D825" s="3"/>
      <c r="E825" s="21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</row>
    <row r="826">
      <c r="A826" s="3"/>
      <c r="B826" s="3"/>
      <c r="C826" s="3"/>
      <c r="D826" s="3"/>
      <c r="E826" s="21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</row>
    <row r="827">
      <c r="A827" s="3"/>
      <c r="B827" s="3"/>
      <c r="C827" s="3"/>
      <c r="D827" s="3"/>
      <c r="E827" s="21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</row>
    <row r="828">
      <c r="A828" s="3"/>
      <c r="B828" s="3"/>
      <c r="C828" s="3"/>
      <c r="D828" s="3"/>
      <c r="E828" s="21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</row>
    <row r="829">
      <c r="A829" s="3"/>
      <c r="B829" s="3"/>
      <c r="C829" s="3"/>
      <c r="D829" s="3"/>
      <c r="E829" s="21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</row>
    <row r="830">
      <c r="A830" s="3"/>
      <c r="B830" s="3"/>
      <c r="C830" s="3"/>
      <c r="D830" s="3"/>
      <c r="E830" s="21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</row>
    <row r="831">
      <c r="A831" s="3"/>
      <c r="B831" s="3"/>
      <c r="C831" s="3"/>
      <c r="D831" s="3"/>
      <c r="E831" s="21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</row>
    <row r="832">
      <c r="A832" s="3"/>
      <c r="B832" s="3"/>
      <c r="C832" s="3"/>
      <c r="D832" s="3"/>
      <c r="E832" s="21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</row>
    <row r="833">
      <c r="A833" s="3"/>
      <c r="B833" s="3"/>
      <c r="C833" s="3"/>
      <c r="D833" s="3"/>
      <c r="E833" s="21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</row>
    <row r="834">
      <c r="A834" s="3"/>
      <c r="B834" s="3"/>
      <c r="C834" s="3"/>
      <c r="D834" s="3"/>
      <c r="E834" s="21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</row>
    <row r="835">
      <c r="A835" s="3"/>
      <c r="B835" s="3"/>
      <c r="C835" s="3"/>
      <c r="D835" s="3"/>
      <c r="E835" s="21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</row>
    <row r="836">
      <c r="A836" s="3"/>
      <c r="B836" s="3"/>
      <c r="C836" s="3"/>
      <c r="D836" s="3"/>
      <c r="E836" s="21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</row>
    <row r="837">
      <c r="A837" s="3"/>
      <c r="B837" s="3"/>
      <c r="C837" s="3"/>
      <c r="D837" s="3"/>
      <c r="E837" s="21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</row>
    <row r="838">
      <c r="A838" s="3"/>
      <c r="B838" s="3"/>
      <c r="C838" s="3"/>
      <c r="D838" s="3"/>
      <c r="E838" s="21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</row>
    <row r="839">
      <c r="A839" s="3"/>
      <c r="B839" s="3"/>
      <c r="C839" s="3"/>
      <c r="D839" s="3"/>
      <c r="E839" s="21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</row>
    <row r="840">
      <c r="A840" s="3"/>
      <c r="B840" s="3"/>
      <c r="C840" s="3"/>
      <c r="D840" s="3"/>
      <c r="E840" s="21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</row>
    <row r="841">
      <c r="A841" s="3"/>
      <c r="B841" s="3"/>
      <c r="C841" s="3"/>
      <c r="D841" s="3"/>
      <c r="E841" s="21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</row>
    <row r="842">
      <c r="A842" s="3"/>
      <c r="B842" s="3"/>
      <c r="C842" s="3"/>
      <c r="D842" s="3"/>
      <c r="E842" s="21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</row>
    <row r="843">
      <c r="A843" s="3"/>
      <c r="B843" s="3"/>
      <c r="C843" s="3"/>
      <c r="D843" s="3"/>
      <c r="E843" s="21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</row>
    <row r="844">
      <c r="A844" s="3"/>
      <c r="B844" s="3"/>
      <c r="C844" s="3"/>
      <c r="D844" s="3"/>
      <c r="E844" s="21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</row>
    <row r="845">
      <c r="A845" s="3"/>
      <c r="B845" s="3"/>
      <c r="C845" s="3"/>
      <c r="D845" s="3"/>
      <c r="E845" s="21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</row>
    <row r="846">
      <c r="A846" s="3"/>
      <c r="B846" s="3"/>
      <c r="C846" s="3"/>
      <c r="D846" s="3"/>
      <c r="E846" s="21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</row>
    <row r="847">
      <c r="A847" s="3"/>
      <c r="B847" s="3"/>
      <c r="C847" s="3"/>
      <c r="D847" s="3"/>
      <c r="E847" s="21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</row>
    <row r="848">
      <c r="A848" s="3"/>
      <c r="B848" s="3"/>
      <c r="C848" s="3"/>
      <c r="D848" s="3"/>
      <c r="E848" s="21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</row>
    <row r="849">
      <c r="A849" s="3"/>
      <c r="B849" s="3"/>
      <c r="C849" s="3"/>
      <c r="D849" s="3"/>
      <c r="E849" s="21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</row>
    <row r="850">
      <c r="A850" s="3"/>
      <c r="B850" s="3"/>
      <c r="C850" s="3"/>
      <c r="D850" s="3"/>
      <c r="E850" s="21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</row>
    <row r="851">
      <c r="A851" s="3"/>
      <c r="B851" s="3"/>
      <c r="C851" s="3"/>
      <c r="D851" s="3"/>
      <c r="E851" s="21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</row>
    <row r="852">
      <c r="A852" s="3"/>
      <c r="B852" s="3"/>
      <c r="C852" s="3"/>
      <c r="D852" s="3"/>
      <c r="E852" s="21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</row>
    <row r="853">
      <c r="A853" s="3"/>
      <c r="B853" s="3"/>
      <c r="C853" s="3"/>
      <c r="D853" s="3"/>
      <c r="E853" s="21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</row>
    <row r="854">
      <c r="A854" s="3"/>
      <c r="B854" s="3"/>
      <c r="C854" s="3"/>
      <c r="D854" s="3"/>
      <c r="E854" s="21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</row>
    <row r="855">
      <c r="A855" s="3"/>
      <c r="B855" s="3"/>
      <c r="C855" s="3"/>
      <c r="D855" s="3"/>
      <c r="E855" s="21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</row>
    <row r="856">
      <c r="A856" s="3"/>
      <c r="B856" s="3"/>
      <c r="C856" s="3"/>
      <c r="D856" s="3"/>
      <c r="E856" s="21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</row>
    <row r="857">
      <c r="A857" s="3"/>
      <c r="B857" s="3"/>
      <c r="C857" s="3"/>
      <c r="D857" s="3"/>
      <c r="E857" s="21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</row>
    <row r="858">
      <c r="A858" s="3"/>
      <c r="B858" s="3"/>
      <c r="C858" s="3"/>
      <c r="D858" s="3"/>
      <c r="E858" s="21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</row>
    <row r="859">
      <c r="A859" s="3"/>
      <c r="B859" s="3"/>
      <c r="C859" s="3"/>
      <c r="D859" s="3"/>
      <c r="E859" s="21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</row>
    <row r="860">
      <c r="A860" s="3"/>
      <c r="B860" s="3"/>
      <c r="C860" s="3"/>
      <c r="D860" s="3"/>
      <c r="E860" s="21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</row>
    <row r="861">
      <c r="A861" s="3"/>
      <c r="B861" s="3"/>
      <c r="C861" s="3"/>
      <c r="D861" s="3"/>
      <c r="E861" s="21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</row>
    <row r="862">
      <c r="A862" s="3"/>
      <c r="B862" s="3"/>
      <c r="C862" s="3"/>
      <c r="D862" s="3"/>
      <c r="E862" s="21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</row>
    <row r="863">
      <c r="A863" s="3"/>
      <c r="B863" s="3"/>
      <c r="C863" s="3"/>
      <c r="D863" s="3"/>
      <c r="E863" s="21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</row>
    <row r="864">
      <c r="A864" s="3"/>
      <c r="B864" s="3"/>
      <c r="C864" s="3"/>
      <c r="D864" s="3"/>
      <c r="E864" s="21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</row>
    <row r="865">
      <c r="A865" s="3"/>
      <c r="B865" s="3"/>
      <c r="C865" s="3"/>
      <c r="D865" s="3"/>
      <c r="E865" s="21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</row>
    <row r="866">
      <c r="A866" s="3"/>
      <c r="B866" s="3"/>
      <c r="C866" s="3"/>
      <c r="D866" s="3"/>
      <c r="E866" s="21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</row>
    <row r="867">
      <c r="A867" s="3"/>
      <c r="B867" s="3"/>
      <c r="C867" s="3"/>
      <c r="D867" s="3"/>
      <c r="E867" s="21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</row>
    <row r="868">
      <c r="A868" s="3"/>
      <c r="B868" s="3"/>
      <c r="C868" s="3"/>
      <c r="D868" s="3"/>
      <c r="E868" s="21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</row>
    <row r="869">
      <c r="A869" s="3"/>
      <c r="B869" s="3"/>
      <c r="C869" s="3"/>
      <c r="D869" s="3"/>
      <c r="E869" s="21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</row>
    <row r="870">
      <c r="A870" s="3"/>
      <c r="B870" s="3"/>
      <c r="C870" s="3"/>
      <c r="D870" s="3"/>
      <c r="E870" s="21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</row>
    <row r="871">
      <c r="A871" s="3"/>
      <c r="B871" s="3"/>
      <c r="C871" s="3"/>
      <c r="D871" s="3"/>
      <c r="E871" s="21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</row>
    <row r="872">
      <c r="A872" s="3"/>
      <c r="B872" s="3"/>
      <c r="C872" s="3"/>
      <c r="D872" s="3"/>
      <c r="E872" s="21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</row>
    <row r="873">
      <c r="A873" s="3"/>
      <c r="B873" s="3"/>
      <c r="C873" s="3"/>
      <c r="D873" s="3"/>
      <c r="E873" s="21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</row>
    <row r="874">
      <c r="A874" s="3"/>
      <c r="B874" s="3"/>
      <c r="C874" s="3"/>
      <c r="D874" s="3"/>
      <c r="E874" s="21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</row>
    <row r="875">
      <c r="A875" s="3"/>
      <c r="B875" s="3"/>
      <c r="C875" s="3"/>
      <c r="D875" s="3"/>
      <c r="E875" s="21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</row>
    <row r="876">
      <c r="A876" s="3"/>
      <c r="B876" s="3"/>
      <c r="C876" s="3"/>
      <c r="D876" s="3"/>
      <c r="E876" s="21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</row>
    <row r="877">
      <c r="A877" s="3"/>
      <c r="B877" s="3"/>
      <c r="C877" s="3"/>
      <c r="D877" s="3"/>
      <c r="E877" s="21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</row>
    <row r="878">
      <c r="A878" s="3"/>
      <c r="B878" s="3"/>
      <c r="C878" s="3"/>
      <c r="D878" s="3"/>
      <c r="E878" s="21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</row>
    <row r="879">
      <c r="A879" s="3"/>
      <c r="B879" s="3"/>
      <c r="C879" s="3"/>
      <c r="D879" s="3"/>
      <c r="E879" s="21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</row>
    <row r="880">
      <c r="A880" s="3"/>
      <c r="B880" s="3"/>
      <c r="C880" s="3"/>
      <c r="D880" s="3"/>
      <c r="E880" s="21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</row>
    <row r="881">
      <c r="A881" s="3"/>
      <c r="B881" s="3"/>
      <c r="C881" s="3"/>
      <c r="D881" s="3"/>
      <c r="E881" s="21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</row>
    <row r="882">
      <c r="A882" s="3"/>
      <c r="B882" s="3"/>
      <c r="C882" s="3"/>
      <c r="D882" s="3"/>
      <c r="E882" s="21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</row>
    <row r="883">
      <c r="A883" s="3"/>
      <c r="B883" s="3"/>
      <c r="C883" s="3"/>
      <c r="D883" s="3"/>
      <c r="E883" s="21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</row>
    <row r="884">
      <c r="A884" s="3"/>
      <c r="B884" s="3"/>
      <c r="C884" s="3"/>
      <c r="D884" s="3"/>
      <c r="E884" s="21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</row>
    <row r="885">
      <c r="A885" s="3"/>
      <c r="B885" s="3"/>
      <c r="C885" s="3"/>
      <c r="D885" s="3"/>
      <c r="E885" s="21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</row>
    <row r="886">
      <c r="A886" s="3"/>
      <c r="B886" s="3"/>
      <c r="C886" s="3"/>
      <c r="D886" s="3"/>
      <c r="E886" s="21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</row>
    <row r="887">
      <c r="A887" s="3"/>
      <c r="B887" s="3"/>
      <c r="C887" s="3"/>
      <c r="D887" s="3"/>
      <c r="E887" s="21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</row>
    <row r="888">
      <c r="A888" s="3"/>
      <c r="B888" s="3"/>
      <c r="C888" s="3"/>
      <c r="D888" s="3"/>
      <c r="E888" s="21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</row>
    <row r="889">
      <c r="A889" s="3"/>
      <c r="B889" s="3"/>
      <c r="C889" s="3"/>
      <c r="D889" s="3"/>
      <c r="E889" s="21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</row>
    <row r="890">
      <c r="A890" s="3"/>
      <c r="B890" s="3"/>
      <c r="C890" s="3"/>
      <c r="D890" s="3"/>
      <c r="E890" s="21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</row>
    <row r="891">
      <c r="A891" s="3"/>
      <c r="B891" s="3"/>
      <c r="C891" s="3"/>
      <c r="D891" s="3"/>
      <c r="E891" s="21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</row>
    <row r="892">
      <c r="A892" s="3"/>
      <c r="B892" s="3"/>
      <c r="C892" s="3"/>
      <c r="D892" s="3"/>
      <c r="E892" s="21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</row>
    <row r="893">
      <c r="A893" s="3"/>
      <c r="B893" s="3"/>
      <c r="C893" s="3"/>
      <c r="D893" s="3"/>
      <c r="E893" s="21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</row>
    <row r="894">
      <c r="A894" s="3"/>
      <c r="B894" s="3"/>
      <c r="C894" s="3"/>
      <c r="D894" s="3"/>
      <c r="E894" s="21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</row>
    <row r="895">
      <c r="A895" s="3"/>
      <c r="B895" s="3"/>
      <c r="C895" s="3"/>
      <c r="D895" s="3"/>
      <c r="E895" s="21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</row>
    <row r="896">
      <c r="A896" s="3"/>
      <c r="B896" s="3"/>
      <c r="C896" s="3"/>
      <c r="D896" s="3"/>
      <c r="E896" s="21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</row>
    <row r="897">
      <c r="A897" s="3"/>
      <c r="B897" s="3"/>
      <c r="C897" s="3"/>
      <c r="D897" s="3"/>
      <c r="E897" s="21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</row>
    <row r="898">
      <c r="A898" s="3"/>
      <c r="B898" s="3"/>
      <c r="C898" s="3"/>
      <c r="D898" s="3"/>
      <c r="E898" s="21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</row>
    <row r="899">
      <c r="A899" s="3"/>
      <c r="B899" s="3"/>
      <c r="C899" s="3"/>
      <c r="D899" s="3"/>
      <c r="E899" s="21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</row>
    <row r="900">
      <c r="A900" s="3"/>
      <c r="B900" s="3"/>
      <c r="C900" s="3"/>
      <c r="D900" s="3"/>
      <c r="E900" s="21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</row>
    <row r="901">
      <c r="A901" s="3"/>
      <c r="B901" s="3"/>
      <c r="C901" s="3"/>
      <c r="D901" s="3"/>
      <c r="E901" s="21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</row>
    <row r="902">
      <c r="A902" s="3"/>
      <c r="B902" s="3"/>
      <c r="C902" s="3"/>
      <c r="D902" s="3"/>
      <c r="E902" s="21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</row>
    <row r="903">
      <c r="A903" s="3"/>
      <c r="B903" s="3"/>
      <c r="C903" s="3"/>
      <c r="D903" s="3"/>
      <c r="E903" s="21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</row>
    <row r="904">
      <c r="A904" s="3"/>
      <c r="B904" s="3"/>
      <c r="C904" s="3"/>
      <c r="D904" s="3"/>
      <c r="E904" s="21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</row>
    <row r="905">
      <c r="A905" s="3"/>
      <c r="B905" s="3"/>
      <c r="C905" s="3"/>
      <c r="D905" s="3"/>
      <c r="E905" s="21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</row>
    <row r="906">
      <c r="A906" s="3"/>
      <c r="B906" s="3"/>
      <c r="C906" s="3"/>
      <c r="D906" s="3"/>
      <c r="E906" s="21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</row>
    <row r="907">
      <c r="A907" s="3"/>
      <c r="B907" s="3"/>
      <c r="C907" s="3"/>
      <c r="D907" s="3"/>
      <c r="E907" s="21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</row>
    <row r="908">
      <c r="A908" s="3"/>
      <c r="B908" s="3"/>
      <c r="C908" s="3"/>
      <c r="D908" s="3"/>
      <c r="E908" s="21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</row>
    <row r="909">
      <c r="A909" s="3"/>
      <c r="B909" s="3"/>
      <c r="C909" s="3"/>
      <c r="D909" s="3"/>
      <c r="E909" s="21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</row>
    <row r="910">
      <c r="A910" s="3"/>
      <c r="B910" s="3"/>
      <c r="C910" s="3"/>
      <c r="D910" s="3"/>
      <c r="E910" s="21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</row>
    <row r="911">
      <c r="A911" s="3"/>
      <c r="B911" s="3"/>
      <c r="C911" s="3"/>
      <c r="D911" s="3"/>
      <c r="E911" s="21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</row>
    <row r="912">
      <c r="A912" s="3"/>
      <c r="B912" s="3"/>
      <c r="C912" s="3"/>
      <c r="D912" s="3"/>
      <c r="E912" s="21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</row>
    <row r="913">
      <c r="A913" s="3"/>
      <c r="B913" s="3"/>
      <c r="C913" s="3"/>
      <c r="D913" s="3"/>
      <c r="E913" s="21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</row>
    <row r="914">
      <c r="A914" s="3"/>
      <c r="B914" s="3"/>
      <c r="C914" s="3"/>
      <c r="D914" s="3"/>
      <c r="E914" s="21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</row>
    <row r="915">
      <c r="A915" s="3"/>
      <c r="B915" s="3"/>
      <c r="C915" s="3"/>
      <c r="D915" s="3"/>
      <c r="E915" s="21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</row>
    <row r="916">
      <c r="A916" s="3"/>
      <c r="B916" s="3"/>
      <c r="C916" s="3"/>
      <c r="D916" s="3"/>
      <c r="E916" s="21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</row>
    <row r="917">
      <c r="A917" s="3"/>
      <c r="B917" s="3"/>
      <c r="C917" s="3"/>
      <c r="D917" s="3"/>
      <c r="E917" s="21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</row>
    <row r="918">
      <c r="A918" s="3"/>
      <c r="B918" s="3"/>
      <c r="C918" s="3"/>
      <c r="D918" s="3"/>
      <c r="E918" s="21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</row>
    <row r="919">
      <c r="A919" s="3"/>
      <c r="B919" s="3"/>
      <c r="C919" s="3"/>
      <c r="D919" s="3"/>
      <c r="E919" s="21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</row>
    <row r="920">
      <c r="A920" s="3"/>
      <c r="B920" s="3"/>
      <c r="C920" s="3"/>
      <c r="D920" s="3"/>
      <c r="E920" s="21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</row>
    <row r="921">
      <c r="A921" s="3"/>
      <c r="B921" s="3"/>
      <c r="C921" s="3"/>
      <c r="D921" s="3"/>
      <c r="E921" s="21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</row>
    <row r="922">
      <c r="A922" s="3"/>
      <c r="B922" s="3"/>
      <c r="C922" s="3"/>
      <c r="D922" s="3"/>
      <c r="E922" s="21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</row>
    <row r="923">
      <c r="A923" s="3"/>
      <c r="B923" s="3"/>
      <c r="C923" s="3"/>
      <c r="D923" s="3"/>
      <c r="E923" s="21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</row>
    <row r="924">
      <c r="A924" s="3"/>
      <c r="B924" s="3"/>
      <c r="C924" s="3"/>
      <c r="D924" s="3"/>
      <c r="E924" s="21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</row>
    <row r="925">
      <c r="A925" s="3"/>
      <c r="B925" s="3"/>
      <c r="C925" s="3"/>
      <c r="D925" s="3"/>
      <c r="E925" s="21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</row>
    <row r="926">
      <c r="A926" s="3"/>
      <c r="B926" s="3"/>
      <c r="C926" s="3"/>
      <c r="D926" s="3"/>
      <c r="E926" s="21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</row>
    <row r="927">
      <c r="A927" s="3"/>
      <c r="B927" s="3"/>
      <c r="C927" s="3"/>
      <c r="D927" s="3"/>
      <c r="E927" s="21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</row>
    <row r="928">
      <c r="A928" s="3"/>
      <c r="B928" s="3"/>
      <c r="C928" s="3"/>
      <c r="D928" s="3"/>
      <c r="E928" s="21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</row>
    <row r="929">
      <c r="A929" s="3"/>
      <c r="B929" s="3"/>
      <c r="C929" s="3"/>
      <c r="D929" s="3"/>
      <c r="E929" s="21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</row>
    <row r="930">
      <c r="A930" s="3"/>
      <c r="B930" s="3"/>
      <c r="C930" s="3"/>
      <c r="D930" s="3"/>
      <c r="E930" s="21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</row>
    <row r="931">
      <c r="A931" s="3"/>
      <c r="B931" s="3"/>
      <c r="C931" s="3"/>
      <c r="D931" s="3"/>
      <c r="E931" s="21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</row>
    <row r="932">
      <c r="A932" s="3"/>
      <c r="B932" s="3"/>
      <c r="C932" s="3"/>
      <c r="D932" s="3"/>
      <c r="E932" s="21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</row>
    <row r="933">
      <c r="A933" s="3"/>
      <c r="B933" s="3"/>
      <c r="C933" s="3"/>
      <c r="D933" s="3"/>
      <c r="E933" s="21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</row>
    <row r="934">
      <c r="A934" s="3"/>
      <c r="B934" s="3"/>
      <c r="C934" s="3"/>
      <c r="D934" s="3"/>
      <c r="E934" s="21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</row>
    <row r="935">
      <c r="A935" s="3"/>
      <c r="B935" s="3"/>
      <c r="C935" s="3"/>
      <c r="D935" s="3"/>
      <c r="E935" s="21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</row>
    <row r="936">
      <c r="A936" s="3"/>
      <c r="B936" s="3"/>
      <c r="C936" s="3"/>
      <c r="D936" s="3"/>
      <c r="E936" s="21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</row>
    <row r="937">
      <c r="A937" s="3"/>
      <c r="B937" s="3"/>
      <c r="C937" s="3"/>
      <c r="D937" s="3"/>
      <c r="E937" s="21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</row>
    <row r="938">
      <c r="A938" s="3"/>
      <c r="B938" s="3"/>
      <c r="C938" s="3"/>
      <c r="D938" s="3"/>
      <c r="E938" s="21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</row>
    <row r="939">
      <c r="A939" s="3"/>
      <c r="B939" s="3"/>
      <c r="C939" s="3"/>
      <c r="D939" s="3"/>
      <c r="E939" s="21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</row>
    <row r="940">
      <c r="A940" s="3"/>
      <c r="B940" s="3"/>
      <c r="C940" s="3"/>
      <c r="D940" s="3"/>
      <c r="E940" s="21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</row>
    <row r="941">
      <c r="A941" s="3"/>
      <c r="B941" s="3"/>
      <c r="C941" s="3"/>
      <c r="D941" s="3"/>
      <c r="E941" s="21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</row>
    <row r="942">
      <c r="A942" s="3"/>
      <c r="B942" s="3"/>
      <c r="C942" s="3"/>
      <c r="D942" s="3"/>
      <c r="E942" s="21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</row>
    <row r="943">
      <c r="A943" s="3"/>
      <c r="B943" s="3"/>
      <c r="C943" s="3"/>
      <c r="D943" s="3"/>
      <c r="E943" s="21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</row>
    <row r="944">
      <c r="A944" s="3"/>
      <c r="B944" s="3"/>
      <c r="C944" s="3"/>
      <c r="D944" s="3"/>
      <c r="E944" s="21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</row>
    <row r="945">
      <c r="A945" s="3"/>
      <c r="B945" s="3"/>
      <c r="C945" s="3"/>
      <c r="D945" s="3"/>
      <c r="E945" s="21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</row>
    <row r="946">
      <c r="A946" s="3"/>
      <c r="B946" s="3"/>
      <c r="C946" s="3"/>
      <c r="D946" s="3"/>
      <c r="E946" s="21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</row>
    <row r="947">
      <c r="A947" s="3"/>
      <c r="B947" s="3"/>
      <c r="C947" s="3"/>
      <c r="D947" s="3"/>
      <c r="E947" s="21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</row>
    <row r="948">
      <c r="A948" s="3"/>
      <c r="B948" s="3"/>
      <c r="C948" s="3"/>
      <c r="D948" s="3"/>
      <c r="E948" s="21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</row>
    <row r="949">
      <c r="A949" s="3"/>
      <c r="B949" s="3"/>
      <c r="C949" s="3"/>
      <c r="D949" s="3"/>
      <c r="E949" s="21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</row>
    <row r="950">
      <c r="A950" s="3"/>
      <c r="B950" s="3"/>
      <c r="C950" s="3"/>
      <c r="D950" s="3"/>
      <c r="E950" s="21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</row>
    <row r="951">
      <c r="A951" s="3"/>
      <c r="B951" s="3"/>
      <c r="C951" s="3"/>
      <c r="D951" s="3"/>
      <c r="E951" s="21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</row>
    <row r="952">
      <c r="A952" s="3"/>
      <c r="B952" s="3"/>
      <c r="C952" s="3"/>
      <c r="D952" s="3"/>
      <c r="E952" s="21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</row>
    <row r="953">
      <c r="A953" s="3"/>
      <c r="B953" s="3"/>
      <c r="C953" s="3"/>
      <c r="D953" s="3"/>
      <c r="E953" s="21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</row>
    <row r="954">
      <c r="A954" s="3"/>
      <c r="B954" s="3"/>
      <c r="C954" s="3"/>
      <c r="D954" s="3"/>
      <c r="E954" s="21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</row>
    <row r="955">
      <c r="A955" s="3"/>
      <c r="B955" s="3"/>
      <c r="C955" s="3"/>
      <c r="D955" s="3"/>
      <c r="E955" s="21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</row>
    <row r="956">
      <c r="A956" s="3"/>
      <c r="B956" s="3"/>
      <c r="C956" s="3"/>
      <c r="D956" s="3"/>
      <c r="E956" s="21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</row>
    <row r="957">
      <c r="A957" s="3"/>
      <c r="B957" s="3"/>
      <c r="C957" s="3"/>
      <c r="D957" s="3"/>
      <c r="E957" s="21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</row>
    <row r="958">
      <c r="A958" s="3"/>
      <c r="B958" s="3"/>
      <c r="C958" s="3"/>
      <c r="D958" s="3"/>
      <c r="E958" s="21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</row>
    <row r="959">
      <c r="A959" s="3"/>
      <c r="B959" s="3"/>
      <c r="C959" s="3"/>
      <c r="D959" s="3"/>
      <c r="E959" s="21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</row>
    <row r="960">
      <c r="A960" s="3"/>
      <c r="B960" s="3"/>
      <c r="C960" s="3"/>
      <c r="D960" s="3"/>
      <c r="E960" s="21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</row>
    <row r="961">
      <c r="A961" s="3"/>
      <c r="B961" s="3"/>
      <c r="C961" s="3"/>
      <c r="D961" s="3"/>
      <c r="E961" s="21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</row>
    <row r="962">
      <c r="A962" s="3"/>
      <c r="B962" s="3"/>
      <c r="C962" s="3"/>
      <c r="D962" s="3"/>
      <c r="E962" s="21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</row>
    <row r="963">
      <c r="A963" s="3"/>
      <c r="B963" s="3"/>
      <c r="C963" s="3"/>
      <c r="D963" s="3"/>
      <c r="E963" s="21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</row>
    <row r="964">
      <c r="A964" s="3"/>
      <c r="B964" s="3"/>
      <c r="C964" s="3"/>
      <c r="D964" s="3"/>
      <c r="E964" s="21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</row>
    <row r="965">
      <c r="A965" s="3"/>
      <c r="B965" s="3"/>
      <c r="C965" s="3"/>
      <c r="D965" s="3"/>
      <c r="E965" s="21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</row>
    <row r="966">
      <c r="A966" s="3"/>
      <c r="B966" s="3"/>
      <c r="C966" s="3"/>
      <c r="D966" s="3"/>
      <c r="E966" s="21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</row>
    <row r="967">
      <c r="A967" s="3"/>
      <c r="B967" s="3"/>
      <c r="C967" s="3"/>
      <c r="D967" s="3"/>
      <c r="E967" s="21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</row>
    <row r="968">
      <c r="A968" s="3"/>
      <c r="B968" s="3"/>
      <c r="C968" s="3"/>
      <c r="D968" s="3"/>
      <c r="E968" s="21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</row>
    <row r="969">
      <c r="A969" s="3"/>
      <c r="B969" s="3"/>
      <c r="C969" s="3"/>
      <c r="D969" s="3"/>
      <c r="E969" s="21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</row>
    <row r="970">
      <c r="A970" s="3"/>
      <c r="B970" s="3"/>
      <c r="C970" s="3"/>
      <c r="D970" s="3"/>
      <c r="E970" s="21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</row>
    <row r="971">
      <c r="A971" s="3"/>
      <c r="B971" s="3"/>
      <c r="C971" s="3"/>
      <c r="D971" s="3"/>
      <c r="E971" s="21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</row>
    <row r="972">
      <c r="A972" s="3"/>
      <c r="B972" s="3"/>
      <c r="C972" s="3"/>
      <c r="D972" s="3"/>
      <c r="E972" s="21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</row>
    <row r="973">
      <c r="A973" s="3"/>
      <c r="B973" s="3"/>
      <c r="C973" s="3"/>
      <c r="D973" s="3"/>
      <c r="E973" s="21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</row>
    <row r="974">
      <c r="A974" s="3"/>
      <c r="B974" s="3"/>
      <c r="C974" s="3"/>
      <c r="D974" s="3"/>
      <c r="E974" s="21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</row>
    <row r="975">
      <c r="A975" s="3"/>
      <c r="B975" s="3"/>
      <c r="C975" s="3"/>
      <c r="D975" s="3"/>
      <c r="E975" s="21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</row>
    <row r="976">
      <c r="A976" s="3"/>
      <c r="B976" s="3"/>
      <c r="C976" s="3"/>
      <c r="D976" s="3"/>
      <c r="E976" s="21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</row>
    <row r="977">
      <c r="A977" s="3"/>
      <c r="B977" s="3"/>
      <c r="C977" s="3"/>
      <c r="D977" s="3"/>
      <c r="E977" s="21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</row>
    <row r="978">
      <c r="A978" s="3"/>
      <c r="B978" s="3"/>
      <c r="C978" s="3"/>
      <c r="D978" s="3"/>
      <c r="E978" s="21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</row>
    <row r="979">
      <c r="A979" s="3"/>
      <c r="B979" s="3"/>
      <c r="C979" s="3"/>
      <c r="D979" s="3"/>
      <c r="E979" s="21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</row>
    <row r="980">
      <c r="A980" s="3"/>
      <c r="B980" s="3"/>
      <c r="C980" s="3"/>
      <c r="D980" s="3"/>
      <c r="E980" s="21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</row>
    <row r="981">
      <c r="A981" s="3"/>
      <c r="B981" s="3"/>
      <c r="C981" s="3"/>
      <c r="D981" s="3"/>
      <c r="E981" s="21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</row>
    <row r="982">
      <c r="A982" s="3"/>
      <c r="B982" s="3"/>
      <c r="C982" s="3"/>
      <c r="D982" s="3"/>
      <c r="E982" s="21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</row>
    <row r="983">
      <c r="A983" s="3"/>
      <c r="B983" s="3"/>
      <c r="C983" s="3"/>
      <c r="D983" s="3"/>
      <c r="E983" s="21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</row>
    <row r="984">
      <c r="A984" s="3"/>
      <c r="B984" s="3"/>
      <c r="C984" s="3"/>
      <c r="D984" s="3"/>
      <c r="E984" s="21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</row>
    <row r="985">
      <c r="A985" s="3"/>
      <c r="B985" s="3"/>
      <c r="C985" s="3"/>
      <c r="D985" s="3"/>
      <c r="E985" s="21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</row>
    <row r="986">
      <c r="A986" s="3"/>
      <c r="B986" s="3"/>
      <c r="C986" s="3"/>
      <c r="D986" s="3"/>
      <c r="E986" s="21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</row>
    <row r="987">
      <c r="A987" s="3"/>
      <c r="B987" s="3"/>
      <c r="C987" s="3"/>
      <c r="D987" s="3"/>
      <c r="E987" s="21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</row>
    <row r="988">
      <c r="A988" s="3"/>
      <c r="B988" s="3"/>
      <c r="C988" s="3"/>
      <c r="D988" s="3"/>
      <c r="E988" s="21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</row>
    <row r="989">
      <c r="A989" s="3"/>
      <c r="B989" s="3"/>
      <c r="C989" s="3"/>
      <c r="D989" s="3"/>
      <c r="E989" s="21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</row>
    <row r="990">
      <c r="A990" s="3"/>
      <c r="B990" s="3"/>
      <c r="C990" s="3"/>
      <c r="D990" s="3"/>
      <c r="E990" s="21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</row>
    <row r="991">
      <c r="A991" s="3"/>
      <c r="B991" s="3"/>
      <c r="C991" s="3"/>
      <c r="D991" s="3"/>
      <c r="E991" s="21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</row>
    <row r="992">
      <c r="A992" s="3"/>
      <c r="B992" s="3"/>
      <c r="C992" s="3"/>
      <c r="D992" s="3"/>
      <c r="E992" s="21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</row>
    <row r="993">
      <c r="A993" s="3"/>
      <c r="B993" s="3"/>
      <c r="C993" s="3"/>
      <c r="D993" s="3"/>
      <c r="E993" s="21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</row>
    <row r="994">
      <c r="A994" s="3"/>
      <c r="B994" s="3"/>
      <c r="C994" s="3"/>
      <c r="D994" s="3"/>
      <c r="E994" s="21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</row>
    <row r="995">
      <c r="A995" s="3"/>
      <c r="B995" s="3"/>
      <c r="C995" s="3"/>
      <c r="D995" s="3"/>
      <c r="E995" s="21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</row>
    <row r="996">
      <c r="A996" s="3"/>
      <c r="B996" s="3"/>
      <c r="C996" s="3"/>
      <c r="D996" s="3"/>
      <c r="E996" s="21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</row>
    <row r="997">
      <c r="A997" s="3"/>
      <c r="B997" s="3"/>
      <c r="C997" s="3"/>
      <c r="D997" s="3"/>
      <c r="E997" s="21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</row>
    <row r="998">
      <c r="A998" s="3"/>
      <c r="B998" s="3"/>
      <c r="C998" s="3"/>
      <c r="D998" s="3"/>
      <c r="E998" s="21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</row>
    <row r="999">
      <c r="A999" s="3"/>
      <c r="B999" s="3"/>
      <c r="C999" s="3"/>
      <c r="D999" s="3"/>
      <c r="E999" s="21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</row>
    <row r="1000">
      <c r="A1000" s="3"/>
      <c r="B1000" s="3"/>
      <c r="C1000" s="3"/>
      <c r="D1000" s="3"/>
      <c r="E1000" s="21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88"/>
    <col customWidth="1" min="5" max="5" width="17.88"/>
  </cols>
  <sheetData>
    <row r="1">
      <c r="A1" s="31" t="s">
        <v>8</v>
      </c>
      <c r="B1" s="26"/>
      <c r="C1" s="7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7" t="s">
        <v>163</v>
      </c>
      <c r="B2" s="26" t="s">
        <v>164</v>
      </c>
      <c r="C2" s="32" t="s">
        <v>165</v>
      </c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7" t="s">
        <v>166</v>
      </c>
      <c r="B3" s="26" t="s">
        <v>167</v>
      </c>
      <c r="C3" s="33" t="s">
        <v>168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7" t="s">
        <v>169</v>
      </c>
      <c r="B4" s="7" t="s">
        <v>167</v>
      </c>
      <c r="C4" s="33" t="s">
        <v>170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7" t="s">
        <v>171</v>
      </c>
      <c r="B5" s="7" t="s">
        <v>172</v>
      </c>
      <c r="C5" s="34" t="s">
        <v>173</v>
      </c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7" t="s">
        <v>174</v>
      </c>
      <c r="B6" s="7" t="s">
        <v>175</v>
      </c>
      <c r="C6" s="34" t="s">
        <v>176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7" t="s">
        <v>177</v>
      </c>
      <c r="B7" s="7" t="s">
        <v>178</v>
      </c>
      <c r="C7" s="35" t="s">
        <v>179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2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36" t="s">
        <v>180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37" t="str">
        <f>IFERROR(__xludf.DUMMYFUNCTION("IMPORTDATA(""https://gist.githubusercontent.com/seankross/a412dfbd88b3db70b74b/raw/5f23f993cd87c283ce766e7ac6b329ee7cc2e1d1/mtcars.csv"")"),"model")</f>
        <v>model</v>
      </c>
      <c r="B10" s="2" t="str">
        <f>IFERROR(__xludf.DUMMYFUNCTION("""COMPUTED_VALUE"""),"mpg")</f>
        <v>mpg</v>
      </c>
      <c r="C10" s="2" t="str">
        <f>IFERROR(__xludf.DUMMYFUNCTION("""COMPUTED_VALUE"""),"cyl")</f>
        <v>cyl</v>
      </c>
      <c r="D10" s="38" t="str">
        <f>IFERROR(__xludf.DUMMYFUNCTION("""COMPUTED_VALUE"""),"disp")</f>
        <v>disp</v>
      </c>
      <c r="E10" s="38" t="str">
        <f>IFERROR(__xludf.DUMMYFUNCTION("""COMPUTED_VALUE"""),"hp")</f>
        <v>hp</v>
      </c>
      <c r="F10" s="38" t="str">
        <f>IFERROR(__xludf.DUMMYFUNCTION("""COMPUTED_VALUE"""),"drat")</f>
        <v>drat</v>
      </c>
      <c r="G10" s="38" t="str">
        <f>IFERROR(__xludf.DUMMYFUNCTION("""COMPUTED_VALUE"""),"wt")</f>
        <v>wt</v>
      </c>
      <c r="H10" s="38" t="str">
        <f>IFERROR(__xludf.DUMMYFUNCTION("""COMPUTED_VALUE"""),"qsec")</f>
        <v>qsec</v>
      </c>
      <c r="I10" s="38" t="str">
        <f>IFERROR(__xludf.DUMMYFUNCTION("""COMPUTED_VALUE"""),"vs")</f>
        <v>vs</v>
      </c>
      <c r="J10" s="38" t="str">
        <f>IFERROR(__xludf.DUMMYFUNCTION("""COMPUTED_VALUE"""),"am")</f>
        <v>am</v>
      </c>
      <c r="K10" s="38" t="str">
        <f>IFERROR(__xludf.DUMMYFUNCTION("""COMPUTED_VALUE"""),"gear")</f>
        <v>gear</v>
      </c>
      <c r="L10" s="38" t="str">
        <f>IFERROR(__xludf.DUMMYFUNCTION("""COMPUTED_VALUE"""),"carb")</f>
        <v>carb</v>
      </c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</row>
    <row r="11">
      <c r="A11" s="39" t="str">
        <f>IFERROR(__xludf.DUMMYFUNCTION("""COMPUTED_VALUE"""),"Mazda RX4")</f>
        <v>Mazda RX4</v>
      </c>
      <c r="B11" s="40">
        <f>IFERROR(__xludf.DUMMYFUNCTION("""COMPUTED_VALUE"""),21.0)</f>
        <v>21</v>
      </c>
      <c r="C11" s="7">
        <f>IFERROR(__xludf.DUMMYFUNCTION("""COMPUTED_VALUE"""),6.0)</f>
        <v>6</v>
      </c>
      <c r="D11" s="3">
        <f>IFERROR(__xludf.DUMMYFUNCTION("""COMPUTED_VALUE"""),160.0)</f>
        <v>160</v>
      </c>
      <c r="E11" s="3">
        <f>IFERROR(__xludf.DUMMYFUNCTION("""COMPUTED_VALUE"""),110.0)</f>
        <v>110</v>
      </c>
      <c r="F11" s="3">
        <f>IFERROR(__xludf.DUMMYFUNCTION("""COMPUTED_VALUE"""),3.9)</f>
        <v>3.9</v>
      </c>
      <c r="G11" s="3">
        <f>IFERROR(__xludf.DUMMYFUNCTION("""COMPUTED_VALUE"""),2.62)</f>
        <v>2.62</v>
      </c>
      <c r="H11" s="3">
        <f>IFERROR(__xludf.DUMMYFUNCTION("""COMPUTED_VALUE"""),16.46)</f>
        <v>16.46</v>
      </c>
      <c r="I11" s="3">
        <f>IFERROR(__xludf.DUMMYFUNCTION("""COMPUTED_VALUE"""),0.0)</f>
        <v>0</v>
      </c>
      <c r="J11" s="3">
        <f>IFERROR(__xludf.DUMMYFUNCTION("""COMPUTED_VALUE"""),1.0)</f>
        <v>1</v>
      </c>
      <c r="K11" s="3">
        <f>IFERROR(__xludf.DUMMYFUNCTION("""COMPUTED_VALUE"""),4.0)</f>
        <v>4</v>
      </c>
      <c r="L11" s="3">
        <f>IFERROR(__xludf.DUMMYFUNCTION("""COMPUTED_VALUE"""),4.0)</f>
        <v>4</v>
      </c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>
      <c r="A12" s="41" t="str">
        <f>IFERROR(__xludf.DUMMYFUNCTION("""COMPUTED_VALUE"""),"Mazda RX4 Wag")</f>
        <v>Mazda RX4 Wag</v>
      </c>
      <c r="B12" s="41">
        <f>IFERROR(__xludf.DUMMYFUNCTION("""COMPUTED_VALUE"""),21.0)</f>
        <v>21</v>
      </c>
      <c r="C12" s="3">
        <f>IFERROR(__xludf.DUMMYFUNCTION("""COMPUTED_VALUE"""),6.0)</f>
        <v>6</v>
      </c>
      <c r="D12" s="3">
        <f>IFERROR(__xludf.DUMMYFUNCTION("""COMPUTED_VALUE"""),160.0)</f>
        <v>160</v>
      </c>
      <c r="E12" s="3">
        <f>IFERROR(__xludf.DUMMYFUNCTION("""COMPUTED_VALUE"""),110.0)</f>
        <v>110</v>
      </c>
      <c r="F12" s="3">
        <f>IFERROR(__xludf.DUMMYFUNCTION("""COMPUTED_VALUE"""),3.9)</f>
        <v>3.9</v>
      </c>
      <c r="G12" s="3">
        <f>IFERROR(__xludf.DUMMYFUNCTION("""COMPUTED_VALUE"""),2.875)</f>
        <v>2.875</v>
      </c>
      <c r="H12" s="3">
        <f>IFERROR(__xludf.DUMMYFUNCTION("""COMPUTED_VALUE"""),17.02)</f>
        <v>17.02</v>
      </c>
      <c r="I12" s="3">
        <f>IFERROR(__xludf.DUMMYFUNCTION("""COMPUTED_VALUE"""),0.0)</f>
        <v>0</v>
      </c>
      <c r="J12" s="3">
        <f>IFERROR(__xludf.DUMMYFUNCTION("""COMPUTED_VALUE"""),1.0)</f>
        <v>1</v>
      </c>
      <c r="K12" s="3">
        <f>IFERROR(__xludf.DUMMYFUNCTION("""COMPUTED_VALUE"""),4.0)</f>
        <v>4</v>
      </c>
      <c r="L12" s="3">
        <f>IFERROR(__xludf.DUMMYFUNCTION("""COMPUTED_VALUE"""),4.0)</f>
        <v>4</v>
      </c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>
      <c r="A13" s="41" t="str">
        <f>IFERROR(__xludf.DUMMYFUNCTION("""COMPUTED_VALUE"""),"Datsun 710")</f>
        <v>Datsun 710</v>
      </c>
      <c r="B13" s="41">
        <f>IFERROR(__xludf.DUMMYFUNCTION("""COMPUTED_VALUE"""),22.8)</f>
        <v>22.8</v>
      </c>
      <c r="C13" s="3">
        <f>IFERROR(__xludf.DUMMYFUNCTION("""COMPUTED_VALUE"""),4.0)</f>
        <v>4</v>
      </c>
      <c r="D13" s="3">
        <f>IFERROR(__xludf.DUMMYFUNCTION("""COMPUTED_VALUE"""),108.0)</f>
        <v>108</v>
      </c>
      <c r="E13" s="3">
        <f>IFERROR(__xludf.DUMMYFUNCTION("""COMPUTED_VALUE"""),93.0)</f>
        <v>93</v>
      </c>
      <c r="F13" s="3">
        <f>IFERROR(__xludf.DUMMYFUNCTION("""COMPUTED_VALUE"""),3.85)</f>
        <v>3.85</v>
      </c>
      <c r="G13" s="3">
        <f>IFERROR(__xludf.DUMMYFUNCTION("""COMPUTED_VALUE"""),2.32)</f>
        <v>2.32</v>
      </c>
      <c r="H13" s="3">
        <f>IFERROR(__xludf.DUMMYFUNCTION("""COMPUTED_VALUE"""),18.61)</f>
        <v>18.61</v>
      </c>
      <c r="I13" s="3">
        <f>IFERROR(__xludf.DUMMYFUNCTION("""COMPUTED_VALUE"""),1.0)</f>
        <v>1</v>
      </c>
      <c r="J13" s="3">
        <f>IFERROR(__xludf.DUMMYFUNCTION("""COMPUTED_VALUE"""),1.0)</f>
        <v>1</v>
      </c>
      <c r="K13" s="3">
        <f>IFERROR(__xludf.DUMMYFUNCTION("""COMPUTED_VALUE"""),4.0)</f>
        <v>4</v>
      </c>
      <c r="L13" s="3">
        <f>IFERROR(__xludf.DUMMYFUNCTION("""COMPUTED_VALUE"""),1.0)</f>
        <v>1</v>
      </c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>
      <c r="A14" s="41" t="str">
        <f>IFERROR(__xludf.DUMMYFUNCTION("""COMPUTED_VALUE"""),"Hornet 4 Drive")</f>
        <v>Hornet 4 Drive</v>
      </c>
      <c r="B14" s="41">
        <f>IFERROR(__xludf.DUMMYFUNCTION("""COMPUTED_VALUE"""),21.4)</f>
        <v>21.4</v>
      </c>
      <c r="C14" s="3">
        <f>IFERROR(__xludf.DUMMYFUNCTION("""COMPUTED_VALUE"""),6.0)</f>
        <v>6</v>
      </c>
      <c r="D14" s="3">
        <f>IFERROR(__xludf.DUMMYFUNCTION("""COMPUTED_VALUE"""),258.0)</f>
        <v>258</v>
      </c>
      <c r="E14" s="3">
        <f>IFERROR(__xludf.DUMMYFUNCTION("""COMPUTED_VALUE"""),110.0)</f>
        <v>110</v>
      </c>
      <c r="F14" s="3">
        <f>IFERROR(__xludf.DUMMYFUNCTION("""COMPUTED_VALUE"""),3.08)</f>
        <v>3.08</v>
      </c>
      <c r="G14" s="3">
        <f>IFERROR(__xludf.DUMMYFUNCTION("""COMPUTED_VALUE"""),3.215)</f>
        <v>3.215</v>
      </c>
      <c r="H14" s="3">
        <f>IFERROR(__xludf.DUMMYFUNCTION("""COMPUTED_VALUE"""),19.44)</f>
        <v>19.44</v>
      </c>
      <c r="I14" s="3">
        <f>IFERROR(__xludf.DUMMYFUNCTION("""COMPUTED_VALUE"""),1.0)</f>
        <v>1</v>
      </c>
      <c r="J14" s="3">
        <f>IFERROR(__xludf.DUMMYFUNCTION("""COMPUTED_VALUE"""),0.0)</f>
        <v>0</v>
      </c>
      <c r="K14" s="3">
        <f>IFERROR(__xludf.DUMMYFUNCTION("""COMPUTED_VALUE"""),3.0)</f>
        <v>3</v>
      </c>
      <c r="L14" s="3">
        <f>IFERROR(__xludf.DUMMYFUNCTION("""COMPUTED_VALUE"""),1.0)</f>
        <v>1</v>
      </c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>
      <c r="A15" s="41" t="str">
        <f>IFERROR(__xludf.DUMMYFUNCTION("""COMPUTED_VALUE"""),"Hornet Sportabout")</f>
        <v>Hornet Sportabout</v>
      </c>
      <c r="B15" s="41">
        <f>IFERROR(__xludf.DUMMYFUNCTION("""COMPUTED_VALUE"""),18.7)</f>
        <v>18.7</v>
      </c>
      <c r="C15" s="3">
        <f>IFERROR(__xludf.DUMMYFUNCTION("""COMPUTED_VALUE"""),8.0)</f>
        <v>8</v>
      </c>
      <c r="D15" s="3">
        <f>IFERROR(__xludf.DUMMYFUNCTION("""COMPUTED_VALUE"""),360.0)</f>
        <v>360</v>
      </c>
      <c r="E15" s="3">
        <f>IFERROR(__xludf.DUMMYFUNCTION("""COMPUTED_VALUE"""),175.0)</f>
        <v>175</v>
      </c>
      <c r="F15" s="3">
        <f>IFERROR(__xludf.DUMMYFUNCTION("""COMPUTED_VALUE"""),3.15)</f>
        <v>3.15</v>
      </c>
      <c r="G15" s="3">
        <f>IFERROR(__xludf.DUMMYFUNCTION("""COMPUTED_VALUE"""),3.44)</f>
        <v>3.44</v>
      </c>
      <c r="H15" s="3">
        <f>IFERROR(__xludf.DUMMYFUNCTION("""COMPUTED_VALUE"""),17.02)</f>
        <v>17.02</v>
      </c>
      <c r="I15" s="3">
        <f>IFERROR(__xludf.DUMMYFUNCTION("""COMPUTED_VALUE"""),0.0)</f>
        <v>0</v>
      </c>
      <c r="J15" s="3">
        <f>IFERROR(__xludf.DUMMYFUNCTION("""COMPUTED_VALUE"""),0.0)</f>
        <v>0</v>
      </c>
      <c r="K15" s="3">
        <f>IFERROR(__xludf.DUMMYFUNCTION("""COMPUTED_VALUE"""),3.0)</f>
        <v>3</v>
      </c>
      <c r="L15" s="3">
        <f>IFERROR(__xludf.DUMMYFUNCTION("""COMPUTED_VALUE"""),2.0)</f>
        <v>2</v>
      </c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>
      <c r="A16" s="2" t="str">
        <f>IFERROR(__xludf.DUMMYFUNCTION("""COMPUTED_VALUE"""),"Valiant")</f>
        <v>Valiant</v>
      </c>
      <c r="B16" s="3">
        <f>IFERROR(__xludf.DUMMYFUNCTION("""COMPUTED_VALUE"""),18.1)</f>
        <v>18.1</v>
      </c>
      <c r="C16" s="3">
        <f>IFERROR(__xludf.DUMMYFUNCTION("""COMPUTED_VALUE"""),6.0)</f>
        <v>6</v>
      </c>
      <c r="D16" s="3">
        <f>IFERROR(__xludf.DUMMYFUNCTION("""COMPUTED_VALUE"""),225.0)</f>
        <v>225</v>
      </c>
      <c r="E16" s="3">
        <f>IFERROR(__xludf.DUMMYFUNCTION("""COMPUTED_VALUE"""),105.0)</f>
        <v>105</v>
      </c>
      <c r="F16" s="3">
        <f>IFERROR(__xludf.DUMMYFUNCTION("""COMPUTED_VALUE"""),2.76)</f>
        <v>2.76</v>
      </c>
      <c r="G16" s="3">
        <f>IFERROR(__xludf.DUMMYFUNCTION("""COMPUTED_VALUE"""),3.46)</f>
        <v>3.46</v>
      </c>
      <c r="H16" s="3">
        <f>IFERROR(__xludf.DUMMYFUNCTION("""COMPUTED_VALUE"""),20.22)</f>
        <v>20.22</v>
      </c>
      <c r="I16" s="3">
        <f>IFERROR(__xludf.DUMMYFUNCTION("""COMPUTED_VALUE"""),1.0)</f>
        <v>1</v>
      </c>
      <c r="J16" s="3">
        <f>IFERROR(__xludf.DUMMYFUNCTION("""COMPUTED_VALUE"""),0.0)</f>
        <v>0</v>
      </c>
      <c r="K16" s="3">
        <f>IFERROR(__xludf.DUMMYFUNCTION("""COMPUTED_VALUE"""),3.0)</f>
        <v>3</v>
      </c>
      <c r="L16" s="3">
        <f>IFERROR(__xludf.DUMMYFUNCTION("""COMPUTED_VALUE"""),1.0)</f>
        <v>1</v>
      </c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>
      <c r="A17" s="3" t="str">
        <f>IFERROR(__xludf.DUMMYFUNCTION("""COMPUTED_VALUE"""),"Duster 360")</f>
        <v>Duster 360</v>
      </c>
      <c r="B17" s="3">
        <f>IFERROR(__xludf.DUMMYFUNCTION("""COMPUTED_VALUE"""),14.3)</f>
        <v>14.3</v>
      </c>
      <c r="C17" s="3">
        <f>IFERROR(__xludf.DUMMYFUNCTION("""COMPUTED_VALUE"""),8.0)</f>
        <v>8</v>
      </c>
      <c r="D17" s="3">
        <f>IFERROR(__xludf.DUMMYFUNCTION("""COMPUTED_VALUE"""),360.0)</f>
        <v>360</v>
      </c>
      <c r="E17" s="3">
        <f>IFERROR(__xludf.DUMMYFUNCTION("""COMPUTED_VALUE"""),245.0)</f>
        <v>245</v>
      </c>
      <c r="F17" s="3">
        <f>IFERROR(__xludf.DUMMYFUNCTION("""COMPUTED_VALUE"""),3.21)</f>
        <v>3.21</v>
      </c>
      <c r="G17" s="3">
        <f>IFERROR(__xludf.DUMMYFUNCTION("""COMPUTED_VALUE"""),3.57)</f>
        <v>3.57</v>
      </c>
      <c r="H17" s="3">
        <f>IFERROR(__xludf.DUMMYFUNCTION("""COMPUTED_VALUE"""),15.84)</f>
        <v>15.84</v>
      </c>
      <c r="I17" s="3">
        <f>IFERROR(__xludf.DUMMYFUNCTION("""COMPUTED_VALUE"""),0.0)</f>
        <v>0</v>
      </c>
      <c r="J17" s="3">
        <f>IFERROR(__xludf.DUMMYFUNCTION("""COMPUTED_VALUE"""),0.0)</f>
        <v>0</v>
      </c>
      <c r="K17" s="3">
        <f>IFERROR(__xludf.DUMMYFUNCTION("""COMPUTED_VALUE"""),3.0)</f>
        <v>3</v>
      </c>
      <c r="L17" s="3">
        <f>IFERROR(__xludf.DUMMYFUNCTION("""COMPUTED_VALUE"""),4.0)</f>
        <v>4</v>
      </c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>
      <c r="A18" s="3" t="str">
        <f>IFERROR(__xludf.DUMMYFUNCTION("""COMPUTED_VALUE"""),"Merc 240D")</f>
        <v>Merc 240D</v>
      </c>
      <c r="B18" s="3">
        <f>IFERROR(__xludf.DUMMYFUNCTION("""COMPUTED_VALUE"""),24.4)</f>
        <v>24.4</v>
      </c>
      <c r="C18" s="3">
        <f>IFERROR(__xludf.DUMMYFUNCTION("""COMPUTED_VALUE"""),4.0)</f>
        <v>4</v>
      </c>
      <c r="D18" s="3">
        <f>IFERROR(__xludf.DUMMYFUNCTION("""COMPUTED_VALUE"""),146.7)</f>
        <v>146.7</v>
      </c>
      <c r="E18" s="3">
        <f>IFERROR(__xludf.DUMMYFUNCTION("""COMPUTED_VALUE"""),62.0)</f>
        <v>62</v>
      </c>
      <c r="F18" s="3">
        <f>IFERROR(__xludf.DUMMYFUNCTION("""COMPUTED_VALUE"""),3.69)</f>
        <v>3.69</v>
      </c>
      <c r="G18" s="3">
        <f>IFERROR(__xludf.DUMMYFUNCTION("""COMPUTED_VALUE"""),3.19)</f>
        <v>3.19</v>
      </c>
      <c r="H18" s="3">
        <f>IFERROR(__xludf.DUMMYFUNCTION("""COMPUTED_VALUE"""),20.0)</f>
        <v>20</v>
      </c>
      <c r="I18" s="3">
        <f>IFERROR(__xludf.DUMMYFUNCTION("""COMPUTED_VALUE"""),1.0)</f>
        <v>1</v>
      </c>
      <c r="J18" s="3">
        <f>IFERROR(__xludf.DUMMYFUNCTION("""COMPUTED_VALUE"""),0.0)</f>
        <v>0</v>
      </c>
      <c r="K18" s="3">
        <f>IFERROR(__xludf.DUMMYFUNCTION("""COMPUTED_VALUE"""),4.0)</f>
        <v>4</v>
      </c>
      <c r="L18" s="3">
        <f>IFERROR(__xludf.DUMMYFUNCTION("""COMPUTED_VALUE"""),2.0)</f>
        <v>2</v>
      </c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>
      <c r="A19" s="3" t="str">
        <f>IFERROR(__xludf.DUMMYFUNCTION("""COMPUTED_VALUE"""),"Merc 230")</f>
        <v>Merc 230</v>
      </c>
      <c r="B19" s="3">
        <f>IFERROR(__xludf.DUMMYFUNCTION("""COMPUTED_VALUE"""),22.8)</f>
        <v>22.8</v>
      </c>
      <c r="C19" s="3">
        <f>IFERROR(__xludf.DUMMYFUNCTION("""COMPUTED_VALUE"""),4.0)</f>
        <v>4</v>
      </c>
      <c r="D19" s="3">
        <f>IFERROR(__xludf.DUMMYFUNCTION("""COMPUTED_VALUE"""),140.8)</f>
        <v>140.8</v>
      </c>
      <c r="E19" s="3">
        <f>IFERROR(__xludf.DUMMYFUNCTION("""COMPUTED_VALUE"""),95.0)</f>
        <v>95</v>
      </c>
      <c r="F19" s="3">
        <f>IFERROR(__xludf.DUMMYFUNCTION("""COMPUTED_VALUE"""),3.92)</f>
        <v>3.92</v>
      </c>
      <c r="G19" s="3">
        <f>IFERROR(__xludf.DUMMYFUNCTION("""COMPUTED_VALUE"""),3.15)</f>
        <v>3.15</v>
      </c>
      <c r="H19" s="3">
        <f>IFERROR(__xludf.DUMMYFUNCTION("""COMPUTED_VALUE"""),22.9)</f>
        <v>22.9</v>
      </c>
      <c r="I19" s="3">
        <f>IFERROR(__xludf.DUMMYFUNCTION("""COMPUTED_VALUE"""),1.0)</f>
        <v>1</v>
      </c>
      <c r="J19" s="3">
        <f>IFERROR(__xludf.DUMMYFUNCTION("""COMPUTED_VALUE"""),0.0)</f>
        <v>0</v>
      </c>
      <c r="K19" s="3">
        <f>IFERROR(__xludf.DUMMYFUNCTION("""COMPUTED_VALUE"""),4.0)</f>
        <v>4</v>
      </c>
      <c r="L19" s="3">
        <f>IFERROR(__xludf.DUMMYFUNCTION("""COMPUTED_VALUE"""),2.0)</f>
        <v>2</v>
      </c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>
      <c r="A20" s="3" t="str">
        <f>IFERROR(__xludf.DUMMYFUNCTION("""COMPUTED_VALUE"""),"Merc 280")</f>
        <v>Merc 280</v>
      </c>
      <c r="B20" s="3">
        <f>IFERROR(__xludf.DUMMYFUNCTION("""COMPUTED_VALUE"""),19.2)</f>
        <v>19.2</v>
      </c>
      <c r="C20" s="3">
        <f>IFERROR(__xludf.DUMMYFUNCTION("""COMPUTED_VALUE"""),6.0)</f>
        <v>6</v>
      </c>
      <c r="D20" s="3">
        <f>IFERROR(__xludf.DUMMYFUNCTION("""COMPUTED_VALUE"""),167.6)</f>
        <v>167.6</v>
      </c>
      <c r="E20" s="3">
        <f>IFERROR(__xludf.DUMMYFUNCTION("""COMPUTED_VALUE"""),123.0)</f>
        <v>123</v>
      </c>
      <c r="F20" s="3">
        <f>IFERROR(__xludf.DUMMYFUNCTION("""COMPUTED_VALUE"""),3.92)</f>
        <v>3.92</v>
      </c>
      <c r="G20" s="3">
        <f>IFERROR(__xludf.DUMMYFUNCTION("""COMPUTED_VALUE"""),3.44)</f>
        <v>3.44</v>
      </c>
      <c r="H20" s="3">
        <f>IFERROR(__xludf.DUMMYFUNCTION("""COMPUTED_VALUE"""),18.3)</f>
        <v>18.3</v>
      </c>
      <c r="I20" s="3">
        <f>IFERROR(__xludf.DUMMYFUNCTION("""COMPUTED_VALUE"""),1.0)</f>
        <v>1</v>
      </c>
      <c r="J20" s="3">
        <f>IFERROR(__xludf.DUMMYFUNCTION("""COMPUTED_VALUE"""),0.0)</f>
        <v>0</v>
      </c>
      <c r="K20" s="3">
        <f>IFERROR(__xludf.DUMMYFUNCTION("""COMPUTED_VALUE"""),4.0)</f>
        <v>4</v>
      </c>
      <c r="L20" s="3">
        <f>IFERROR(__xludf.DUMMYFUNCTION("""COMPUTED_VALUE"""),4.0)</f>
        <v>4</v>
      </c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>
      <c r="A21" s="3" t="str">
        <f>IFERROR(__xludf.DUMMYFUNCTION("""COMPUTED_VALUE"""),"Merc 280C")</f>
        <v>Merc 280C</v>
      </c>
      <c r="B21" s="3">
        <f>IFERROR(__xludf.DUMMYFUNCTION("""COMPUTED_VALUE"""),17.8)</f>
        <v>17.8</v>
      </c>
      <c r="C21" s="3">
        <f>IFERROR(__xludf.DUMMYFUNCTION("""COMPUTED_VALUE"""),6.0)</f>
        <v>6</v>
      </c>
      <c r="D21" s="3">
        <f>IFERROR(__xludf.DUMMYFUNCTION("""COMPUTED_VALUE"""),167.6)</f>
        <v>167.6</v>
      </c>
      <c r="E21" s="3">
        <f>IFERROR(__xludf.DUMMYFUNCTION("""COMPUTED_VALUE"""),123.0)</f>
        <v>123</v>
      </c>
      <c r="F21" s="3">
        <f>IFERROR(__xludf.DUMMYFUNCTION("""COMPUTED_VALUE"""),3.92)</f>
        <v>3.92</v>
      </c>
      <c r="G21" s="3">
        <f>IFERROR(__xludf.DUMMYFUNCTION("""COMPUTED_VALUE"""),3.44)</f>
        <v>3.44</v>
      </c>
      <c r="H21" s="3">
        <f>IFERROR(__xludf.DUMMYFUNCTION("""COMPUTED_VALUE"""),18.9)</f>
        <v>18.9</v>
      </c>
      <c r="I21" s="3">
        <f>IFERROR(__xludf.DUMMYFUNCTION("""COMPUTED_VALUE"""),1.0)</f>
        <v>1</v>
      </c>
      <c r="J21" s="3">
        <f>IFERROR(__xludf.DUMMYFUNCTION("""COMPUTED_VALUE"""),0.0)</f>
        <v>0</v>
      </c>
      <c r="K21" s="3">
        <f>IFERROR(__xludf.DUMMYFUNCTION("""COMPUTED_VALUE"""),4.0)</f>
        <v>4</v>
      </c>
      <c r="L21" s="3">
        <f>IFERROR(__xludf.DUMMYFUNCTION("""COMPUTED_VALUE"""),4.0)</f>
        <v>4</v>
      </c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>
      <c r="A22" s="3" t="str">
        <f>IFERROR(__xludf.DUMMYFUNCTION("""COMPUTED_VALUE"""),"Merc 450SE")</f>
        <v>Merc 450SE</v>
      </c>
      <c r="B22" s="3">
        <f>IFERROR(__xludf.DUMMYFUNCTION("""COMPUTED_VALUE"""),16.4)</f>
        <v>16.4</v>
      </c>
      <c r="C22" s="3">
        <f>IFERROR(__xludf.DUMMYFUNCTION("""COMPUTED_VALUE"""),8.0)</f>
        <v>8</v>
      </c>
      <c r="D22" s="3">
        <f>IFERROR(__xludf.DUMMYFUNCTION("""COMPUTED_VALUE"""),275.8)</f>
        <v>275.8</v>
      </c>
      <c r="E22" s="3">
        <f>IFERROR(__xludf.DUMMYFUNCTION("""COMPUTED_VALUE"""),180.0)</f>
        <v>180</v>
      </c>
      <c r="F22" s="3">
        <f>IFERROR(__xludf.DUMMYFUNCTION("""COMPUTED_VALUE"""),3.07)</f>
        <v>3.07</v>
      </c>
      <c r="G22" s="3">
        <f>IFERROR(__xludf.DUMMYFUNCTION("""COMPUTED_VALUE"""),4.07)</f>
        <v>4.07</v>
      </c>
      <c r="H22" s="3">
        <f>IFERROR(__xludf.DUMMYFUNCTION("""COMPUTED_VALUE"""),17.4)</f>
        <v>17.4</v>
      </c>
      <c r="I22" s="3">
        <f>IFERROR(__xludf.DUMMYFUNCTION("""COMPUTED_VALUE"""),0.0)</f>
        <v>0</v>
      </c>
      <c r="J22" s="3">
        <f>IFERROR(__xludf.DUMMYFUNCTION("""COMPUTED_VALUE"""),0.0)</f>
        <v>0</v>
      </c>
      <c r="K22" s="3">
        <f>IFERROR(__xludf.DUMMYFUNCTION("""COMPUTED_VALUE"""),3.0)</f>
        <v>3</v>
      </c>
      <c r="L22" s="3">
        <f>IFERROR(__xludf.DUMMYFUNCTION("""COMPUTED_VALUE"""),3.0)</f>
        <v>3</v>
      </c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>
      <c r="A23" s="3" t="str">
        <f>IFERROR(__xludf.DUMMYFUNCTION("""COMPUTED_VALUE"""),"Merc 450SL")</f>
        <v>Merc 450SL</v>
      </c>
      <c r="B23" s="3">
        <f>IFERROR(__xludf.DUMMYFUNCTION("""COMPUTED_VALUE"""),17.3)</f>
        <v>17.3</v>
      </c>
      <c r="C23" s="3">
        <f>IFERROR(__xludf.DUMMYFUNCTION("""COMPUTED_VALUE"""),8.0)</f>
        <v>8</v>
      </c>
      <c r="D23" s="3">
        <f>IFERROR(__xludf.DUMMYFUNCTION("""COMPUTED_VALUE"""),275.8)</f>
        <v>275.8</v>
      </c>
      <c r="E23" s="3">
        <f>IFERROR(__xludf.DUMMYFUNCTION("""COMPUTED_VALUE"""),180.0)</f>
        <v>180</v>
      </c>
      <c r="F23" s="3">
        <f>IFERROR(__xludf.DUMMYFUNCTION("""COMPUTED_VALUE"""),3.07)</f>
        <v>3.07</v>
      </c>
      <c r="G23" s="3">
        <f>IFERROR(__xludf.DUMMYFUNCTION("""COMPUTED_VALUE"""),3.73)</f>
        <v>3.73</v>
      </c>
      <c r="H23" s="3">
        <f>IFERROR(__xludf.DUMMYFUNCTION("""COMPUTED_VALUE"""),17.6)</f>
        <v>17.6</v>
      </c>
      <c r="I23" s="3">
        <f>IFERROR(__xludf.DUMMYFUNCTION("""COMPUTED_VALUE"""),0.0)</f>
        <v>0</v>
      </c>
      <c r="J23" s="3">
        <f>IFERROR(__xludf.DUMMYFUNCTION("""COMPUTED_VALUE"""),0.0)</f>
        <v>0</v>
      </c>
      <c r="K23" s="3">
        <f>IFERROR(__xludf.DUMMYFUNCTION("""COMPUTED_VALUE"""),3.0)</f>
        <v>3</v>
      </c>
      <c r="L23" s="3">
        <f>IFERROR(__xludf.DUMMYFUNCTION("""COMPUTED_VALUE"""),3.0)</f>
        <v>3</v>
      </c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>
      <c r="A24" s="2" t="str">
        <f>IFERROR(__xludf.DUMMYFUNCTION("""COMPUTED_VALUE"""),"Merc 450SLC")</f>
        <v>Merc 450SLC</v>
      </c>
      <c r="B24" s="3">
        <f>IFERROR(__xludf.DUMMYFUNCTION("""COMPUTED_VALUE"""),15.2)</f>
        <v>15.2</v>
      </c>
      <c r="C24" s="3">
        <f>IFERROR(__xludf.DUMMYFUNCTION("""COMPUTED_VALUE"""),8.0)</f>
        <v>8</v>
      </c>
      <c r="D24" s="3">
        <f>IFERROR(__xludf.DUMMYFUNCTION("""COMPUTED_VALUE"""),275.8)</f>
        <v>275.8</v>
      </c>
      <c r="E24" s="3">
        <f>IFERROR(__xludf.DUMMYFUNCTION("""COMPUTED_VALUE"""),180.0)</f>
        <v>180</v>
      </c>
      <c r="F24" s="3">
        <f>IFERROR(__xludf.DUMMYFUNCTION("""COMPUTED_VALUE"""),3.07)</f>
        <v>3.07</v>
      </c>
      <c r="G24" s="3">
        <f>IFERROR(__xludf.DUMMYFUNCTION("""COMPUTED_VALUE"""),3.78)</f>
        <v>3.78</v>
      </c>
      <c r="H24" s="3">
        <f>IFERROR(__xludf.DUMMYFUNCTION("""COMPUTED_VALUE"""),18.0)</f>
        <v>18</v>
      </c>
      <c r="I24" s="3">
        <f>IFERROR(__xludf.DUMMYFUNCTION("""COMPUTED_VALUE"""),0.0)</f>
        <v>0</v>
      </c>
      <c r="J24" s="3">
        <f>IFERROR(__xludf.DUMMYFUNCTION("""COMPUTED_VALUE"""),0.0)</f>
        <v>0</v>
      </c>
      <c r="K24" s="3">
        <f>IFERROR(__xludf.DUMMYFUNCTION("""COMPUTED_VALUE"""),3.0)</f>
        <v>3</v>
      </c>
      <c r="L24" s="3">
        <f>IFERROR(__xludf.DUMMYFUNCTION("""COMPUTED_VALUE"""),3.0)</f>
        <v>3</v>
      </c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>
      <c r="A25" s="3" t="str">
        <f>IFERROR(__xludf.DUMMYFUNCTION("""COMPUTED_VALUE"""),"Cadillac Fleetwood")</f>
        <v>Cadillac Fleetwood</v>
      </c>
      <c r="B25" s="3">
        <f>IFERROR(__xludf.DUMMYFUNCTION("""COMPUTED_VALUE"""),10.4)</f>
        <v>10.4</v>
      </c>
      <c r="C25" s="3">
        <f>IFERROR(__xludf.DUMMYFUNCTION("""COMPUTED_VALUE"""),8.0)</f>
        <v>8</v>
      </c>
      <c r="D25" s="3">
        <f>IFERROR(__xludf.DUMMYFUNCTION("""COMPUTED_VALUE"""),472.0)</f>
        <v>472</v>
      </c>
      <c r="E25" s="3">
        <f>IFERROR(__xludf.DUMMYFUNCTION("""COMPUTED_VALUE"""),205.0)</f>
        <v>205</v>
      </c>
      <c r="F25" s="3">
        <f>IFERROR(__xludf.DUMMYFUNCTION("""COMPUTED_VALUE"""),2.93)</f>
        <v>2.93</v>
      </c>
      <c r="G25" s="3">
        <f>IFERROR(__xludf.DUMMYFUNCTION("""COMPUTED_VALUE"""),5.25)</f>
        <v>5.25</v>
      </c>
      <c r="H25" s="3">
        <f>IFERROR(__xludf.DUMMYFUNCTION("""COMPUTED_VALUE"""),17.98)</f>
        <v>17.98</v>
      </c>
      <c r="I25" s="3">
        <f>IFERROR(__xludf.DUMMYFUNCTION("""COMPUTED_VALUE"""),0.0)</f>
        <v>0</v>
      </c>
      <c r="J25" s="3">
        <f>IFERROR(__xludf.DUMMYFUNCTION("""COMPUTED_VALUE"""),0.0)</f>
        <v>0</v>
      </c>
      <c r="K25" s="3">
        <f>IFERROR(__xludf.DUMMYFUNCTION("""COMPUTED_VALUE"""),3.0)</f>
        <v>3</v>
      </c>
      <c r="L25" s="3">
        <f>IFERROR(__xludf.DUMMYFUNCTION("""COMPUTED_VALUE"""),4.0)</f>
        <v>4</v>
      </c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>
      <c r="A26" s="3" t="str">
        <f>IFERROR(__xludf.DUMMYFUNCTION("""COMPUTED_VALUE"""),"Lincoln Continental")</f>
        <v>Lincoln Continental</v>
      </c>
      <c r="B26" s="3">
        <f>IFERROR(__xludf.DUMMYFUNCTION("""COMPUTED_VALUE"""),10.4)</f>
        <v>10.4</v>
      </c>
      <c r="C26" s="3">
        <f>IFERROR(__xludf.DUMMYFUNCTION("""COMPUTED_VALUE"""),8.0)</f>
        <v>8</v>
      </c>
      <c r="D26" s="3">
        <f>IFERROR(__xludf.DUMMYFUNCTION("""COMPUTED_VALUE"""),460.0)</f>
        <v>460</v>
      </c>
      <c r="E26" s="3">
        <f>IFERROR(__xludf.DUMMYFUNCTION("""COMPUTED_VALUE"""),215.0)</f>
        <v>215</v>
      </c>
      <c r="F26" s="3">
        <f>IFERROR(__xludf.DUMMYFUNCTION("""COMPUTED_VALUE"""),3.0)</f>
        <v>3</v>
      </c>
      <c r="G26" s="3">
        <f>IFERROR(__xludf.DUMMYFUNCTION("""COMPUTED_VALUE"""),5.424)</f>
        <v>5.424</v>
      </c>
      <c r="H26" s="3">
        <f>IFERROR(__xludf.DUMMYFUNCTION("""COMPUTED_VALUE"""),17.82)</f>
        <v>17.82</v>
      </c>
      <c r="I26" s="3">
        <f>IFERROR(__xludf.DUMMYFUNCTION("""COMPUTED_VALUE"""),0.0)</f>
        <v>0</v>
      </c>
      <c r="J26" s="3">
        <f>IFERROR(__xludf.DUMMYFUNCTION("""COMPUTED_VALUE"""),0.0)</f>
        <v>0</v>
      </c>
      <c r="K26" s="3">
        <f>IFERROR(__xludf.DUMMYFUNCTION("""COMPUTED_VALUE"""),3.0)</f>
        <v>3</v>
      </c>
      <c r="L26" s="3">
        <f>IFERROR(__xludf.DUMMYFUNCTION("""COMPUTED_VALUE"""),4.0)</f>
        <v>4</v>
      </c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>
      <c r="A27" s="3" t="str">
        <f>IFERROR(__xludf.DUMMYFUNCTION("""COMPUTED_VALUE"""),"Chrysler Imperial")</f>
        <v>Chrysler Imperial</v>
      </c>
      <c r="B27" s="3">
        <f>IFERROR(__xludf.DUMMYFUNCTION("""COMPUTED_VALUE"""),14.7)</f>
        <v>14.7</v>
      </c>
      <c r="C27" s="3">
        <f>IFERROR(__xludf.DUMMYFUNCTION("""COMPUTED_VALUE"""),8.0)</f>
        <v>8</v>
      </c>
      <c r="D27" s="3">
        <f>IFERROR(__xludf.DUMMYFUNCTION("""COMPUTED_VALUE"""),440.0)</f>
        <v>440</v>
      </c>
      <c r="E27" s="3">
        <f>IFERROR(__xludf.DUMMYFUNCTION("""COMPUTED_VALUE"""),230.0)</f>
        <v>230</v>
      </c>
      <c r="F27" s="3">
        <f>IFERROR(__xludf.DUMMYFUNCTION("""COMPUTED_VALUE"""),3.23)</f>
        <v>3.23</v>
      </c>
      <c r="G27" s="3">
        <f>IFERROR(__xludf.DUMMYFUNCTION("""COMPUTED_VALUE"""),5.345)</f>
        <v>5.345</v>
      </c>
      <c r="H27" s="3">
        <f>IFERROR(__xludf.DUMMYFUNCTION("""COMPUTED_VALUE"""),17.42)</f>
        <v>17.42</v>
      </c>
      <c r="I27" s="3">
        <f>IFERROR(__xludf.DUMMYFUNCTION("""COMPUTED_VALUE"""),0.0)</f>
        <v>0</v>
      </c>
      <c r="J27" s="3">
        <f>IFERROR(__xludf.DUMMYFUNCTION("""COMPUTED_VALUE"""),0.0)</f>
        <v>0</v>
      </c>
      <c r="K27" s="3">
        <f>IFERROR(__xludf.DUMMYFUNCTION("""COMPUTED_VALUE"""),3.0)</f>
        <v>3</v>
      </c>
      <c r="L27" s="3">
        <f>IFERROR(__xludf.DUMMYFUNCTION("""COMPUTED_VALUE"""),4.0)</f>
        <v>4</v>
      </c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>
      <c r="A28" s="3" t="str">
        <f>IFERROR(__xludf.DUMMYFUNCTION("""COMPUTED_VALUE"""),"Fiat 128")</f>
        <v>Fiat 128</v>
      </c>
      <c r="B28" s="3">
        <f>IFERROR(__xludf.DUMMYFUNCTION("""COMPUTED_VALUE"""),32.4)</f>
        <v>32.4</v>
      </c>
      <c r="C28" s="3">
        <f>IFERROR(__xludf.DUMMYFUNCTION("""COMPUTED_VALUE"""),4.0)</f>
        <v>4</v>
      </c>
      <c r="D28" s="3">
        <f>IFERROR(__xludf.DUMMYFUNCTION("""COMPUTED_VALUE"""),78.7)</f>
        <v>78.7</v>
      </c>
      <c r="E28" s="3">
        <f>IFERROR(__xludf.DUMMYFUNCTION("""COMPUTED_VALUE"""),66.0)</f>
        <v>66</v>
      </c>
      <c r="F28" s="3">
        <f>IFERROR(__xludf.DUMMYFUNCTION("""COMPUTED_VALUE"""),4.08)</f>
        <v>4.08</v>
      </c>
      <c r="G28" s="3">
        <f>IFERROR(__xludf.DUMMYFUNCTION("""COMPUTED_VALUE"""),2.2)</f>
        <v>2.2</v>
      </c>
      <c r="H28" s="3">
        <f>IFERROR(__xludf.DUMMYFUNCTION("""COMPUTED_VALUE"""),19.47)</f>
        <v>19.47</v>
      </c>
      <c r="I28" s="3">
        <f>IFERROR(__xludf.DUMMYFUNCTION("""COMPUTED_VALUE"""),1.0)</f>
        <v>1</v>
      </c>
      <c r="J28" s="3">
        <f>IFERROR(__xludf.DUMMYFUNCTION("""COMPUTED_VALUE"""),1.0)</f>
        <v>1</v>
      </c>
      <c r="K28" s="3">
        <f>IFERROR(__xludf.DUMMYFUNCTION("""COMPUTED_VALUE"""),4.0)</f>
        <v>4</v>
      </c>
      <c r="L28" s="3">
        <f>IFERROR(__xludf.DUMMYFUNCTION("""COMPUTED_VALUE"""),1.0)</f>
        <v>1</v>
      </c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>
      <c r="A29" s="3" t="str">
        <f>IFERROR(__xludf.DUMMYFUNCTION("""COMPUTED_VALUE"""),"Honda Civic")</f>
        <v>Honda Civic</v>
      </c>
      <c r="B29" s="3">
        <f>IFERROR(__xludf.DUMMYFUNCTION("""COMPUTED_VALUE"""),30.4)</f>
        <v>30.4</v>
      </c>
      <c r="C29" s="3">
        <f>IFERROR(__xludf.DUMMYFUNCTION("""COMPUTED_VALUE"""),4.0)</f>
        <v>4</v>
      </c>
      <c r="D29" s="3">
        <f>IFERROR(__xludf.DUMMYFUNCTION("""COMPUTED_VALUE"""),75.7)</f>
        <v>75.7</v>
      </c>
      <c r="E29" s="3">
        <f>IFERROR(__xludf.DUMMYFUNCTION("""COMPUTED_VALUE"""),52.0)</f>
        <v>52</v>
      </c>
      <c r="F29" s="3">
        <f>IFERROR(__xludf.DUMMYFUNCTION("""COMPUTED_VALUE"""),4.93)</f>
        <v>4.93</v>
      </c>
      <c r="G29" s="3">
        <f>IFERROR(__xludf.DUMMYFUNCTION("""COMPUTED_VALUE"""),1.615)</f>
        <v>1.615</v>
      </c>
      <c r="H29" s="3">
        <f>IFERROR(__xludf.DUMMYFUNCTION("""COMPUTED_VALUE"""),18.52)</f>
        <v>18.52</v>
      </c>
      <c r="I29" s="3">
        <f>IFERROR(__xludf.DUMMYFUNCTION("""COMPUTED_VALUE"""),1.0)</f>
        <v>1</v>
      </c>
      <c r="J29" s="3">
        <f>IFERROR(__xludf.DUMMYFUNCTION("""COMPUTED_VALUE"""),1.0)</f>
        <v>1</v>
      </c>
      <c r="K29" s="3">
        <f>IFERROR(__xludf.DUMMYFUNCTION("""COMPUTED_VALUE"""),4.0)</f>
        <v>4</v>
      </c>
      <c r="L29" s="3">
        <f>IFERROR(__xludf.DUMMYFUNCTION("""COMPUTED_VALUE"""),2.0)</f>
        <v>2</v>
      </c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>
      <c r="A30" s="3" t="str">
        <f>IFERROR(__xludf.DUMMYFUNCTION("""COMPUTED_VALUE"""),"Toyota Corolla")</f>
        <v>Toyota Corolla</v>
      </c>
      <c r="B30" s="3">
        <f>IFERROR(__xludf.DUMMYFUNCTION("""COMPUTED_VALUE"""),33.9)</f>
        <v>33.9</v>
      </c>
      <c r="C30" s="3">
        <f>IFERROR(__xludf.DUMMYFUNCTION("""COMPUTED_VALUE"""),4.0)</f>
        <v>4</v>
      </c>
      <c r="D30" s="3">
        <f>IFERROR(__xludf.DUMMYFUNCTION("""COMPUTED_VALUE"""),71.1)</f>
        <v>71.1</v>
      </c>
      <c r="E30" s="3">
        <f>IFERROR(__xludf.DUMMYFUNCTION("""COMPUTED_VALUE"""),65.0)</f>
        <v>65</v>
      </c>
      <c r="F30" s="3">
        <f>IFERROR(__xludf.DUMMYFUNCTION("""COMPUTED_VALUE"""),4.22)</f>
        <v>4.22</v>
      </c>
      <c r="G30" s="3">
        <f>IFERROR(__xludf.DUMMYFUNCTION("""COMPUTED_VALUE"""),1.835)</f>
        <v>1.835</v>
      </c>
      <c r="H30" s="3">
        <f>IFERROR(__xludf.DUMMYFUNCTION("""COMPUTED_VALUE"""),19.9)</f>
        <v>19.9</v>
      </c>
      <c r="I30" s="3">
        <f>IFERROR(__xludf.DUMMYFUNCTION("""COMPUTED_VALUE"""),1.0)</f>
        <v>1</v>
      </c>
      <c r="J30" s="3">
        <f>IFERROR(__xludf.DUMMYFUNCTION("""COMPUTED_VALUE"""),1.0)</f>
        <v>1</v>
      </c>
      <c r="K30" s="3">
        <f>IFERROR(__xludf.DUMMYFUNCTION("""COMPUTED_VALUE"""),4.0)</f>
        <v>4</v>
      </c>
      <c r="L30" s="3">
        <f>IFERROR(__xludf.DUMMYFUNCTION("""COMPUTED_VALUE"""),1.0)</f>
        <v>1</v>
      </c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>
      <c r="A31" s="3" t="str">
        <f>IFERROR(__xludf.DUMMYFUNCTION("""COMPUTED_VALUE"""),"Toyota Corona")</f>
        <v>Toyota Corona</v>
      </c>
      <c r="B31" s="3">
        <f>IFERROR(__xludf.DUMMYFUNCTION("""COMPUTED_VALUE"""),21.5)</f>
        <v>21.5</v>
      </c>
      <c r="C31" s="3">
        <f>IFERROR(__xludf.DUMMYFUNCTION("""COMPUTED_VALUE"""),4.0)</f>
        <v>4</v>
      </c>
      <c r="D31" s="3">
        <f>IFERROR(__xludf.DUMMYFUNCTION("""COMPUTED_VALUE"""),120.1)</f>
        <v>120.1</v>
      </c>
      <c r="E31" s="3">
        <f>IFERROR(__xludf.DUMMYFUNCTION("""COMPUTED_VALUE"""),97.0)</f>
        <v>97</v>
      </c>
      <c r="F31" s="3">
        <f>IFERROR(__xludf.DUMMYFUNCTION("""COMPUTED_VALUE"""),3.7)</f>
        <v>3.7</v>
      </c>
      <c r="G31" s="3">
        <f>IFERROR(__xludf.DUMMYFUNCTION("""COMPUTED_VALUE"""),2.465)</f>
        <v>2.465</v>
      </c>
      <c r="H31" s="3">
        <f>IFERROR(__xludf.DUMMYFUNCTION("""COMPUTED_VALUE"""),20.01)</f>
        <v>20.01</v>
      </c>
      <c r="I31" s="3">
        <f>IFERROR(__xludf.DUMMYFUNCTION("""COMPUTED_VALUE"""),1.0)</f>
        <v>1</v>
      </c>
      <c r="J31" s="3">
        <f>IFERROR(__xludf.DUMMYFUNCTION("""COMPUTED_VALUE"""),0.0)</f>
        <v>0</v>
      </c>
      <c r="K31" s="3">
        <f>IFERROR(__xludf.DUMMYFUNCTION("""COMPUTED_VALUE"""),3.0)</f>
        <v>3</v>
      </c>
      <c r="L31" s="3">
        <f>IFERROR(__xludf.DUMMYFUNCTION("""COMPUTED_VALUE"""),1.0)</f>
        <v>1</v>
      </c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>
      <c r="A32" s="3" t="str">
        <f>IFERROR(__xludf.DUMMYFUNCTION("""COMPUTED_VALUE"""),"Dodge Challenger")</f>
        <v>Dodge Challenger</v>
      </c>
      <c r="B32" s="3">
        <f>IFERROR(__xludf.DUMMYFUNCTION("""COMPUTED_VALUE"""),15.5)</f>
        <v>15.5</v>
      </c>
      <c r="C32" s="3">
        <f>IFERROR(__xludf.DUMMYFUNCTION("""COMPUTED_VALUE"""),8.0)</f>
        <v>8</v>
      </c>
      <c r="D32" s="3">
        <f>IFERROR(__xludf.DUMMYFUNCTION("""COMPUTED_VALUE"""),318.0)</f>
        <v>318</v>
      </c>
      <c r="E32" s="3">
        <f>IFERROR(__xludf.DUMMYFUNCTION("""COMPUTED_VALUE"""),150.0)</f>
        <v>150</v>
      </c>
      <c r="F32" s="3">
        <f>IFERROR(__xludf.DUMMYFUNCTION("""COMPUTED_VALUE"""),2.76)</f>
        <v>2.76</v>
      </c>
      <c r="G32" s="3">
        <f>IFERROR(__xludf.DUMMYFUNCTION("""COMPUTED_VALUE"""),3.52)</f>
        <v>3.52</v>
      </c>
      <c r="H32" s="3">
        <f>IFERROR(__xludf.DUMMYFUNCTION("""COMPUTED_VALUE"""),16.87)</f>
        <v>16.87</v>
      </c>
      <c r="I32" s="3">
        <f>IFERROR(__xludf.DUMMYFUNCTION("""COMPUTED_VALUE"""),0.0)</f>
        <v>0</v>
      </c>
      <c r="J32" s="3">
        <f>IFERROR(__xludf.DUMMYFUNCTION("""COMPUTED_VALUE"""),0.0)</f>
        <v>0</v>
      </c>
      <c r="K32" s="3">
        <f>IFERROR(__xludf.DUMMYFUNCTION("""COMPUTED_VALUE"""),3.0)</f>
        <v>3</v>
      </c>
      <c r="L32" s="3">
        <f>IFERROR(__xludf.DUMMYFUNCTION("""COMPUTED_VALUE"""),2.0)</f>
        <v>2</v>
      </c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>
      <c r="A33" s="3" t="str">
        <f>IFERROR(__xludf.DUMMYFUNCTION("""COMPUTED_VALUE"""),"AMC Javelin")</f>
        <v>AMC Javelin</v>
      </c>
      <c r="B33" s="3">
        <f>IFERROR(__xludf.DUMMYFUNCTION("""COMPUTED_VALUE"""),15.2)</f>
        <v>15.2</v>
      </c>
      <c r="C33" s="3">
        <f>IFERROR(__xludf.DUMMYFUNCTION("""COMPUTED_VALUE"""),8.0)</f>
        <v>8</v>
      </c>
      <c r="D33" s="3">
        <f>IFERROR(__xludf.DUMMYFUNCTION("""COMPUTED_VALUE"""),304.0)</f>
        <v>304</v>
      </c>
      <c r="E33" s="3">
        <f>IFERROR(__xludf.DUMMYFUNCTION("""COMPUTED_VALUE"""),150.0)</f>
        <v>150</v>
      </c>
      <c r="F33" s="3">
        <f>IFERROR(__xludf.DUMMYFUNCTION("""COMPUTED_VALUE"""),3.15)</f>
        <v>3.15</v>
      </c>
      <c r="G33" s="3">
        <f>IFERROR(__xludf.DUMMYFUNCTION("""COMPUTED_VALUE"""),3.435)</f>
        <v>3.435</v>
      </c>
      <c r="H33" s="3">
        <f>IFERROR(__xludf.DUMMYFUNCTION("""COMPUTED_VALUE"""),17.3)</f>
        <v>17.3</v>
      </c>
      <c r="I33" s="3">
        <f>IFERROR(__xludf.DUMMYFUNCTION("""COMPUTED_VALUE"""),0.0)</f>
        <v>0</v>
      </c>
      <c r="J33" s="3">
        <f>IFERROR(__xludf.DUMMYFUNCTION("""COMPUTED_VALUE"""),0.0)</f>
        <v>0</v>
      </c>
      <c r="K33" s="3">
        <f>IFERROR(__xludf.DUMMYFUNCTION("""COMPUTED_VALUE"""),3.0)</f>
        <v>3</v>
      </c>
      <c r="L33" s="3">
        <f>IFERROR(__xludf.DUMMYFUNCTION("""COMPUTED_VALUE"""),2.0)</f>
        <v>2</v>
      </c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>
      <c r="A34" s="3" t="str">
        <f>IFERROR(__xludf.DUMMYFUNCTION("""COMPUTED_VALUE"""),"Camaro Z28")</f>
        <v>Camaro Z28</v>
      </c>
      <c r="B34" s="3">
        <f>IFERROR(__xludf.DUMMYFUNCTION("""COMPUTED_VALUE"""),13.3)</f>
        <v>13.3</v>
      </c>
      <c r="C34" s="3">
        <f>IFERROR(__xludf.DUMMYFUNCTION("""COMPUTED_VALUE"""),8.0)</f>
        <v>8</v>
      </c>
      <c r="D34" s="3">
        <f>IFERROR(__xludf.DUMMYFUNCTION("""COMPUTED_VALUE"""),350.0)</f>
        <v>350</v>
      </c>
      <c r="E34" s="3">
        <f>IFERROR(__xludf.DUMMYFUNCTION("""COMPUTED_VALUE"""),245.0)</f>
        <v>245</v>
      </c>
      <c r="F34" s="3">
        <f>IFERROR(__xludf.DUMMYFUNCTION("""COMPUTED_VALUE"""),3.73)</f>
        <v>3.73</v>
      </c>
      <c r="G34" s="3">
        <f>IFERROR(__xludf.DUMMYFUNCTION("""COMPUTED_VALUE"""),3.84)</f>
        <v>3.84</v>
      </c>
      <c r="H34" s="3">
        <f>IFERROR(__xludf.DUMMYFUNCTION("""COMPUTED_VALUE"""),15.41)</f>
        <v>15.41</v>
      </c>
      <c r="I34" s="3">
        <f>IFERROR(__xludf.DUMMYFUNCTION("""COMPUTED_VALUE"""),0.0)</f>
        <v>0</v>
      </c>
      <c r="J34" s="3">
        <f>IFERROR(__xludf.DUMMYFUNCTION("""COMPUTED_VALUE"""),0.0)</f>
        <v>0</v>
      </c>
      <c r="K34" s="3">
        <f>IFERROR(__xludf.DUMMYFUNCTION("""COMPUTED_VALUE"""),3.0)</f>
        <v>3</v>
      </c>
      <c r="L34" s="3">
        <f>IFERROR(__xludf.DUMMYFUNCTION("""COMPUTED_VALUE"""),4.0)</f>
        <v>4</v>
      </c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>
      <c r="A35" s="3" t="str">
        <f>IFERROR(__xludf.DUMMYFUNCTION("""COMPUTED_VALUE"""),"Pontiac Firebird")</f>
        <v>Pontiac Firebird</v>
      </c>
      <c r="B35" s="3">
        <f>IFERROR(__xludf.DUMMYFUNCTION("""COMPUTED_VALUE"""),19.2)</f>
        <v>19.2</v>
      </c>
      <c r="C35" s="3">
        <f>IFERROR(__xludf.DUMMYFUNCTION("""COMPUTED_VALUE"""),8.0)</f>
        <v>8</v>
      </c>
      <c r="D35" s="3">
        <f>IFERROR(__xludf.DUMMYFUNCTION("""COMPUTED_VALUE"""),400.0)</f>
        <v>400</v>
      </c>
      <c r="E35" s="3">
        <f>IFERROR(__xludf.DUMMYFUNCTION("""COMPUTED_VALUE"""),175.0)</f>
        <v>175</v>
      </c>
      <c r="F35" s="3">
        <f>IFERROR(__xludf.DUMMYFUNCTION("""COMPUTED_VALUE"""),3.08)</f>
        <v>3.08</v>
      </c>
      <c r="G35" s="3">
        <f>IFERROR(__xludf.DUMMYFUNCTION("""COMPUTED_VALUE"""),3.845)</f>
        <v>3.845</v>
      </c>
      <c r="H35" s="3">
        <f>IFERROR(__xludf.DUMMYFUNCTION("""COMPUTED_VALUE"""),17.05)</f>
        <v>17.05</v>
      </c>
      <c r="I35" s="3">
        <f>IFERROR(__xludf.DUMMYFUNCTION("""COMPUTED_VALUE"""),0.0)</f>
        <v>0</v>
      </c>
      <c r="J35" s="3">
        <f>IFERROR(__xludf.DUMMYFUNCTION("""COMPUTED_VALUE"""),0.0)</f>
        <v>0</v>
      </c>
      <c r="K35" s="3">
        <f>IFERROR(__xludf.DUMMYFUNCTION("""COMPUTED_VALUE"""),3.0)</f>
        <v>3</v>
      </c>
      <c r="L35" s="3">
        <f>IFERROR(__xludf.DUMMYFUNCTION("""COMPUTED_VALUE"""),2.0)</f>
        <v>2</v>
      </c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>
      <c r="A36" s="3" t="str">
        <f>IFERROR(__xludf.DUMMYFUNCTION("""COMPUTED_VALUE"""),"Fiat X1-9")</f>
        <v>Fiat X1-9</v>
      </c>
      <c r="B36" s="3">
        <f>IFERROR(__xludf.DUMMYFUNCTION("""COMPUTED_VALUE"""),27.3)</f>
        <v>27.3</v>
      </c>
      <c r="C36" s="3">
        <f>IFERROR(__xludf.DUMMYFUNCTION("""COMPUTED_VALUE"""),4.0)</f>
        <v>4</v>
      </c>
      <c r="D36" s="3">
        <f>IFERROR(__xludf.DUMMYFUNCTION("""COMPUTED_VALUE"""),79.0)</f>
        <v>79</v>
      </c>
      <c r="E36" s="3">
        <f>IFERROR(__xludf.DUMMYFUNCTION("""COMPUTED_VALUE"""),66.0)</f>
        <v>66</v>
      </c>
      <c r="F36" s="3">
        <f>IFERROR(__xludf.DUMMYFUNCTION("""COMPUTED_VALUE"""),4.08)</f>
        <v>4.08</v>
      </c>
      <c r="G36" s="3">
        <f>IFERROR(__xludf.DUMMYFUNCTION("""COMPUTED_VALUE"""),1.935)</f>
        <v>1.935</v>
      </c>
      <c r="H36" s="3">
        <f>IFERROR(__xludf.DUMMYFUNCTION("""COMPUTED_VALUE"""),18.9)</f>
        <v>18.9</v>
      </c>
      <c r="I36" s="3">
        <f>IFERROR(__xludf.DUMMYFUNCTION("""COMPUTED_VALUE"""),1.0)</f>
        <v>1</v>
      </c>
      <c r="J36" s="3">
        <f>IFERROR(__xludf.DUMMYFUNCTION("""COMPUTED_VALUE"""),1.0)</f>
        <v>1</v>
      </c>
      <c r="K36" s="3">
        <f>IFERROR(__xludf.DUMMYFUNCTION("""COMPUTED_VALUE"""),4.0)</f>
        <v>4</v>
      </c>
      <c r="L36" s="3">
        <f>IFERROR(__xludf.DUMMYFUNCTION("""COMPUTED_VALUE"""),1.0)</f>
        <v>1</v>
      </c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>
      <c r="A37" s="3" t="str">
        <f>IFERROR(__xludf.DUMMYFUNCTION("""COMPUTED_VALUE"""),"Porsche 914-2")</f>
        <v>Porsche 914-2</v>
      </c>
      <c r="B37" s="3">
        <f>IFERROR(__xludf.DUMMYFUNCTION("""COMPUTED_VALUE"""),26.0)</f>
        <v>26</v>
      </c>
      <c r="C37" s="3">
        <f>IFERROR(__xludf.DUMMYFUNCTION("""COMPUTED_VALUE"""),4.0)</f>
        <v>4</v>
      </c>
      <c r="D37" s="3">
        <f>IFERROR(__xludf.DUMMYFUNCTION("""COMPUTED_VALUE"""),120.3)</f>
        <v>120.3</v>
      </c>
      <c r="E37" s="3">
        <f>IFERROR(__xludf.DUMMYFUNCTION("""COMPUTED_VALUE"""),91.0)</f>
        <v>91</v>
      </c>
      <c r="F37" s="3">
        <f>IFERROR(__xludf.DUMMYFUNCTION("""COMPUTED_VALUE"""),4.43)</f>
        <v>4.43</v>
      </c>
      <c r="G37" s="3">
        <f>IFERROR(__xludf.DUMMYFUNCTION("""COMPUTED_VALUE"""),2.14)</f>
        <v>2.14</v>
      </c>
      <c r="H37" s="3">
        <f>IFERROR(__xludf.DUMMYFUNCTION("""COMPUTED_VALUE"""),16.7)</f>
        <v>16.7</v>
      </c>
      <c r="I37" s="3">
        <f>IFERROR(__xludf.DUMMYFUNCTION("""COMPUTED_VALUE"""),0.0)</f>
        <v>0</v>
      </c>
      <c r="J37" s="3">
        <f>IFERROR(__xludf.DUMMYFUNCTION("""COMPUTED_VALUE"""),1.0)</f>
        <v>1</v>
      </c>
      <c r="K37" s="3">
        <f>IFERROR(__xludf.DUMMYFUNCTION("""COMPUTED_VALUE"""),5.0)</f>
        <v>5</v>
      </c>
      <c r="L37" s="3">
        <f>IFERROR(__xludf.DUMMYFUNCTION("""COMPUTED_VALUE"""),2.0)</f>
        <v>2</v>
      </c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>
      <c r="A38" s="3" t="str">
        <f>IFERROR(__xludf.DUMMYFUNCTION("""COMPUTED_VALUE"""),"Lotus Europa")</f>
        <v>Lotus Europa</v>
      </c>
      <c r="B38" s="3">
        <f>IFERROR(__xludf.DUMMYFUNCTION("""COMPUTED_VALUE"""),30.4)</f>
        <v>30.4</v>
      </c>
      <c r="C38" s="3">
        <f>IFERROR(__xludf.DUMMYFUNCTION("""COMPUTED_VALUE"""),4.0)</f>
        <v>4</v>
      </c>
      <c r="D38" s="3">
        <f>IFERROR(__xludf.DUMMYFUNCTION("""COMPUTED_VALUE"""),95.1)</f>
        <v>95.1</v>
      </c>
      <c r="E38" s="3">
        <f>IFERROR(__xludf.DUMMYFUNCTION("""COMPUTED_VALUE"""),113.0)</f>
        <v>113</v>
      </c>
      <c r="F38" s="3">
        <f>IFERROR(__xludf.DUMMYFUNCTION("""COMPUTED_VALUE"""),3.77)</f>
        <v>3.77</v>
      </c>
      <c r="G38" s="3">
        <f>IFERROR(__xludf.DUMMYFUNCTION("""COMPUTED_VALUE"""),1.513)</f>
        <v>1.513</v>
      </c>
      <c r="H38" s="3">
        <f>IFERROR(__xludf.DUMMYFUNCTION("""COMPUTED_VALUE"""),16.9)</f>
        <v>16.9</v>
      </c>
      <c r="I38" s="3">
        <f>IFERROR(__xludf.DUMMYFUNCTION("""COMPUTED_VALUE"""),1.0)</f>
        <v>1</v>
      </c>
      <c r="J38" s="3">
        <f>IFERROR(__xludf.DUMMYFUNCTION("""COMPUTED_VALUE"""),1.0)</f>
        <v>1</v>
      </c>
      <c r="K38" s="3">
        <f>IFERROR(__xludf.DUMMYFUNCTION("""COMPUTED_VALUE"""),5.0)</f>
        <v>5</v>
      </c>
      <c r="L38" s="3">
        <f>IFERROR(__xludf.DUMMYFUNCTION("""COMPUTED_VALUE"""),2.0)</f>
        <v>2</v>
      </c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>
      <c r="A39" s="3" t="str">
        <f>IFERROR(__xludf.DUMMYFUNCTION("""COMPUTED_VALUE"""),"Ford Pantera L")</f>
        <v>Ford Pantera L</v>
      </c>
      <c r="B39" s="3">
        <f>IFERROR(__xludf.DUMMYFUNCTION("""COMPUTED_VALUE"""),15.8)</f>
        <v>15.8</v>
      </c>
      <c r="C39" s="3">
        <f>IFERROR(__xludf.DUMMYFUNCTION("""COMPUTED_VALUE"""),8.0)</f>
        <v>8</v>
      </c>
      <c r="D39" s="3">
        <f>IFERROR(__xludf.DUMMYFUNCTION("""COMPUTED_VALUE"""),351.0)</f>
        <v>351</v>
      </c>
      <c r="E39" s="3">
        <f>IFERROR(__xludf.DUMMYFUNCTION("""COMPUTED_VALUE"""),264.0)</f>
        <v>264</v>
      </c>
      <c r="F39" s="3">
        <f>IFERROR(__xludf.DUMMYFUNCTION("""COMPUTED_VALUE"""),4.22)</f>
        <v>4.22</v>
      </c>
      <c r="G39" s="3">
        <f>IFERROR(__xludf.DUMMYFUNCTION("""COMPUTED_VALUE"""),3.17)</f>
        <v>3.17</v>
      </c>
      <c r="H39" s="3">
        <f>IFERROR(__xludf.DUMMYFUNCTION("""COMPUTED_VALUE"""),14.5)</f>
        <v>14.5</v>
      </c>
      <c r="I39" s="3">
        <f>IFERROR(__xludf.DUMMYFUNCTION("""COMPUTED_VALUE"""),0.0)</f>
        <v>0</v>
      </c>
      <c r="J39" s="3">
        <f>IFERROR(__xludf.DUMMYFUNCTION("""COMPUTED_VALUE"""),1.0)</f>
        <v>1</v>
      </c>
      <c r="K39" s="3">
        <f>IFERROR(__xludf.DUMMYFUNCTION("""COMPUTED_VALUE"""),5.0)</f>
        <v>5</v>
      </c>
      <c r="L39" s="3">
        <f>IFERROR(__xludf.DUMMYFUNCTION("""COMPUTED_VALUE"""),4.0)</f>
        <v>4</v>
      </c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>
      <c r="A40" s="3" t="str">
        <f>IFERROR(__xludf.DUMMYFUNCTION("""COMPUTED_VALUE"""),"Ferrari Dino")</f>
        <v>Ferrari Dino</v>
      </c>
      <c r="B40" s="3">
        <f>IFERROR(__xludf.DUMMYFUNCTION("""COMPUTED_VALUE"""),19.7)</f>
        <v>19.7</v>
      </c>
      <c r="C40" s="3">
        <f>IFERROR(__xludf.DUMMYFUNCTION("""COMPUTED_VALUE"""),6.0)</f>
        <v>6</v>
      </c>
      <c r="D40" s="3">
        <f>IFERROR(__xludf.DUMMYFUNCTION("""COMPUTED_VALUE"""),145.0)</f>
        <v>145</v>
      </c>
      <c r="E40" s="3">
        <f>IFERROR(__xludf.DUMMYFUNCTION("""COMPUTED_VALUE"""),175.0)</f>
        <v>175</v>
      </c>
      <c r="F40" s="3">
        <f>IFERROR(__xludf.DUMMYFUNCTION("""COMPUTED_VALUE"""),3.62)</f>
        <v>3.62</v>
      </c>
      <c r="G40" s="3">
        <f>IFERROR(__xludf.DUMMYFUNCTION("""COMPUTED_VALUE"""),2.77)</f>
        <v>2.77</v>
      </c>
      <c r="H40" s="3">
        <f>IFERROR(__xludf.DUMMYFUNCTION("""COMPUTED_VALUE"""),15.5)</f>
        <v>15.5</v>
      </c>
      <c r="I40" s="3">
        <f>IFERROR(__xludf.DUMMYFUNCTION("""COMPUTED_VALUE"""),0.0)</f>
        <v>0</v>
      </c>
      <c r="J40" s="3">
        <f>IFERROR(__xludf.DUMMYFUNCTION("""COMPUTED_VALUE"""),1.0)</f>
        <v>1</v>
      </c>
      <c r="K40" s="3">
        <f>IFERROR(__xludf.DUMMYFUNCTION("""COMPUTED_VALUE"""),5.0)</f>
        <v>5</v>
      </c>
      <c r="L40" s="3">
        <f>IFERROR(__xludf.DUMMYFUNCTION("""COMPUTED_VALUE"""),6.0)</f>
        <v>6</v>
      </c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>
      <c r="A41" s="3" t="str">
        <f>IFERROR(__xludf.DUMMYFUNCTION("""COMPUTED_VALUE"""),"Maserati Bora")</f>
        <v>Maserati Bora</v>
      </c>
      <c r="B41" s="3">
        <f>IFERROR(__xludf.DUMMYFUNCTION("""COMPUTED_VALUE"""),15.0)</f>
        <v>15</v>
      </c>
      <c r="C41" s="3">
        <f>IFERROR(__xludf.DUMMYFUNCTION("""COMPUTED_VALUE"""),8.0)</f>
        <v>8</v>
      </c>
      <c r="D41" s="3">
        <f>IFERROR(__xludf.DUMMYFUNCTION("""COMPUTED_VALUE"""),301.0)</f>
        <v>301</v>
      </c>
      <c r="E41" s="3">
        <f>IFERROR(__xludf.DUMMYFUNCTION("""COMPUTED_VALUE"""),335.0)</f>
        <v>335</v>
      </c>
      <c r="F41" s="3">
        <f>IFERROR(__xludf.DUMMYFUNCTION("""COMPUTED_VALUE"""),3.54)</f>
        <v>3.54</v>
      </c>
      <c r="G41" s="3">
        <f>IFERROR(__xludf.DUMMYFUNCTION("""COMPUTED_VALUE"""),3.57)</f>
        <v>3.57</v>
      </c>
      <c r="H41" s="3">
        <f>IFERROR(__xludf.DUMMYFUNCTION("""COMPUTED_VALUE"""),14.6)</f>
        <v>14.6</v>
      </c>
      <c r="I41" s="3">
        <f>IFERROR(__xludf.DUMMYFUNCTION("""COMPUTED_VALUE"""),0.0)</f>
        <v>0</v>
      </c>
      <c r="J41" s="3">
        <f>IFERROR(__xludf.DUMMYFUNCTION("""COMPUTED_VALUE"""),1.0)</f>
        <v>1</v>
      </c>
      <c r="K41" s="3">
        <f>IFERROR(__xludf.DUMMYFUNCTION("""COMPUTED_VALUE"""),5.0)</f>
        <v>5</v>
      </c>
      <c r="L41" s="3">
        <f>IFERROR(__xludf.DUMMYFUNCTION("""COMPUTED_VALUE"""),8.0)</f>
        <v>8</v>
      </c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>
      <c r="A42" s="3" t="str">
        <f>IFERROR(__xludf.DUMMYFUNCTION("""COMPUTED_VALUE"""),"Volvo 142E")</f>
        <v>Volvo 142E</v>
      </c>
      <c r="B42" s="3">
        <f>IFERROR(__xludf.DUMMYFUNCTION("""COMPUTED_VALUE"""),21.4)</f>
        <v>21.4</v>
      </c>
      <c r="C42" s="3">
        <f>IFERROR(__xludf.DUMMYFUNCTION("""COMPUTED_VALUE"""),4.0)</f>
        <v>4</v>
      </c>
      <c r="D42" s="3">
        <f>IFERROR(__xludf.DUMMYFUNCTION("""COMPUTED_VALUE"""),121.0)</f>
        <v>121</v>
      </c>
      <c r="E42" s="3">
        <f>IFERROR(__xludf.DUMMYFUNCTION("""COMPUTED_VALUE"""),109.0)</f>
        <v>109</v>
      </c>
      <c r="F42" s="3">
        <f>IFERROR(__xludf.DUMMYFUNCTION("""COMPUTED_VALUE"""),4.11)</f>
        <v>4.11</v>
      </c>
      <c r="G42" s="3">
        <f>IFERROR(__xludf.DUMMYFUNCTION("""COMPUTED_VALUE"""),2.78)</f>
        <v>2.78</v>
      </c>
      <c r="H42" s="3">
        <f>IFERROR(__xludf.DUMMYFUNCTION("""COMPUTED_VALUE"""),18.6)</f>
        <v>18.6</v>
      </c>
      <c r="I42" s="3">
        <f>IFERROR(__xludf.DUMMYFUNCTION("""COMPUTED_VALUE"""),1.0)</f>
        <v>1</v>
      </c>
      <c r="J42" s="3">
        <f>IFERROR(__xludf.DUMMYFUNCTION("""COMPUTED_VALUE"""),1.0)</f>
        <v>1</v>
      </c>
      <c r="K42" s="3">
        <f>IFERROR(__xludf.DUMMYFUNCTION("""COMPUTED_VALUE"""),4.0)</f>
        <v>4</v>
      </c>
      <c r="L42" s="3">
        <f>IFERROR(__xludf.DUMMYFUNCTION("""COMPUTED_VALUE"""),2.0)</f>
        <v>2</v>
      </c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>
      <c r="A44" s="36" t="s">
        <v>180</v>
      </c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>
      <c r="A45" s="42" t="str">
        <f>IFERROR(__xludf.DUMMYFUNCTION("IMPORTHTML(C3,""table"",2)"),"")</f>
        <v/>
      </c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>
      <c r="A46" s="3" t="str">
        <f>IFERROR(__xludf.DUMMYFUNCTION("""COMPUTED_VALUE"""),"News from MomsTEAM/ SmartTeams")</f>
        <v>News from MomsTEAM/ SmartTeams</v>
      </c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>
      <c r="A47" s="3" t="str">
        <f>IFERROR(__xludf.DUMMYFUNCTION("""COMPUTED_VALUE"""),"19th Annual Mother's Day Wish List")</f>
        <v>19th Annual Mother's Day Wish List</v>
      </c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>
      <c r="A48" s="3" t="str">
        <f>IFERROR(__xludf.DUMMYFUNCTION("""COMPUTED_VALUE"""),"Creating A Culture Of Concussion Safety Requires Teamwork All Season Long, 
Not Just One Day")</f>
        <v>Creating A Culture Of Concussion Safety Requires Teamwork All Season Long, 
Not Just One Day</v>
      </c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>
      <c r="A49" s="3" t="str">
        <f>IFERROR(__xludf.DUMMYFUNCTION("""COMPUTED_VALUE"""),"Letting Kids Play Football is Not Child Abuse")</f>
        <v>Letting Kids Play Football is Not Child Abuse</v>
      </c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>
      <c r="A50" s="3" t="str">
        <f>IFERROR(__xludf.DUMMYFUNCTION("""COMPUTED_VALUE"""),"CTE: Is The Media Scaring Young Athletes To Death?")</f>
        <v>CTE: Is The Media Scaring Young Athletes To Death?</v>
      </c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>
      <c r="A51" s="3" t="str">
        <f>IFERROR(__xludf.DUMMYFUNCTION("""COMPUTED_VALUE"""),"""Back in the Game"": A Concussion Book That Stands Out In a Crowded Field")</f>
        <v>"Back in the Game": A Concussion Book That Stands Out In a Crowded Field</v>
      </c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>
      <c r="A52" s="3" t="str">
        <f>IFERROR(__xludf.DUMMYFUNCTION("""COMPUTED_VALUE"""),"Why I'm Not a Football Apologist or Anti-Football Zealot: I'm a Pro-Safety 
Realist")</f>
        <v>Why I'm Not a Football Apologist or Anti-Football Zealot: I'm a Pro-Safety 
Realist</v>
      </c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>
      <c r="A53" s="3" t="str">
        <f>IFERROR(__xludf.DUMMYFUNCTION("""COMPUTED_VALUE"""),"Pediatrics Group's Position on Tackling in Youth Football Strikes Right 
Balance")</f>
        <v>Pediatrics Group's Position on Tackling in Youth Football Strikes Right 
Balance</v>
      </c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>
      <c r="A54" s="3" t="str">
        <f>IFERROR(__xludf.DUMMYFUNCTION("""COMPUTED_VALUE"""),"U.S. Failure To Ratify UN Convention on Rights of the Child Is Embarrassing 
and Unacceptable")</f>
        <v>U.S. Failure To Ratify UN Convention on Rights of the Child Is Embarrassing 
and Unacceptable</v>
      </c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>
      <c r="A55" s="3" t="str">
        <f>IFERROR(__xludf.DUMMYFUNCTION("""COMPUTED_VALUE"""),"Camp Lessons...One Student Athlete's Journey")</f>
        <v>Camp Lessons...One Student Athlete's Journey</v>
      </c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>
      <c r="A59" s="31" t="s">
        <v>180</v>
      </c>
      <c r="B59" s="3"/>
      <c r="C59" s="3"/>
      <c r="D59" s="3"/>
      <c r="E59" s="31" t="s">
        <v>180</v>
      </c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>
      <c r="A60" s="2" t="s">
        <v>181</v>
      </c>
      <c r="B60" s="2" t="s">
        <v>182</v>
      </c>
      <c r="C60" s="2" t="s">
        <v>183</v>
      </c>
      <c r="D60" s="3"/>
      <c r="E60" s="43" t="str">
        <f>IFERROR(__xludf.DUMMYFUNCTION("IMPORTXML(C5,""/bookstore/book[1]/title"")"),"Everyday Italian")</f>
        <v>Everyday Italian</v>
      </c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>
      <c r="A61" s="44" t="str">
        <f>IFERROR(__xludf.DUMMYFUNCTION("IMPORTXML(C5,""//title"")"),"Everyday Italian")</f>
        <v>Everyday Italian</v>
      </c>
      <c r="B61" s="40">
        <f>IFERROR(__xludf.DUMMYFUNCTION("IMPORTXML(C5,""//year"")"),2005.0)</f>
        <v>2005</v>
      </c>
      <c r="C61" s="7">
        <f>IFERROR(__xludf.DUMMYFUNCTION("IMPORTXML(C5,""//price"")"),30.0)</f>
        <v>30</v>
      </c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>
      <c r="A62" s="41" t="str">
        <f>IFERROR(__xludf.DUMMYFUNCTION("""COMPUTED_VALUE"""),"Harry Potter")</f>
        <v>Harry Potter</v>
      </c>
      <c r="B62" s="41">
        <f>IFERROR(__xludf.DUMMYFUNCTION("""COMPUTED_VALUE"""),2005.0)</f>
        <v>2005</v>
      </c>
      <c r="C62" s="3">
        <f>IFERROR(__xludf.DUMMYFUNCTION("""COMPUTED_VALUE"""),29.99)</f>
        <v>29.99</v>
      </c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>
      <c r="A63" s="41" t="str">
        <f>IFERROR(__xludf.DUMMYFUNCTION("""COMPUTED_VALUE"""),"XQuery Kick Start")</f>
        <v>XQuery Kick Start</v>
      </c>
      <c r="B63" s="41">
        <f>IFERROR(__xludf.DUMMYFUNCTION("""COMPUTED_VALUE"""),2003.0)</f>
        <v>2003</v>
      </c>
      <c r="C63" s="3">
        <f>IFERROR(__xludf.DUMMYFUNCTION("""COMPUTED_VALUE"""),49.99)</f>
        <v>49.99</v>
      </c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>
      <c r="A64" s="41" t="str">
        <f>IFERROR(__xludf.DUMMYFUNCTION("""COMPUTED_VALUE"""),"Learning XML")</f>
        <v>Learning XML</v>
      </c>
      <c r="B64" s="41">
        <f>IFERROR(__xludf.DUMMYFUNCTION("""COMPUTED_VALUE"""),2003.0)</f>
        <v>2003</v>
      </c>
      <c r="C64" s="3">
        <f>IFERROR(__xludf.DUMMYFUNCTION("""COMPUTED_VALUE"""),39.95)</f>
        <v>39.95</v>
      </c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>
      <c r="A65" s="41"/>
      <c r="B65" s="41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>
      <c r="A66" s="2" t="s">
        <v>180</v>
      </c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>
      <c r="A67" s="45" t="str">
        <f>IFERROR(__xludf.DUMMYFUNCTION("IMPORTFEED(C7,""items"",TRUE,5)"),"Title")</f>
        <v>Title</v>
      </c>
      <c r="B67" s="38" t="str">
        <f>IFERROR(__xludf.DUMMYFUNCTION("""COMPUTED_VALUE"""),"URL")</f>
        <v>URL</v>
      </c>
      <c r="C67" s="38" t="str">
        <f>IFERROR(__xludf.DUMMYFUNCTION("""COMPUTED_VALUE"""),"Date Created")</f>
        <v>Date Created</v>
      </c>
      <c r="D67" s="38" t="str">
        <f>IFERROR(__xludf.DUMMYFUNCTION("""COMPUTED_VALUE"""),"Summary")</f>
        <v>Summary</v>
      </c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</row>
    <row r="68">
      <c r="A68" s="3" t="str">
        <f>IFERROR(__xludf.DUMMYFUNCTION("""COMPUTED_VALUE"""),"Ex-Fujitsu boss 'shocked' by Post Office's actions")</f>
        <v>Ex-Fujitsu boss 'shocked' by Post Office's actions</v>
      </c>
      <c r="B68" s="46" t="str">
        <f>IFERROR(__xludf.DUMMYFUNCTION("""COMPUTED_VALUE"""),"https://www.bbc.co.uk/news/business-68253136?at_medium=RSS&amp;at_campaign=KARANGA")</f>
        <v>https://www.bbc.co.uk/news/business-68253136?at_medium=RSS&amp;at_campaign=KARANGA</v>
      </c>
      <c r="C68" s="3" t="str">
        <f>IFERROR(__xludf.DUMMYFUNCTION("""COMPUTED_VALUE"""),"Sat, 10 Feb 2024 00:00:39 GMT")</f>
        <v>Sat, 10 Feb 2024 00:00:39 GMT</v>
      </c>
      <c r="D68" s="3" t="str">
        <f>IFERROR(__xludf.DUMMYFUNCTION("""COMPUTED_VALUE"""),"Roger Gilbert says he believed the Post Office was acting ""honestly and 
competently"" in prosecutions.")</f>
        <v>Roger Gilbert says he believed the Post Office was acting "honestly and 
competently" in prosecutions.</v>
      </c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>
      <c r="A69" s="3" t="str">
        <f>IFERROR(__xludf.DUMMYFUNCTION("""COMPUTED_VALUE"""),"Why the e-bike boom is raising fire fears")</f>
        <v>Why the e-bike boom is raising fire fears</v>
      </c>
      <c r="B69" s="46" t="str">
        <f>IFERROR(__xludf.DUMMYFUNCTION("""COMPUTED_VALUE"""),"https://www.bbc.co.uk/news/business-68055288?at_medium=RSS&amp;at_campaign=KARANGA")</f>
        <v>https://www.bbc.co.uk/news/business-68055288?at_medium=RSS&amp;at_campaign=KARANGA</v>
      </c>
      <c r="C69" s="3" t="str">
        <f>IFERROR(__xludf.DUMMYFUNCTION("""COMPUTED_VALUE"""),"Fri, 09 Feb 2024 00:03:43 GMT")</f>
        <v>Fri, 09 Feb 2024 00:03:43 GMT</v>
      </c>
      <c r="D69" s="3" t="str">
        <f>IFERROR(__xludf.DUMMYFUNCTION("""COMPUTED_VALUE"""),"Sales of electric bikes are booming but defective batteries and chargers 
can cause fires.")</f>
        <v>Sales of electric bikes are booming but defective batteries and chargers 
can cause fires.</v>
      </c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>
      <c r="A70" s="3" t="str">
        <f>IFERROR(__xludf.DUMMYFUNCTION("""COMPUTED_VALUE"""),"Barclays to end direct financing of new oil and gas fields")</f>
        <v>Barclays to end direct financing of new oil and gas fields</v>
      </c>
      <c r="B70" s="46" t="str">
        <f>IFERROR(__xludf.DUMMYFUNCTION("""COMPUTED_VALUE"""),"https://www.bbc.co.uk/news/business-68249168?at_medium=RSS&amp;at_campaign=KARANGA")</f>
        <v>https://www.bbc.co.uk/news/business-68249168?at_medium=RSS&amp;at_campaign=KARANGA</v>
      </c>
      <c r="C70" s="3" t="str">
        <f>IFERROR(__xludf.DUMMYFUNCTION("""COMPUTED_VALUE"""),"Fri, 09 Feb 2024 14:00:25 GMT")</f>
        <v>Fri, 09 Feb 2024 14:00:25 GMT</v>
      </c>
      <c r="D70" s="3" t="str">
        <f>IFERROR(__xludf.DUMMYFUNCTION("""COMPUTED_VALUE"""),"The banking giant has been coming under mounting pressure to curb its 
support for fossil fuels.")</f>
        <v>The banking giant has been coming under mounting pressure to curb its 
support for fossil fuels.</v>
      </c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>
      <c r="A71" s="3" t="str">
        <f>IFERROR(__xludf.DUMMYFUNCTION("""COMPUTED_VALUE"""),"Judge approves Woodford investors' compensation")</f>
        <v>Judge approves Woodford investors' compensation</v>
      </c>
      <c r="B71" s="46" t="str">
        <f>IFERROR(__xludf.DUMMYFUNCTION("""COMPUTED_VALUE"""),"https://www.bbc.co.uk/news/business-68253309?at_medium=RSS&amp;at_campaign=KARANGA")</f>
        <v>https://www.bbc.co.uk/news/business-68253309?at_medium=RSS&amp;at_campaign=KARANGA</v>
      </c>
      <c r="C71" s="3" t="str">
        <f>IFERROR(__xludf.DUMMYFUNCTION("""COMPUTED_VALUE"""),"Fri, 09 Feb 2024 13:16:23 GMT")</f>
        <v>Fri, 09 Feb 2024 13:16:23 GMT</v>
      </c>
      <c r="D71" s="3" t="str">
        <f>IFERROR(__xludf.DUMMYFUNCTION("""COMPUTED_VALUE"""),"About 300,000 people could receive payouts but campaigners say it is an 
""appalling outcome"".")</f>
        <v>About 300,000 people could receive payouts but campaigners say it is an 
"appalling outcome".</v>
      </c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>
      <c r="A72" s="3" t="str">
        <f>IFERROR(__xludf.DUMMYFUNCTION("""COMPUTED_VALUE"""),"Ring video doorbell customers angry at 43% price hike")</f>
        <v>Ring video doorbell customers angry at 43% price hike</v>
      </c>
      <c r="B72" s="46" t="str">
        <f>IFERROR(__xludf.DUMMYFUNCTION("""COMPUTED_VALUE"""),"https://www.bbc.co.uk/news/technology-68250127?at_medium=RSS&amp;at_campaign=KARANGA")</f>
        <v>https://www.bbc.co.uk/news/technology-68250127?at_medium=RSS&amp;at_campaign=KARANGA</v>
      </c>
      <c r="C72" s="3" t="str">
        <f>IFERROR(__xludf.DUMMYFUNCTION("""COMPUTED_VALUE"""),"Fri, 09 Feb 2024 13:00:21 GMT")</f>
        <v>Fri, 09 Feb 2024 13:00:21 GMT</v>
      </c>
      <c r="D72" s="3" t="str">
        <f>IFERROR(__xludf.DUMMYFUNCTION("""COMPUTED_VALUE"""),"Users have taken to message boards to complain about the increase, which 
they say is unjustified.")</f>
        <v>Users have taken to message boards to complain about the increase, which 
they say is unjustified.</v>
      </c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</row>
    <row r="100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</row>
    <row r="1003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</row>
    <row r="1004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</row>
    <row r="1005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</row>
    <row r="1006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</row>
    <row r="1007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</row>
    <row r="1008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</row>
    <row r="1009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</row>
    <row r="1010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</row>
    <row r="1011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</row>
    <row r="1012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</row>
    <row r="1013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</row>
    <row r="1014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</row>
    <row r="1015">
      <c r="A1015" s="3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</row>
    <row r="1016">
      <c r="A1016" s="3"/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</row>
    <row r="1017">
      <c r="A1017" s="3"/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</row>
    <row r="1018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</row>
    <row r="1019">
      <c r="A1019" s="3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</row>
    <row r="1020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</row>
    <row r="1021">
      <c r="A1021" s="3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</row>
    <row r="1022">
      <c r="A1022" s="3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</row>
    <row r="1023">
      <c r="A1023" s="3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</row>
    <row r="1024">
      <c r="A1024" s="3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</row>
    <row r="1025">
      <c r="A1025" s="3"/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</row>
    <row r="1026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</row>
    <row r="1027">
      <c r="A1027" s="3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</row>
    <row r="1028">
      <c r="A1028" s="3"/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</row>
    <row r="1029">
      <c r="A1029" s="3"/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</row>
    <row r="1030">
      <c r="A1030" s="3"/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</row>
    <row r="1031">
      <c r="A1031" s="3"/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</row>
    <row r="1032">
      <c r="A1032" s="3"/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</row>
    <row r="1033">
      <c r="A1033" s="3"/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</row>
    <row r="1034">
      <c r="A1034" s="3"/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</row>
    <row r="1035">
      <c r="A1035" s="3"/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</row>
    <row r="1036">
      <c r="A1036" s="3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</row>
    <row r="1037">
      <c r="A1037" s="3"/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</row>
    <row r="1038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</row>
    <row r="1039">
      <c r="A1039" s="3"/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</row>
    <row r="1040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</row>
    <row r="1041">
      <c r="A1041" s="3"/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</row>
    <row r="1042">
      <c r="A1042" s="3"/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</row>
    <row r="1043">
      <c r="A1043" s="3"/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</row>
    <row r="1044">
      <c r="A1044" s="3"/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</row>
    <row r="1045">
      <c r="A1045" s="3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</row>
    <row r="1046">
      <c r="A1046" s="3"/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</row>
    <row r="1047">
      <c r="A1047" s="3"/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</row>
    <row r="1048">
      <c r="A1048" s="3"/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</row>
    <row r="1049">
      <c r="A1049" s="3"/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</row>
    <row r="1050">
      <c r="A1050" s="3"/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</row>
    <row r="1051">
      <c r="A1051" s="3"/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</row>
    <row r="1052">
      <c r="A1052" s="3"/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</row>
    <row r="1053">
      <c r="A1053" s="3"/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</row>
    <row r="1054">
      <c r="A1054" s="3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</row>
    <row r="1055">
      <c r="A1055" s="3"/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</row>
    <row r="1056">
      <c r="A1056" s="3"/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</row>
    <row r="1057">
      <c r="A1057" s="3"/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</row>
    <row r="1058">
      <c r="A1058" s="3"/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</row>
    <row r="1059">
      <c r="A1059" s="3"/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</row>
    <row r="1060">
      <c r="A1060" s="3"/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</row>
    <row r="1061">
      <c r="A1061" s="3"/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</row>
    <row r="1062">
      <c r="A1062" s="3"/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</row>
    <row r="1063">
      <c r="A1063" s="3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</row>
    <row r="1064">
      <c r="A1064" s="3"/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</row>
    <row r="1065">
      <c r="A1065" s="3"/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</row>
    <row r="1066">
      <c r="A1066" s="3"/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</row>
    <row r="1067">
      <c r="A1067" s="3"/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</row>
    <row r="1068">
      <c r="A1068" s="3"/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</row>
    <row r="1069">
      <c r="A1069" s="3"/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</row>
    <row r="1070">
      <c r="A1070" s="3"/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</row>
    <row r="1071">
      <c r="A1071" s="3"/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</row>
    <row r="1072">
      <c r="A1072" s="3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</row>
    <row r="1073">
      <c r="A1073" s="3"/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</row>
    <row r="1074">
      <c r="A1074" s="3"/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</row>
    <row r="1075">
      <c r="A1075" s="3"/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</row>
    <row r="1076">
      <c r="A1076" s="3"/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</row>
    <row r="1077">
      <c r="A1077" s="3"/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</row>
    <row r="1078">
      <c r="A1078" s="3"/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</row>
    <row r="1079">
      <c r="A1079" s="3"/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</row>
    <row r="1080">
      <c r="A1080" s="3"/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</row>
    <row r="1081">
      <c r="A1081" s="3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</row>
    <row r="1082">
      <c r="A1082" s="3"/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</row>
    <row r="1083">
      <c r="A1083" s="3"/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</row>
    <row r="1084">
      <c r="A1084" s="3"/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</row>
    <row r="1085">
      <c r="A1085" s="3"/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</row>
    <row r="1086">
      <c r="A1086" s="3"/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</row>
    <row r="1087">
      <c r="A1087" s="3"/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</row>
    <row r="1088">
      <c r="A1088" s="3"/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</row>
    <row r="1089">
      <c r="A1089" s="3"/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</row>
    <row r="1090">
      <c r="A1090" s="3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</row>
    <row r="1091">
      <c r="A1091" s="3"/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</row>
    <row r="1092">
      <c r="A1092" s="3"/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</row>
    <row r="1093">
      <c r="A1093" s="3"/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</row>
    <row r="1094">
      <c r="A1094" s="3"/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</row>
    <row r="1095">
      <c r="A1095" s="3"/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</row>
    <row r="1096">
      <c r="A1096" s="3"/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</row>
    <row r="1097">
      <c r="A1097" s="3"/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</row>
    <row r="1098">
      <c r="A1098" s="3"/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</row>
    <row r="1099">
      <c r="A1099" s="3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</row>
    <row r="1100">
      <c r="A1100" s="3"/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</row>
    <row r="1101">
      <c r="A1101" s="3"/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</row>
    <row r="1102">
      <c r="A1102" s="3"/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</row>
    <row r="1103">
      <c r="A1103" s="3"/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</row>
    <row r="1104">
      <c r="A1104" s="3"/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</row>
    <row r="1105">
      <c r="A1105" s="3"/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</row>
    <row r="1106">
      <c r="A1106" s="3"/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</row>
    <row r="1107">
      <c r="A1107" s="3"/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</row>
    <row r="1108">
      <c r="A1108" s="3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</row>
    <row r="1109">
      <c r="A1109" s="3"/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</row>
    <row r="1110">
      <c r="A1110" s="3"/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</row>
    <row r="1111">
      <c r="A1111" s="3"/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</row>
    <row r="1112">
      <c r="A1112" s="3"/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</row>
    <row r="1113">
      <c r="A1113" s="3"/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</row>
    <row r="1114">
      <c r="A1114" s="3"/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</row>
    <row r="1115">
      <c r="A1115" s="3"/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</row>
    <row r="1116">
      <c r="A1116" s="3"/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</row>
    <row r="1117">
      <c r="A1117" s="3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</row>
    <row r="1118">
      <c r="A1118" s="3"/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</row>
    <row r="1119">
      <c r="A1119" s="3"/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</row>
    <row r="1120">
      <c r="A1120" s="3"/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</row>
    <row r="1121">
      <c r="A1121" s="3"/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</row>
    <row r="1122">
      <c r="A1122" s="3"/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</row>
    <row r="1123">
      <c r="A1123" s="3"/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</row>
    <row r="1124">
      <c r="A1124" s="3"/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</row>
    <row r="1125">
      <c r="A1125" s="3"/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</row>
    <row r="1126">
      <c r="A1126" s="3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</row>
    <row r="1127">
      <c r="A1127" s="3"/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</row>
    <row r="1128">
      <c r="A1128" s="3"/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</row>
    <row r="1129">
      <c r="A1129" s="3"/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</row>
    <row r="1130">
      <c r="A1130" s="3"/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</row>
    <row r="1131">
      <c r="A1131" s="3"/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</row>
    <row r="1132">
      <c r="A1132" s="3"/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</row>
    <row r="1133">
      <c r="A1133" s="3"/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</row>
    <row r="1134">
      <c r="A1134" s="3"/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</row>
    <row r="1135">
      <c r="A1135" s="3"/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</row>
    <row r="1136">
      <c r="A1136" s="3"/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</row>
    <row r="1137">
      <c r="A1137" s="3"/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</row>
    <row r="1138">
      <c r="A1138" s="3"/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</row>
    <row r="1139">
      <c r="A1139" s="3"/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</row>
    <row r="1140">
      <c r="A1140" s="3"/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</row>
    <row r="1141">
      <c r="A1141" s="3"/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</row>
    <row r="1142">
      <c r="A1142" s="3"/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</row>
    <row r="1143">
      <c r="A1143" s="3"/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</row>
    <row r="1144">
      <c r="A1144" s="3"/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</row>
    <row r="1145">
      <c r="A1145" s="3"/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</row>
    <row r="1146">
      <c r="A1146" s="3"/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</row>
    <row r="1147">
      <c r="A1147" s="3"/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</row>
    <row r="1148">
      <c r="A1148" s="3"/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</row>
    <row r="1149">
      <c r="A1149" s="3"/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</row>
    <row r="1150">
      <c r="A1150" s="3"/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</row>
    <row r="1151">
      <c r="A1151" s="3"/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</row>
    <row r="1152">
      <c r="A1152" s="3"/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</row>
    <row r="1153">
      <c r="A1153" s="3"/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</row>
    <row r="1154">
      <c r="A1154" s="3"/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</row>
    <row r="1155">
      <c r="A1155" s="3"/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</row>
    <row r="1156">
      <c r="A1156" s="3"/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</row>
    <row r="1157">
      <c r="A1157" s="3"/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</row>
    <row r="1158">
      <c r="A1158" s="3"/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</row>
    <row r="1159">
      <c r="A1159" s="3"/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</row>
    <row r="1160">
      <c r="A1160" s="3"/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</row>
    <row r="1161">
      <c r="A1161" s="3"/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</row>
    <row r="1162">
      <c r="A1162" s="3"/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</row>
    <row r="1163">
      <c r="A1163" s="3"/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</row>
    <row r="1164">
      <c r="A1164" s="3"/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</row>
    <row r="1165">
      <c r="A1165" s="3"/>
      <c r="B1165" s="3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</row>
    <row r="1166">
      <c r="A1166" s="3"/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</row>
    <row r="1167">
      <c r="A1167" s="3"/>
      <c r="B1167" s="3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</row>
    <row r="1168">
      <c r="A1168" s="3"/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</row>
    <row r="1169">
      <c r="A1169" s="3"/>
      <c r="B1169" s="3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</row>
    <row r="1170">
      <c r="A1170" s="3"/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</row>
    <row r="1171">
      <c r="A1171" s="3"/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</row>
    <row r="1172">
      <c r="A1172" s="3"/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</row>
    <row r="1173">
      <c r="A1173" s="3"/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</row>
    <row r="1174">
      <c r="A1174" s="3"/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</row>
    <row r="1175">
      <c r="A1175" s="3"/>
      <c r="B1175" s="3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</row>
    <row r="1176">
      <c r="A1176" s="3"/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</row>
    <row r="1177">
      <c r="A1177" s="3"/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</row>
    <row r="1178">
      <c r="A1178" s="3"/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</row>
    <row r="1179">
      <c r="A1179" s="3"/>
      <c r="B1179" s="3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</row>
    <row r="1180">
      <c r="A1180" s="3"/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</row>
    <row r="1181">
      <c r="A1181" s="3"/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</row>
    <row r="1182">
      <c r="A1182" s="3"/>
      <c r="B1182" s="3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</row>
    <row r="1183">
      <c r="A1183" s="3"/>
      <c r="B1183" s="3"/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</row>
    <row r="1184">
      <c r="A1184" s="3"/>
      <c r="B1184" s="3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</row>
    <row r="1185">
      <c r="A1185" s="3"/>
      <c r="B1185" s="3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</row>
    <row r="1186">
      <c r="A1186" s="3"/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</row>
    <row r="1187">
      <c r="A1187" s="3"/>
      <c r="B1187" s="3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</row>
    <row r="1188">
      <c r="A1188" s="3"/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</row>
    <row r="1189">
      <c r="A1189" s="3"/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</row>
    <row r="1190">
      <c r="A1190" s="3"/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</row>
    <row r="1191">
      <c r="A1191" s="3"/>
      <c r="B1191" s="3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</row>
    <row r="1192">
      <c r="A1192" s="3"/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</row>
    <row r="1193">
      <c r="A1193" s="3"/>
      <c r="B1193" s="3"/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</row>
    <row r="1194">
      <c r="A1194" s="3"/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</row>
    <row r="1195">
      <c r="A1195" s="3"/>
      <c r="B1195" s="3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</row>
    <row r="1196">
      <c r="A1196" s="3"/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</row>
    <row r="1197">
      <c r="A1197" s="3"/>
      <c r="B1197" s="3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</row>
    <row r="1198">
      <c r="A1198" s="3"/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</row>
    <row r="1199">
      <c r="A1199" s="3"/>
      <c r="B1199" s="3"/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</row>
    <row r="1200">
      <c r="A1200" s="3"/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</row>
    <row r="1201">
      <c r="A1201" s="3"/>
      <c r="B1201" s="3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</row>
    <row r="1202">
      <c r="A1202" s="3"/>
      <c r="B1202" s="3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</row>
    <row r="1203">
      <c r="A1203" s="3"/>
      <c r="B1203" s="3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</row>
    <row r="1204">
      <c r="A1204" s="3"/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</row>
    <row r="1205">
      <c r="A1205" s="3"/>
      <c r="B1205" s="3"/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</row>
    <row r="1206">
      <c r="A1206" s="3"/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</row>
    <row r="1207">
      <c r="A1207" s="3"/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</row>
    <row r="1208">
      <c r="A1208" s="3"/>
      <c r="B1208" s="3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</row>
    <row r="1209">
      <c r="A1209" s="3"/>
      <c r="B1209" s="3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</row>
    <row r="1210">
      <c r="A1210" s="3"/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</row>
    <row r="1211">
      <c r="A1211" s="3"/>
      <c r="B1211" s="3"/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</row>
    <row r="1212">
      <c r="A1212" s="3"/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</row>
    <row r="1213">
      <c r="A1213" s="3"/>
      <c r="B1213" s="3"/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</row>
    <row r="1214">
      <c r="A1214" s="3"/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</row>
    <row r="1215">
      <c r="A1215" s="3"/>
      <c r="B1215" s="3"/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</row>
    <row r="1216">
      <c r="A1216" s="3"/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</row>
    <row r="1217">
      <c r="A1217" s="3"/>
      <c r="B1217" s="3"/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</row>
    <row r="1218">
      <c r="A1218" s="3"/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</row>
    <row r="1219">
      <c r="A1219" s="3"/>
      <c r="B1219" s="3"/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</row>
    <row r="1220">
      <c r="A1220" s="3"/>
      <c r="B1220" s="3"/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</row>
    <row r="1221">
      <c r="A1221" s="3"/>
      <c r="B1221" s="3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</row>
    <row r="1222">
      <c r="A1222" s="3"/>
      <c r="B1222" s="3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</row>
    <row r="1223">
      <c r="A1223" s="3"/>
      <c r="B1223" s="3"/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</row>
    <row r="1224">
      <c r="A1224" s="3"/>
      <c r="B1224" s="3"/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</row>
    <row r="1225">
      <c r="A1225" s="3"/>
      <c r="B1225" s="3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</row>
    <row r="1226">
      <c r="A1226" s="3"/>
      <c r="B1226" s="3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</row>
    <row r="1227">
      <c r="A1227" s="3"/>
      <c r="B1227" s="3"/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</row>
    <row r="1228">
      <c r="A1228" s="3"/>
      <c r="B1228" s="3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</row>
    <row r="1229">
      <c r="A1229" s="3"/>
      <c r="B1229" s="3"/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</row>
    <row r="1230">
      <c r="A1230" s="3"/>
      <c r="B1230" s="3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</row>
    <row r="1231">
      <c r="A1231" s="3"/>
      <c r="B1231" s="3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</row>
    <row r="1232">
      <c r="A1232" s="3"/>
      <c r="B1232" s="3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</row>
    <row r="1233">
      <c r="A1233" s="3"/>
      <c r="B1233" s="3"/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</row>
    <row r="1234">
      <c r="A1234" s="3"/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</row>
    <row r="1235">
      <c r="A1235" s="3"/>
      <c r="B1235" s="3"/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</row>
    <row r="1236">
      <c r="A1236" s="3"/>
      <c r="B1236" s="3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</row>
    <row r="1237">
      <c r="A1237" s="3"/>
      <c r="B1237" s="3"/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</row>
    <row r="1238">
      <c r="A1238" s="3"/>
      <c r="B1238" s="3"/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</row>
    <row r="1239">
      <c r="A1239" s="3"/>
      <c r="B1239" s="3"/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</row>
    <row r="1240">
      <c r="A1240" s="3"/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</row>
    <row r="1241">
      <c r="A1241" s="3"/>
      <c r="B1241" s="3"/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</row>
    <row r="1242">
      <c r="A1242" s="3"/>
      <c r="B1242" s="3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</row>
    <row r="1243">
      <c r="A1243" s="3"/>
      <c r="B1243" s="3"/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</row>
    <row r="1244">
      <c r="A1244" s="3"/>
      <c r="B1244" s="3"/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</row>
    <row r="1245">
      <c r="A1245" s="3"/>
      <c r="B1245" s="3"/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</row>
    <row r="1246">
      <c r="A1246" s="3"/>
      <c r="B1246" s="3"/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</row>
    <row r="1247">
      <c r="A1247" s="3"/>
      <c r="B1247" s="3"/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</row>
    <row r="1248">
      <c r="A1248" s="3"/>
      <c r="B1248" s="3"/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</row>
    <row r="1249">
      <c r="A1249" s="3"/>
      <c r="B1249" s="3"/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</row>
    <row r="1250">
      <c r="A1250" s="3"/>
      <c r="B1250" s="3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</row>
    <row r="1251">
      <c r="A1251" s="3"/>
      <c r="B1251" s="3"/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</row>
    <row r="1252">
      <c r="A1252" s="3"/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</row>
    <row r="1253">
      <c r="A1253" s="3"/>
      <c r="B1253" s="3"/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</row>
    <row r="1254">
      <c r="A1254" s="3"/>
      <c r="B1254" s="3"/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</row>
    <row r="1255">
      <c r="A1255" s="3"/>
      <c r="B1255" s="3"/>
      <c r="C1255" s="3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</row>
    <row r="1256">
      <c r="A1256" s="3"/>
      <c r="B1256" s="3"/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</row>
    <row r="1257">
      <c r="A1257" s="3"/>
      <c r="B1257" s="3"/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</row>
    <row r="1258">
      <c r="A1258" s="3"/>
      <c r="B1258" s="3"/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</row>
    <row r="1259">
      <c r="A1259" s="3"/>
      <c r="B1259" s="3"/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</row>
    <row r="1260">
      <c r="A1260" s="3"/>
      <c r="B1260" s="3"/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</row>
    <row r="1261">
      <c r="A1261" s="3"/>
      <c r="B1261" s="3"/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</row>
    <row r="1262">
      <c r="A1262" s="3"/>
      <c r="B1262" s="3"/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</row>
    <row r="1263">
      <c r="A1263" s="3"/>
      <c r="B1263" s="3"/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</row>
    <row r="1264">
      <c r="A1264" s="3"/>
      <c r="B1264" s="3"/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</row>
    <row r="1265">
      <c r="A1265" s="3"/>
      <c r="B1265" s="3"/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</row>
    <row r="1266">
      <c r="A1266" s="3"/>
      <c r="B1266" s="3"/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</row>
    <row r="1267">
      <c r="A1267" s="3"/>
      <c r="B1267" s="3"/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</row>
    <row r="1268">
      <c r="A1268" s="3"/>
      <c r="B1268" s="3"/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</row>
    <row r="1269">
      <c r="A1269" s="3"/>
      <c r="B1269" s="3"/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</row>
    <row r="1270">
      <c r="A1270" s="3"/>
      <c r="B1270" s="3"/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</row>
    <row r="1271">
      <c r="A1271" s="3"/>
      <c r="B1271" s="3"/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</row>
    <row r="1272">
      <c r="A1272" s="3"/>
      <c r="B1272" s="3"/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</row>
    <row r="1273">
      <c r="A1273" s="3"/>
      <c r="B1273" s="3"/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</row>
    <row r="1274">
      <c r="A1274" s="3"/>
      <c r="B1274" s="3"/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</row>
    <row r="1275">
      <c r="A1275" s="3"/>
      <c r="B1275" s="3"/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</row>
    <row r="1276">
      <c r="A1276" s="3"/>
      <c r="B1276" s="3"/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</row>
    <row r="1277">
      <c r="A1277" s="3"/>
      <c r="B1277" s="3"/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</row>
    <row r="1278">
      <c r="A1278" s="3"/>
      <c r="B1278" s="3"/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</row>
    <row r="1279">
      <c r="A1279" s="3"/>
      <c r="B1279" s="3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</row>
    <row r="1280">
      <c r="A1280" s="3"/>
      <c r="B1280" s="3"/>
      <c r="C1280" s="3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</row>
    <row r="1281">
      <c r="A1281" s="3"/>
      <c r="B1281" s="3"/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</row>
    <row r="1282">
      <c r="A1282" s="3"/>
      <c r="B1282" s="3"/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</row>
    <row r="1283">
      <c r="A1283" s="3"/>
      <c r="B1283" s="3"/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</row>
    <row r="1284">
      <c r="A1284" s="3"/>
      <c r="B1284" s="3"/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</row>
    <row r="1285">
      <c r="A1285" s="3"/>
      <c r="B1285" s="3"/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</row>
    <row r="1286">
      <c r="A1286" s="3"/>
      <c r="B1286" s="3"/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</row>
    <row r="1287">
      <c r="A1287" s="3"/>
      <c r="B1287" s="3"/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</row>
    <row r="1288">
      <c r="A1288" s="3"/>
      <c r="B1288" s="3"/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</row>
    <row r="1289">
      <c r="A1289" s="3"/>
      <c r="B1289" s="3"/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</row>
    <row r="1290">
      <c r="A1290" s="3"/>
      <c r="B1290" s="3"/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</row>
    <row r="1291">
      <c r="A1291" s="3"/>
      <c r="B1291" s="3"/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</row>
    <row r="1292">
      <c r="A1292" s="3"/>
      <c r="B1292" s="3"/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</row>
    <row r="1293">
      <c r="A1293" s="3"/>
      <c r="B1293" s="3"/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</row>
    <row r="1294">
      <c r="A1294" s="3"/>
      <c r="B1294" s="3"/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</row>
    <row r="1295">
      <c r="A1295" s="3"/>
      <c r="B1295" s="3"/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</row>
    <row r="1296">
      <c r="A1296" s="3"/>
      <c r="B1296" s="3"/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</row>
    <row r="1297">
      <c r="A1297" s="3"/>
      <c r="B1297" s="3"/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</row>
    <row r="1298">
      <c r="A1298" s="3"/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</row>
    <row r="1299">
      <c r="A1299" s="3"/>
      <c r="B1299" s="3"/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</row>
    <row r="1300">
      <c r="A1300" s="3"/>
      <c r="B1300" s="3"/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</row>
    <row r="1301">
      <c r="A1301" s="3"/>
      <c r="B1301" s="3"/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</row>
    <row r="1302">
      <c r="A1302" s="3"/>
      <c r="B1302" s="3"/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</row>
    <row r="1303">
      <c r="A1303" s="3"/>
      <c r="B1303" s="3"/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</row>
    <row r="1304">
      <c r="A1304" s="3"/>
      <c r="B1304" s="3"/>
      <c r="C1304" s="3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</row>
    <row r="1305">
      <c r="A1305" s="3"/>
      <c r="B1305" s="3"/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</row>
    <row r="1306">
      <c r="A1306" s="3"/>
      <c r="B1306" s="3"/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</row>
    <row r="1307">
      <c r="A1307" s="3"/>
      <c r="B1307" s="3"/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</row>
    <row r="1308">
      <c r="A1308" s="3"/>
      <c r="B1308" s="3"/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</row>
    <row r="1309">
      <c r="A1309" s="3"/>
      <c r="B1309" s="3"/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</row>
    <row r="1310">
      <c r="A1310" s="3"/>
      <c r="B1310" s="3"/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</row>
    <row r="1311">
      <c r="A1311" s="3"/>
      <c r="B1311" s="3"/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</row>
    <row r="1312">
      <c r="A1312" s="3"/>
      <c r="B1312" s="3"/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</row>
    <row r="1313">
      <c r="A1313" s="3"/>
      <c r="B1313" s="3"/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</row>
    <row r="1314">
      <c r="A1314" s="3"/>
      <c r="B1314" s="3"/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</row>
    <row r="1315">
      <c r="A1315" s="3"/>
      <c r="B1315" s="3"/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</row>
    <row r="1316">
      <c r="A1316" s="3"/>
      <c r="B1316" s="3"/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</row>
    <row r="1317">
      <c r="A1317" s="3"/>
      <c r="B1317" s="3"/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</row>
    <row r="1318">
      <c r="A1318" s="3"/>
      <c r="B1318" s="3"/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</row>
    <row r="1319">
      <c r="A1319" s="3"/>
      <c r="B1319" s="3"/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</row>
    <row r="1320">
      <c r="A1320" s="3"/>
      <c r="B1320" s="3"/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</row>
    <row r="1321">
      <c r="A1321" s="3"/>
      <c r="B1321" s="3"/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</row>
    <row r="1322">
      <c r="A1322" s="3"/>
      <c r="B1322" s="3"/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</row>
    <row r="1323">
      <c r="A1323" s="3"/>
      <c r="B1323" s="3"/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</row>
    <row r="1324">
      <c r="A1324" s="3"/>
      <c r="B1324" s="3"/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</row>
    <row r="1325">
      <c r="A1325" s="3"/>
      <c r="B1325" s="3"/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</row>
    <row r="1326">
      <c r="A1326" s="3"/>
      <c r="B1326" s="3"/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</row>
    <row r="1327">
      <c r="A1327" s="3"/>
      <c r="B1327" s="3"/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</row>
    <row r="1328">
      <c r="A1328" s="3"/>
      <c r="B1328" s="3"/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</row>
    <row r="1329">
      <c r="A1329" s="3"/>
      <c r="B1329" s="3"/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</row>
    <row r="1330">
      <c r="A1330" s="3"/>
      <c r="B1330" s="3"/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</row>
    <row r="1331">
      <c r="A1331" s="3"/>
      <c r="B1331" s="3"/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</row>
    <row r="1332">
      <c r="A1332" s="3"/>
      <c r="B1332" s="3"/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</row>
    <row r="1333">
      <c r="A1333" s="3"/>
      <c r="B1333" s="3"/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</row>
    <row r="1334">
      <c r="A1334" s="3"/>
      <c r="B1334" s="3"/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</row>
    <row r="1335">
      <c r="A1335" s="3"/>
      <c r="B1335" s="3"/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</row>
    <row r="1336">
      <c r="A1336" s="3"/>
      <c r="B1336" s="3"/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</row>
    <row r="1337">
      <c r="A1337" s="3"/>
      <c r="B1337" s="3"/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</row>
    <row r="1338">
      <c r="A1338" s="3"/>
      <c r="B1338" s="3"/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</row>
    <row r="1339">
      <c r="A1339" s="3"/>
      <c r="B1339" s="3"/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</row>
    <row r="1340">
      <c r="A1340" s="3"/>
      <c r="B1340" s="3"/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</row>
    <row r="1341">
      <c r="A1341" s="3"/>
      <c r="B1341" s="3"/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</row>
    <row r="1342">
      <c r="A1342" s="3"/>
      <c r="B1342" s="3"/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</row>
    <row r="1343">
      <c r="A1343" s="3"/>
      <c r="B1343" s="3"/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</row>
    <row r="1344">
      <c r="A1344" s="3"/>
      <c r="B1344" s="3"/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</row>
    <row r="1345">
      <c r="A1345" s="3"/>
      <c r="B1345" s="3"/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</row>
    <row r="1346">
      <c r="A1346" s="3"/>
      <c r="B1346" s="3"/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</row>
    <row r="1347">
      <c r="A1347" s="3"/>
      <c r="B1347" s="3"/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</row>
    <row r="1348">
      <c r="A1348" s="3"/>
      <c r="B1348" s="3"/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</row>
    <row r="1349">
      <c r="A1349" s="3"/>
      <c r="B1349" s="3"/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</row>
    <row r="1350">
      <c r="A1350" s="3"/>
      <c r="B1350" s="3"/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</row>
    <row r="1351">
      <c r="A1351" s="3"/>
      <c r="B1351" s="3"/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</row>
    <row r="1352">
      <c r="A1352" s="3"/>
      <c r="B1352" s="3"/>
      <c r="C1352" s="3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</row>
    <row r="1353">
      <c r="A1353" s="3"/>
      <c r="B1353" s="3"/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</row>
    <row r="1354">
      <c r="A1354" s="3"/>
      <c r="B1354" s="3"/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</row>
    <row r="1355">
      <c r="A1355" s="3"/>
      <c r="B1355" s="3"/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</row>
    <row r="1356">
      <c r="A1356" s="3"/>
      <c r="B1356" s="3"/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</row>
    <row r="1357">
      <c r="A1357" s="3"/>
      <c r="B1357" s="3"/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</row>
    <row r="1358">
      <c r="A1358" s="3"/>
      <c r="B1358" s="3"/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</row>
    <row r="1359">
      <c r="A1359" s="3"/>
      <c r="B1359" s="3"/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</row>
    <row r="1360">
      <c r="A1360" s="3"/>
      <c r="B1360" s="3"/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</row>
    <row r="1361">
      <c r="A1361" s="3"/>
      <c r="B1361" s="3"/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</row>
    <row r="1362">
      <c r="A1362" s="3"/>
      <c r="B1362" s="3"/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</row>
    <row r="1363">
      <c r="A1363" s="3"/>
      <c r="B1363" s="3"/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</row>
    <row r="1364">
      <c r="A1364" s="3"/>
      <c r="B1364" s="3"/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</row>
    <row r="1365">
      <c r="A1365" s="3"/>
      <c r="B1365" s="3"/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</row>
    <row r="1366">
      <c r="A1366" s="3"/>
      <c r="B1366" s="3"/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</row>
    <row r="1367">
      <c r="A1367" s="3"/>
      <c r="B1367" s="3"/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</row>
    <row r="1368">
      <c r="A1368" s="3"/>
      <c r="B1368" s="3"/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</row>
    <row r="1369">
      <c r="A1369" s="3"/>
      <c r="B1369" s="3"/>
      <c r="C1369" s="3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</row>
    <row r="1370">
      <c r="A1370" s="3"/>
      <c r="B1370" s="3"/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</row>
    <row r="1371">
      <c r="A1371" s="3"/>
      <c r="B1371" s="3"/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</row>
    <row r="1372">
      <c r="A1372" s="3"/>
      <c r="B1372" s="3"/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</row>
    <row r="1373">
      <c r="A1373" s="3"/>
      <c r="B1373" s="3"/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</row>
    <row r="1374">
      <c r="A1374" s="3"/>
      <c r="B1374" s="3"/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</row>
    <row r="1375">
      <c r="A1375" s="3"/>
      <c r="B1375" s="3"/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</row>
    <row r="1376">
      <c r="A1376" s="3"/>
      <c r="B1376" s="3"/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</row>
    <row r="1377">
      <c r="A1377" s="3"/>
      <c r="B1377" s="3"/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</row>
    <row r="1378">
      <c r="A1378" s="3"/>
      <c r="B1378" s="3"/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</row>
    <row r="1379">
      <c r="A1379" s="3"/>
      <c r="B1379" s="3"/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</row>
    <row r="1380">
      <c r="A1380" s="3"/>
      <c r="B1380" s="3"/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</row>
    <row r="1381">
      <c r="A1381" s="3"/>
      <c r="B1381" s="3"/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</row>
    <row r="1382">
      <c r="A1382" s="3"/>
      <c r="B1382" s="3"/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</row>
    <row r="1383">
      <c r="A1383" s="3"/>
      <c r="B1383" s="3"/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</row>
    <row r="1384">
      <c r="A1384" s="3"/>
      <c r="B1384" s="3"/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</row>
    <row r="1385">
      <c r="A1385" s="3"/>
      <c r="B1385" s="3"/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</row>
    <row r="1386">
      <c r="A1386" s="3"/>
      <c r="B1386" s="3"/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</row>
    <row r="1387">
      <c r="A1387" s="3"/>
      <c r="B1387" s="3"/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</row>
    <row r="1388">
      <c r="A1388" s="3"/>
      <c r="B1388" s="3"/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</row>
    <row r="1389">
      <c r="A1389" s="3"/>
      <c r="B1389" s="3"/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</row>
    <row r="1390">
      <c r="A1390" s="3"/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</row>
    <row r="1391">
      <c r="A1391" s="3"/>
      <c r="B1391" s="3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</row>
    <row r="1392">
      <c r="A1392" s="3"/>
      <c r="B1392" s="3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</row>
    <row r="1393">
      <c r="A1393" s="3"/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</row>
    <row r="1394">
      <c r="A1394" s="3"/>
      <c r="B1394" s="3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</row>
    <row r="1395">
      <c r="A1395" s="3"/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</row>
    <row r="1396">
      <c r="A1396" s="3"/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</row>
    <row r="1397">
      <c r="A1397" s="3"/>
      <c r="B1397" s="3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</row>
    <row r="1398">
      <c r="A1398" s="3"/>
      <c r="B1398" s="3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</row>
    <row r="1399">
      <c r="A1399" s="3"/>
      <c r="B1399" s="3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</row>
    <row r="1400">
      <c r="A1400" s="3"/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</row>
    <row r="1401">
      <c r="A1401" s="3"/>
      <c r="B1401" s="3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</row>
    <row r="1402">
      <c r="A1402" s="3"/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</row>
    <row r="1403">
      <c r="A1403" s="3"/>
      <c r="B1403" s="3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</row>
    <row r="1404">
      <c r="A1404" s="3"/>
      <c r="B1404" s="3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</row>
    <row r="1405">
      <c r="A1405" s="3"/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</row>
    <row r="1406">
      <c r="A1406" s="3"/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</row>
    <row r="1407">
      <c r="A1407" s="3"/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</row>
    <row r="1408">
      <c r="A1408" s="3"/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</row>
    <row r="1409">
      <c r="A1409" s="3"/>
      <c r="B1409" s="3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</row>
    <row r="1410">
      <c r="A1410" s="3"/>
      <c r="B1410" s="3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</row>
    <row r="1411">
      <c r="A1411" s="3"/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</row>
    <row r="1412">
      <c r="A1412" s="3"/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</row>
    <row r="1413">
      <c r="A1413" s="3"/>
      <c r="B1413" s="3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</row>
    <row r="1414">
      <c r="A1414" s="3"/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</row>
    <row r="1415">
      <c r="A1415" s="3"/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</row>
    <row r="1416">
      <c r="A1416" s="3"/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</row>
    <row r="1417">
      <c r="A1417" s="3"/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</row>
    <row r="1418">
      <c r="A1418" s="3"/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</row>
    <row r="1419">
      <c r="A1419" s="3"/>
      <c r="B1419" s="3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</row>
    <row r="1420">
      <c r="A1420" s="3"/>
      <c r="B1420" s="3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</row>
    <row r="1421">
      <c r="A1421" s="3"/>
      <c r="B1421" s="3"/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</row>
    <row r="1422">
      <c r="A1422" s="3"/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</row>
    <row r="1423">
      <c r="A1423" s="3"/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</row>
    <row r="1424">
      <c r="A1424" s="3"/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</row>
    <row r="1425">
      <c r="A1425" s="3"/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</row>
    <row r="1426">
      <c r="A1426" s="3"/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</row>
    <row r="1427">
      <c r="A1427" s="3"/>
      <c r="B1427" s="3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</row>
    <row r="1428">
      <c r="A1428" s="3"/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</row>
    <row r="1429">
      <c r="A1429" s="3"/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</row>
    <row r="1430">
      <c r="A1430" s="3"/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</row>
    <row r="1431">
      <c r="A1431" s="3"/>
      <c r="B1431" s="3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</row>
    <row r="1432">
      <c r="A1432" s="3"/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</row>
    <row r="1433">
      <c r="A1433" s="3"/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</row>
    <row r="1434">
      <c r="A1434" s="3"/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</row>
    <row r="1435">
      <c r="A1435" s="3"/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</row>
    <row r="1436">
      <c r="A1436" s="3"/>
      <c r="B1436" s="3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</row>
    <row r="1437">
      <c r="A1437" s="3"/>
      <c r="B1437" s="3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</row>
    <row r="1438">
      <c r="A1438" s="3"/>
      <c r="B1438" s="3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</row>
    <row r="1439">
      <c r="A1439" s="3"/>
      <c r="B1439" s="3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</row>
    <row r="1440">
      <c r="A1440" s="3"/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</row>
    <row r="1441">
      <c r="A1441" s="3"/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</row>
    <row r="1442">
      <c r="A1442" s="3"/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</row>
    <row r="1443">
      <c r="A1443" s="3"/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</row>
    <row r="1444">
      <c r="A1444" s="3"/>
      <c r="B1444" s="3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</row>
    <row r="1445">
      <c r="A1445" s="3"/>
      <c r="B1445" s="3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</row>
    <row r="1446">
      <c r="A1446" s="3"/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</row>
    <row r="1447">
      <c r="A1447" s="3"/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</row>
    <row r="1448">
      <c r="A1448" s="3"/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</row>
    <row r="1449">
      <c r="A1449" s="3"/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</row>
    <row r="1450">
      <c r="A1450" s="3"/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</row>
    <row r="1451">
      <c r="A1451" s="3"/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</row>
    <row r="1452">
      <c r="A1452" s="3"/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</row>
    <row r="1453">
      <c r="A1453" s="3"/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</row>
    <row r="1454">
      <c r="A1454" s="3"/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</row>
    <row r="1455">
      <c r="A1455" s="3"/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</row>
    <row r="1456">
      <c r="A1456" s="3"/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</row>
    <row r="1457">
      <c r="A1457" s="3"/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</row>
    <row r="1458">
      <c r="A1458" s="3"/>
      <c r="B1458" s="3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</row>
    <row r="1459">
      <c r="A1459" s="3"/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</row>
    <row r="1460">
      <c r="A1460" s="3"/>
      <c r="B1460" s="3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</row>
    <row r="1461">
      <c r="A1461" s="3"/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</row>
    <row r="1462">
      <c r="A1462" s="3"/>
      <c r="B1462" s="3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</row>
    <row r="1463">
      <c r="A1463" s="3"/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</row>
    <row r="1464">
      <c r="A1464" s="3"/>
      <c r="B1464" s="3"/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</row>
    <row r="1465">
      <c r="A1465" s="3"/>
      <c r="B1465" s="3"/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</row>
    <row r="1466">
      <c r="A1466" s="3"/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</row>
    <row r="1467">
      <c r="A1467" s="3"/>
      <c r="B1467" s="3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</row>
    <row r="1468">
      <c r="A1468" s="3"/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</row>
    <row r="1469">
      <c r="A1469" s="3"/>
      <c r="B1469" s="3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</row>
    <row r="1470">
      <c r="A1470" s="3"/>
      <c r="B1470" s="3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</row>
    <row r="1471">
      <c r="A1471" s="3"/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</row>
    <row r="1472">
      <c r="A1472" s="3"/>
      <c r="B1472" s="3"/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</row>
    <row r="1473">
      <c r="A1473" s="3"/>
      <c r="B1473" s="3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</row>
    <row r="1474">
      <c r="A1474" s="3"/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</row>
    <row r="1475">
      <c r="A1475" s="3"/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</row>
    <row r="1476">
      <c r="A1476" s="3"/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</row>
    <row r="1477">
      <c r="A1477" s="3"/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</row>
    <row r="1478">
      <c r="A1478" s="3"/>
      <c r="B1478" s="3"/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</row>
    <row r="1479">
      <c r="A1479" s="3"/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</row>
    <row r="1480">
      <c r="A1480" s="3"/>
      <c r="B1480" s="3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</row>
    <row r="1481">
      <c r="A1481" s="3"/>
      <c r="B1481" s="3"/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</row>
    <row r="1482">
      <c r="A1482" s="3"/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</row>
    <row r="1483">
      <c r="A1483" s="3"/>
      <c r="B1483" s="3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</row>
    <row r="1484">
      <c r="A1484" s="3"/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</row>
    <row r="1485">
      <c r="A1485" s="3"/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</row>
    <row r="1486">
      <c r="A1486" s="3"/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</row>
    <row r="1487">
      <c r="A1487" s="3"/>
      <c r="B1487" s="3"/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</row>
    <row r="1488">
      <c r="A1488" s="3"/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</row>
    <row r="1489">
      <c r="A1489" s="3"/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</row>
    <row r="1490">
      <c r="A1490" s="3"/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</row>
    <row r="1491">
      <c r="A1491" s="3"/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</row>
    <row r="1492">
      <c r="A1492" s="3"/>
      <c r="B1492" s="3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</row>
    <row r="1493">
      <c r="A1493" s="3"/>
      <c r="B1493" s="3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</row>
    <row r="1494">
      <c r="A1494" s="3"/>
      <c r="B1494" s="3"/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</row>
    <row r="1495">
      <c r="A1495" s="3"/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</row>
    <row r="1496">
      <c r="A1496" s="3"/>
      <c r="B1496" s="3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</row>
    <row r="1497">
      <c r="A1497" s="3"/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</row>
    <row r="1498">
      <c r="A1498" s="3"/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</row>
    <row r="1499">
      <c r="A1499" s="3"/>
      <c r="B1499" s="3"/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</row>
    <row r="1500">
      <c r="A1500" s="3"/>
      <c r="B1500" s="3"/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</row>
    <row r="1501">
      <c r="A1501" s="3"/>
      <c r="B1501" s="3"/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</row>
    <row r="1502">
      <c r="A1502" s="3"/>
      <c r="B1502" s="3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</row>
    <row r="1503">
      <c r="A1503" s="3"/>
      <c r="B1503" s="3"/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</row>
    <row r="1504">
      <c r="A1504" s="3"/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</row>
    <row r="1505">
      <c r="A1505" s="3"/>
      <c r="B1505" s="3"/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</row>
    <row r="1506">
      <c r="A1506" s="3"/>
      <c r="B1506" s="3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</row>
    <row r="1507">
      <c r="A1507" s="3"/>
      <c r="B1507" s="3"/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</row>
    <row r="1508">
      <c r="A1508" s="3"/>
      <c r="B1508" s="3"/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</row>
    <row r="1509">
      <c r="A1509" s="3"/>
      <c r="B1509" s="3"/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</row>
    <row r="1510">
      <c r="A1510" s="3"/>
      <c r="B1510" s="3"/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</row>
    <row r="1511">
      <c r="A1511" s="3"/>
      <c r="B1511" s="3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</row>
    <row r="1512">
      <c r="A1512" s="3"/>
      <c r="B1512" s="3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</row>
    <row r="1513">
      <c r="A1513" s="3"/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</row>
    <row r="1514">
      <c r="A1514" s="3"/>
      <c r="B1514" s="3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</row>
    <row r="1515">
      <c r="A1515" s="3"/>
      <c r="B1515" s="3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</row>
    <row r="1516">
      <c r="A1516" s="3"/>
      <c r="B1516" s="3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</row>
    <row r="1517">
      <c r="A1517" s="3"/>
      <c r="B1517" s="3"/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</row>
    <row r="1518">
      <c r="A1518" s="3"/>
      <c r="B1518" s="3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</row>
    <row r="1519">
      <c r="A1519" s="3"/>
      <c r="B1519" s="3"/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</row>
    <row r="1520">
      <c r="A1520" s="3"/>
      <c r="B1520" s="3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</row>
    <row r="1521">
      <c r="A1521" s="3"/>
      <c r="B1521" s="3"/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</row>
    <row r="1522">
      <c r="A1522" s="3"/>
      <c r="B1522" s="3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</row>
    <row r="1523">
      <c r="A1523" s="3"/>
      <c r="B1523" s="3"/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</row>
    <row r="1524">
      <c r="A1524" s="3"/>
      <c r="B1524" s="3"/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</row>
    <row r="1525">
      <c r="A1525" s="3"/>
      <c r="B1525" s="3"/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</row>
    <row r="1526">
      <c r="A1526" s="3"/>
      <c r="B1526" s="3"/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</row>
    <row r="1527">
      <c r="A1527" s="3"/>
      <c r="B1527" s="3"/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</row>
    <row r="1528">
      <c r="A1528" s="3"/>
      <c r="B1528" s="3"/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</row>
    <row r="1529">
      <c r="A1529" s="3"/>
      <c r="B1529" s="3"/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</row>
    <row r="1530">
      <c r="A1530" s="3"/>
      <c r="B1530" s="3"/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</row>
    <row r="1531">
      <c r="A1531" s="3"/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</row>
    <row r="1532">
      <c r="A1532" s="3"/>
      <c r="B1532" s="3"/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</row>
    <row r="1533">
      <c r="A1533" s="3"/>
      <c r="B1533" s="3"/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</row>
    <row r="1534">
      <c r="A1534" s="3"/>
      <c r="B1534" s="3"/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</row>
    <row r="1535">
      <c r="A1535" s="3"/>
      <c r="B1535" s="3"/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</row>
    <row r="1536">
      <c r="A1536" s="3"/>
      <c r="B1536" s="3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</row>
    <row r="1537">
      <c r="A1537" s="3"/>
      <c r="B1537" s="3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</row>
    <row r="1538">
      <c r="A1538" s="3"/>
      <c r="B1538" s="3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</row>
    <row r="1539">
      <c r="A1539" s="3"/>
      <c r="B1539" s="3"/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</row>
    <row r="1540">
      <c r="A1540" s="3"/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</row>
    <row r="1541">
      <c r="A1541" s="3"/>
      <c r="B1541" s="3"/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</row>
    <row r="1542">
      <c r="A1542" s="3"/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</row>
    <row r="1543">
      <c r="A1543" s="3"/>
      <c r="B1543" s="3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</row>
    <row r="1544">
      <c r="A1544" s="3"/>
      <c r="B1544" s="3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</row>
    <row r="1545">
      <c r="A1545" s="3"/>
      <c r="B1545" s="3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</row>
    <row r="1546">
      <c r="A1546" s="3"/>
      <c r="B1546" s="3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</row>
    <row r="1547">
      <c r="A1547" s="3"/>
      <c r="B1547" s="3"/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</row>
    <row r="1548">
      <c r="A1548" s="3"/>
      <c r="B1548" s="3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</row>
    <row r="1549">
      <c r="A1549" s="3"/>
      <c r="B1549" s="3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</row>
    <row r="1550">
      <c r="A1550" s="3"/>
      <c r="B1550" s="3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</row>
    <row r="1551">
      <c r="A1551" s="3"/>
      <c r="B1551" s="3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</row>
    <row r="1552">
      <c r="A1552" s="3"/>
      <c r="B1552" s="3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</row>
    <row r="1553">
      <c r="A1553" s="3"/>
      <c r="B1553" s="3"/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</row>
    <row r="1554">
      <c r="A1554" s="3"/>
      <c r="B1554" s="3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</row>
    <row r="1555">
      <c r="A1555" s="3"/>
      <c r="B1555" s="3"/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</row>
    <row r="1556">
      <c r="A1556" s="3"/>
      <c r="B1556" s="3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</row>
    <row r="1557">
      <c r="A1557" s="3"/>
      <c r="B1557" s="3"/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</row>
    <row r="1558">
      <c r="A1558" s="3"/>
      <c r="B1558" s="3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</row>
    <row r="1559">
      <c r="A1559" s="3"/>
      <c r="B1559" s="3"/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</row>
    <row r="1560">
      <c r="A1560" s="3"/>
      <c r="B1560" s="3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</row>
    <row r="1561">
      <c r="A1561" s="3"/>
      <c r="B1561" s="3"/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</row>
    <row r="1562">
      <c r="A1562" s="3"/>
      <c r="B1562" s="3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</row>
    <row r="1563">
      <c r="A1563" s="3"/>
      <c r="B1563" s="3"/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</row>
    <row r="1564">
      <c r="A1564" s="3"/>
      <c r="B1564" s="3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</row>
    <row r="1565">
      <c r="A1565" s="3"/>
      <c r="B1565" s="3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</row>
    <row r="1566">
      <c r="A1566" s="3"/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</row>
    <row r="1567">
      <c r="A1567" s="3"/>
      <c r="B1567" s="3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</row>
    <row r="1568">
      <c r="A1568" s="3"/>
      <c r="B1568" s="3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</row>
    <row r="1569">
      <c r="A1569" s="3"/>
      <c r="B1569" s="3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</row>
    <row r="1570">
      <c r="A1570" s="3"/>
      <c r="B1570" s="3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</row>
    <row r="1571">
      <c r="A1571" s="3"/>
      <c r="B1571" s="3"/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</row>
    <row r="1572">
      <c r="A1572" s="3"/>
      <c r="B1572" s="3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</row>
    <row r="1573">
      <c r="A1573" s="3"/>
      <c r="B1573" s="3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</row>
    <row r="1574">
      <c r="A1574" s="3"/>
      <c r="B1574" s="3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</row>
    <row r="1575">
      <c r="A1575" s="3"/>
      <c r="B1575" s="3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</row>
    <row r="1576">
      <c r="A1576" s="3"/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</row>
    <row r="1577">
      <c r="A1577" s="3"/>
      <c r="B1577" s="3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</row>
    <row r="1578">
      <c r="A1578" s="3"/>
      <c r="B1578" s="3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</row>
    <row r="1579">
      <c r="A1579" s="3"/>
      <c r="B1579" s="3"/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</row>
    <row r="1580">
      <c r="A1580" s="3"/>
      <c r="B1580" s="3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</row>
    <row r="1581">
      <c r="A1581" s="3"/>
      <c r="B1581" s="3"/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</row>
    <row r="1582">
      <c r="A1582" s="3"/>
      <c r="B1582" s="3"/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</row>
    <row r="1583">
      <c r="A1583" s="3"/>
      <c r="B1583" s="3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</row>
    <row r="1584">
      <c r="A1584" s="3"/>
      <c r="B1584" s="3"/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</row>
    <row r="1585">
      <c r="A1585" s="3"/>
      <c r="B1585" s="3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</row>
    <row r="1586">
      <c r="A1586" s="3"/>
      <c r="B1586" s="3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</row>
    <row r="1587">
      <c r="A1587" s="3"/>
      <c r="B1587" s="3"/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</row>
    <row r="1588">
      <c r="A1588" s="3"/>
      <c r="B1588" s="3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</row>
    <row r="1589">
      <c r="A1589" s="3"/>
      <c r="B1589" s="3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</row>
    <row r="1590">
      <c r="A1590" s="3"/>
      <c r="B1590" s="3"/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</row>
    <row r="1591">
      <c r="A1591" s="3"/>
      <c r="B1591" s="3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</row>
    <row r="1592">
      <c r="A1592" s="3"/>
      <c r="B1592" s="3"/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</row>
    <row r="1593">
      <c r="A1593" s="3"/>
      <c r="B1593" s="3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</row>
    <row r="1594">
      <c r="A1594" s="3"/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</row>
    <row r="1595">
      <c r="A1595" s="3"/>
      <c r="B1595" s="3"/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</row>
    <row r="1596">
      <c r="A1596" s="3"/>
      <c r="B1596" s="3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</row>
    <row r="1597">
      <c r="A1597" s="3"/>
      <c r="B1597" s="3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</row>
    <row r="1598">
      <c r="A1598" s="3"/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</row>
    <row r="1599">
      <c r="A1599" s="3"/>
      <c r="B1599" s="3"/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</row>
    <row r="1600">
      <c r="A1600" s="3"/>
      <c r="B1600" s="3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</row>
    <row r="1601">
      <c r="A1601" s="3"/>
      <c r="B1601" s="3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</row>
    <row r="1602">
      <c r="A1602" s="3"/>
      <c r="B1602" s="3"/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</row>
    <row r="1603">
      <c r="A1603" s="3"/>
      <c r="B1603" s="3"/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</row>
    <row r="1604">
      <c r="A1604" s="3"/>
      <c r="B1604" s="3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</row>
    <row r="1605">
      <c r="A1605" s="3"/>
      <c r="B1605" s="3"/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</row>
    <row r="1606">
      <c r="A1606" s="3"/>
      <c r="B1606" s="3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</row>
    <row r="1607">
      <c r="A1607" s="3"/>
      <c r="B1607" s="3"/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</row>
    <row r="1608">
      <c r="A1608" s="3"/>
      <c r="B1608" s="3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</row>
    <row r="1609">
      <c r="A1609" s="3"/>
      <c r="B1609" s="3"/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</row>
    <row r="1610">
      <c r="A1610" s="3"/>
      <c r="B1610" s="3"/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</row>
    <row r="1611">
      <c r="A1611" s="3"/>
      <c r="B1611" s="3"/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</row>
    <row r="1612">
      <c r="A1612" s="3"/>
      <c r="B1612" s="3"/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</row>
    <row r="1613">
      <c r="A1613" s="3"/>
      <c r="B1613" s="3"/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</row>
    <row r="1614">
      <c r="A1614" s="3"/>
      <c r="B1614" s="3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</row>
    <row r="1615">
      <c r="A1615" s="3"/>
      <c r="B1615" s="3"/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</row>
    <row r="1616">
      <c r="A1616" s="3"/>
      <c r="B1616" s="3"/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</row>
    <row r="1617">
      <c r="A1617" s="3"/>
      <c r="B1617" s="3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</row>
    <row r="1618">
      <c r="A1618" s="3"/>
      <c r="B1618" s="3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</row>
    <row r="1619">
      <c r="A1619" s="3"/>
      <c r="B1619" s="3"/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</row>
    <row r="1620">
      <c r="A1620" s="3"/>
      <c r="B1620" s="3"/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</row>
    <row r="1621">
      <c r="A1621" s="3"/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</row>
    <row r="1622">
      <c r="A1622" s="3"/>
      <c r="B1622" s="3"/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</row>
    <row r="1623">
      <c r="A1623" s="3"/>
      <c r="B1623" s="3"/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</row>
    <row r="1624">
      <c r="A1624" s="3"/>
      <c r="B1624" s="3"/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</row>
    <row r="1625">
      <c r="A1625" s="3"/>
      <c r="B1625" s="3"/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</row>
    <row r="1626">
      <c r="A1626" s="3"/>
      <c r="B1626" s="3"/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</row>
    <row r="1627">
      <c r="A1627" s="3"/>
      <c r="B1627" s="3"/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</row>
    <row r="1628">
      <c r="A1628" s="3"/>
      <c r="B1628" s="3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</row>
    <row r="1629">
      <c r="A1629" s="3"/>
      <c r="B1629" s="3"/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</row>
    <row r="1630">
      <c r="A1630" s="3"/>
      <c r="B1630" s="3"/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</row>
    <row r="1631">
      <c r="A1631" s="3"/>
      <c r="B1631" s="3"/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</row>
    <row r="1632">
      <c r="A1632" s="3"/>
      <c r="B1632" s="3"/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</row>
    <row r="1633">
      <c r="A1633" s="3"/>
      <c r="B1633" s="3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</row>
    <row r="1634">
      <c r="A1634" s="3"/>
      <c r="B1634" s="3"/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</row>
    <row r="1635">
      <c r="A1635" s="3"/>
      <c r="B1635" s="3"/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</row>
    <row r="1636">
      <c r="A1636" s="3"/>
      <c r="B1636" s="3"/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</row>
    <row r="1637">
      <c r="A1637" s="3"/>
      <c r="B1637" s="3"/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</row>
    <row r="1638">
      <c r="A1638" s="3"/>
      <c r="B1638" s="3"/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</row>
    <row r="1639">
      <c r="A1639" s="3"/>
      <c r="B1639" s="3"/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</row>
    <row r="1640">
      <c r="A1640" s="3"/>
      <c r="B1640" s="3"/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</row>
    <row r="1641">
      <c r="A1641" s="3"/>
      <c r="B1641" s="3"/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</row>
    <row r="1642">
      <c r="A1642" s="3"/>
      <c r="B1642" s="3"/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</row>
    <row r="1643">
      <c r="A1643" s="3"/>
      <c r="B1643" s="3"/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</row>
    <row r="1644">
      <c r="A1644" s="3"/>
      <c r="B1644" s="3"/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</row>
    <row r="1645">
      <c r="A1645" s="3"/>
      <c r="B1645" s="3"/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</row>
    <row r="1646">
      <c r="A1646" s="3"/>
      <c r="B1646" s="3"/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</row>
    <row r="1647">
      <c r="A1647" s="3"/>
      <c r="B1647" s="3"/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</row>
    <row r="1648">
      <c r="A1648" s="3"/>
      <c r="B1648" s="3"/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</row>
    <row r="1649">
      <c r="A1649" s="3"/>
      <c r="B1649" s="3"/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</row>
    <row r="1650">
      <c r="A1650" s="3"/>
      <c r="B1650" s="3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</row>
    <row r="1651">
      <c r="A1651" s="3"/>
      <c r="B1651" s="3"/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</row>
    <row r="1652">
      <c r="A1652" s="3"/>
      <c r="B1652" s="3"/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</row>
    <row r="1653">
      <c r="A1653" s="3"/>
      <c r="B1653" s="3"/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</row>
    <row r="1654">
      <c r="A1654" s="3"/>
      <c r="B1654" s="3"/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</row>
    <row r="1655">
      <c r="A1655" s="3"/>
      <c r="B1655" s="3"/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</row>
    <row r="1656">
      <c r="A1656" s="3"/>
      <c r="B1656" s="3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</row>
    <row r="1657">
      <c r="A1657" s="3"/>
      <c r="B1657" s="3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</row>
    <row r="1658">
      <c r="A1658" s="3"/>
      <c r="B1658" s="3"/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</row>
    <row r="1659">
      <c r="A1659" s="3"/>
      <c r="B1659" s="3"/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</row>
    <row r="1660">
      <c r="A1660" s="3"/>
      <c r="B1660" s="3"/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</row>
    <row r="1661">
      <c r="A1661" s="3"/>
      <c r="B1661" s="3"/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</row>
    <row r="1662">
      <c r="A1662" s="3"/>
      <c r="B1662" s="3"/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</row>
    <row r="1663">
      <c r="A1663" s="3"/>
      <c r="B1663" s="3"/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</row>
    <row r="1664">
      <c r="A1664" s="3"/>
      <c r="B1664" s="3"/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</row>
    <row r="1665">
      <c r="A1665" s="3"/>
      <c r="B1665" s="3"/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</row>
    <row r="1666">
      <c r="A1666" s="3"/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</row>
    <row r="1667">
      <c r="A1667" s="3"/>
      <c r="B1667" s="3"/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</row>
    <row r="1668">
      <c r="A1668" s="3"/>
      <c r="B1668" s="3"/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</row>
    <row r="1669">
      <c r="A1669" s="3"/>
      <c r="B1669" s="3"/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</row>
    <row r="1670">
      <c r="A1670" s="3"/>
      <c r="B1670" s="3"/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</row>
    <row r="1671">
      <c r="A1671" s="3"/>
      <c r="B1671" s="3"/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</row>
    <row r="1672">
      <c r="A1672" s="3"/>
      <c r="B1672" s="3"/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</row>
    <row r="1673">
      <c r="A1673" s="3"/>
      <c r="B1673" s="3"/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</row>
    <row r="1674">
      <c r="A1674" s="3"/>
      <c r="B1674" s="3"/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</row>
    <row r="1675">
      <c r="A1675" s="3"/>
      <c r="B1675" s="3"/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</row>
    <row r="1676">
      <c r="A1676" s="3"/>
      <c r="B1676" s="3"/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</row>
    <row r="1677">
      <c r="A1677" s="3"/>
      <c r="B1677" s="3"/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</row>
    <row r="1678">
      <c r="A1678" s="3"/>
      <c r="B1678" s="3"/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</row>
    <row r="1679">
      <c r="A1679" s="3"/>
      <c r="B1679" s="3"/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</row>
    <row r="1680">
      <c r="A1680" s="3"/>
      <c r="B1680" s="3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</row>
    <row r="1681">
      <c r="A1681" s="3"/>
      <c r="B1681" s="3"/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</row>
    <row r="1682">
      <c r="A1682" s="3"/>
      <c r="B1682" s="3"/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</row>
    <row r="1683">
      <c r="A1683" s="3"/>
      <c r="B1683" s="3"/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</row>
    <row r="1684">
      <c r="A1684" s="3"/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</row>
    <row r="1685">
      <c r="A1685" s="3"/>
      <c r="B1685" s="3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</row>
    <row r="1686">
      <c r="A1686" s="3"/>
      <c r="B1686" s="3"/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</row>
    <row r="1687">
      <c r="A1687" s="3"/>
      <c r="B1687" s="3"/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</row>
    <row r="1688">
      <c r="A1688" s="3"/>
      <c r="B1688" s="3"/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</row>
    <row r="1689">
      <c r="A1689" s="3"/>
      <c r="B1689" s="3"/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</row>
    <row r="1690">
      <c r="A1690" s="3"/>
      <c r="B1690" s="3"/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</row>
    <row r="1691">
      <c r="A1691" s="3"/>
      <c r="B1691" s="3"/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</row>
    <row r="1692">
      <c r="A1692" s="3"/>
      <c r="B1692" s="3"/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</row>
    <row r="1693">
      <c r="A1693" s="3"/>
      <c r="B1693" s="3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</row>
    <row r="1694">
      <c r="A1694" s="3"/>
      <c r="B1694" s="3"/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</row>
    <row r="1695">
      <c r="A1695" s="3"/>
      <c r="B1695" s="3"/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</row>
    <row r="1696">
      <c r="A1696" s="3"/>
      <c r="B1696" s="3"/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</row>
    <row r="1697">
      <c r="A1697" s="3"/>
      <c r="B1697" s="3"/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</row>
    <row r="1698">
      <c r="A1698" s="3"/>
      <c r="B1698" s="3"/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</row>
    <row r="1699">
      <c r="A1699" s="3"/>
      <c r="B1699" s="3"/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</row>
    <row r="1700">
      <c r="A1700" s="3"/>
      <c r="B1700" s="3"/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</row>
    <row r="1701">
      <c r="A1701" s="3"/>
      <c r="B1701" s="3"/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</row>
    <row r="1702">
      <c r="A1702" s="3"/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</row>
    <row r="1703">
      <c r="A1703" s="3"/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</row>
    <row r="1704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</row>
    <row r="1705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</row>
    <row r="1706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</row>
    <row r="1707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</row>
    <row r="1708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</row>
    <row r="1709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</row>
    <row r="1710">
      <c r="A1710" s="3"/>
      <c r="B1710" s="3"/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</row>
    <row r="1711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</row>
    <row r="1712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</row>
    <row r="1713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</row>
    <row r="1714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</row>
    <row r="1715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</row>
    <row r="1716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</row>
    <row r="1717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</row>
    <row r="1718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</row>
    <row r="1719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</row>
    <row r="1720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</row>
    <row r="1721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</row>
    <row r="1722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</row>
    <row r="1723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</row>
    <row r="1724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</row>
    <row r="1725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</row>
    <row r="1726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</row>
    <row r="1727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</row>
    <row r="1728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</row>
    <row r="1729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</row>
    <row r="1730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</row>
    <row r="1731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</row>
    <row r="1732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</row>
    <row r="1733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</row>
    <row r="1734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</row>
    <row r="1735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</row>
    <row r="1736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</row>
    <row r="1737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</row>
    <row r="1738">
      <c r="A1738" s="3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</row>
    <row r="1739">
      <c r="A1739" s="3"/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</row>
    <row r="1740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</row>
    <row r="1741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</row>
    <row r="1742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</row>
    <row r="1743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</row>
    <row r="1744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</row>
    <row r="1745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</row>
    <row r="1746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</row>
    <row r="1747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</row>
    <row r="1748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</row>
    <row r="1749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</row>
    <row r="1750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</row>
    <row r="1751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</row>
    <row r="1752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</row>
    <row r="1753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</row>
    <row r="1754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</row>
    <row r="1755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</row>
    <row r="1756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</row>
    <row r="1757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</row>
    <row r="1758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</row>
    <row r="1759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</row>
    <row r="1760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</row>
    <row r="1761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</row>
    <row r="1762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</row>
    <row r="1763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</row>
    <row r="1764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</row>
    <row r="1765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</row>
    <row r="1766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</row>
    <row r="1767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</row>
    <row r="1768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</row>
    <row r="1769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</row>
    <row r="1770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</row>
    <row r="1771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</row>
    <row r="1772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</row>
    <row r="1773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</row>
    <row r="1774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</row>
    <row r="1775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</row>
    <row r="1776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</row>
    <row r="1777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</row>
    <row r="1778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</row>
    <row r="1779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</row>
    <row r="1780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</row>
    <row r="1781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</row>
    <row r="1782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</row>
    <row r="1783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</row>
    <row r="1784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</row>
    <row r="1785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</row>
    <row r="1786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</row>
    <row r="1787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</row>
    <row r="1788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</row>
    <row r="1789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</row>
    <row r="1790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</row>
    <row r="1791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</row>
    <row r="1792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</row>
    <row r="1793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</row>
    <row r="1794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</row>
    <row r="1795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</row>
    <row r="1796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</row>
    <row r="1797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</row>
    <row r="1798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</row>
    <row r="1799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</row>
    <row r="1800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</row>
    <row r="1801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</row>
    <row r="1802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</row>
    <row r="1803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</row>
    <row r="1804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</row>
    <row r="1805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</row>
    <row r="1806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</row>
    <row r="1807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</row>
    <row r="1808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</row>
    <row r="1809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</row>
    <row r="1810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</row>
    <row r="1811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</row>
    <row r="1812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</row>
    <row r="1813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</row>
    <row r="1814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</row>
    <row r="1815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</row>
    <row r="1816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</row>
    <row r="1817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</row>
    <row r="1818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</row>
    <row r="1819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</row>
    <row r="1820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</row>
    <row r="1821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</row>
    <row r="1822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</row>
    <row r="1823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</row>
    <row r="1824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</row>
    <row r="1825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</row>
    <row r="1826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</row>
    <row r="1827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</row>
    <row r="1828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</row>
    <row r="1829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</row>
    <row r="1830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</row>
    <row r="1831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</row>
    <row r="1832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</row>
    <row r="1833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</row>
    <row r="1834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</row>
    <row r="1835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</row>
    <row r="1836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</row>
    <row r="1837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</row>
    <row r="1838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</row>
    <row r="1839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</row>
    <row r="1840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</row>
    <row r="1841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</row>
    <row r="1842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</row>
    <row r="1843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</row>
    <row r="1844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</row>
    <row r="1845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</row>
    <row r="1846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</row>
    <row r="1847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</row>
    <row r="1848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</row>
    <row r="1849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</row>
    <row r="1850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</row>
    <row r="1851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</row>
    <row r="1852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</row>
    <row r="1853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</row>
    <row r="1854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</row>
    <row r="1855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</row>
    <row r="1856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</row>
    <row r="1857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</row>
    <row r="1858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</row>
    <row r="1859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</row>
    <row r="1860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</row>
    <row r="1861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</row>
    <row r="1862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</row>
    <row r="1863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</row>
    <row r="1864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</row>
    <row r="1865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</row>
    <row r="1866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</row>
    <row r="1867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</row>
    <row r="1868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</row>
    <row r="1869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</row>
    <row r="1870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</row>
    <row r="1871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</row>
    <row r="1872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</row>
    <row r="1873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</row>
    <row r="1874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</row>
    <row r="1875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</row>
    <row r="1876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</row>
    <row r="1877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</row>
    <row r="1878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</row>
    <row r="1879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</row>
    <row r="1880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</row>
    <row r="1881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</row>
    <row r="1882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</row>
    <row r="1883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</row>
    <row r="1884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</row>
    <row r="1885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</row>
    <row r="1886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</row>
    <row r="1887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</row>
    <row r="1888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</row>
    <row r="1889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</row>
    <row r="1890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</row>
    <row r="1891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</row>
    <row r="1892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</row>
    <row r="1893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</row>
    <row r="1894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</row>
    <row r="1895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</row>
    <row r="1896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</row>
    <row r="1897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</row>
    <row r="1898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</row>
    <row r="1899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</row>
    <row r="1900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</row>
    <row r="1901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</row>
    <row r="1902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</row>
    <row r="1903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</row>
    <row r="1904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</row>
    <row r="1905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</row>
    <row r="1906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</row>
    <row r="1907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</row>
    <row r="1908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</row>
    <row r="1909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</row>
    <row r="1910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</row>
    <row r="1911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</row>
    <row r="1912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</row>
    <row r="1913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</row>
    <row r="1914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</row>
    <row r="1915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</row>
    <row r="1916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</row>
    <row r="1917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</row>
    <row r="1918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</row>
    <row r="1919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</row>
    <row r="1920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</row>
    <row r="1921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</row>
    <row r="1922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</row>
    <row r="1923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</row>
    <row r="1924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</row>
    <row r="1925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</row>
    <row r="1926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</row>
    <row r="1927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</row>
    <row r="1928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</row>
    <row r="1929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</row>
    <row r="1930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</row>
    <row r="1931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</row>
    <row r="1932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</row>
    <row r="1933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</row>
    <row r="1934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</row>
    <row r="1935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</row>
    <row r="1936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</row>
    <row r="1937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</row>
    <row r="1938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</row>
    <row r="1939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</row>
    <row r="1940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</row>
    <row r="1941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</row>
    <row r="1942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</row>
    <row r="1943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</row>
    <row r="1944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</row>
    <row r="1945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</row>
    <row r="1946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</row>
    <row r="1947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</row>
    <row r="1948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</row>
    <row r="1949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</row>
    <row r="1950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</row>
    <row r="1951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</row>
    <row r="1952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</row>
    <row r="1953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</row>
    <row r="1954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</row>
    <row r="1955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</row>
    <row r="1956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</row>
    <row r="1957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</row>
    <row r="1958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</row>
    <row r="1959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</row>
    <row r="1960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</row>
    <row r="1961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</row>
    <row r="1962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</row>
    <row r="1963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</row>
    <row r="1964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</row>
    <row r="1965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</row>
    <row r="1966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</row>
    <row r="1967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</row>
    <row r="1968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</row>
    <row r="1969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</row>
    <row r="1970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</row>
    <row r="1971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</row>
    <row r="1972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</row>
    <row r="1973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</row>
    <row r="1974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</row>
    <row r="1975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</row>
    <row r="1976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</row>
    <row r="1977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</row>
    <row r="1978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</row>
    <row r="1979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</row>
    <row r="1980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</row>
    <row r="1981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</row>
    <row r="1982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</row>
    <row r="1983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</row>
    <row r="1984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</row>
    <row r="1985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</row>
    <row r="1986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</row>
    <row r="1987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</row>
    <row r="1988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</row>
    <row r="1989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</row>
    <row r="1990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</row>
    <row r="1991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</row>
    <row r="1992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</row>
    <row r="1993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</row>
    <row r="1994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</row>
    <row r="1995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</row>
    <row r="1996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</row>
    <row r="1997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</row>
    <row r="1998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</row>
    <row r="1999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</row>
    <row r="2000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</row>
    <row r="2001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</row>
    <row r="2002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</row>
    <row r="2003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</row>
    <row r="2004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</row>
    <row r="2005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</row>
    <row r="2006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</row>
    <row r="2007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</row>
    <row r="2008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</row>
    <row r="2009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</row>
    <row r="2010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</row>
    <row r="2011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</row>
    <row r="2012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</row>
    <row r="2013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</row>
    <row r="2014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</row>
    <row r="2015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</row>
    <row r="2016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</row>
    <row r="2017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</row>
    <row r="2018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</row>
    <row r="2019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</row>
    <row r="2020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</row>
    <row r="2021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</row>
    <row r="2022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</row>
    <row r="2023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</row>
    <row r="2024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</row>
    <row r="2025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</row>
    <row r="2026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</row>
    <row r="2027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</row>
    <row r="2028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</row>
    <row r="2029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</row>
    <row r="2030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</row>
    <row r="2031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</row>
    <row r="2032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</row>
    <row r="2033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</row>
    <row r="2034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</row>
    <row r="2035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</row>
    <row r="2036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</row>
    <row r="2037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</row>
    <row r="2038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</row>
    <row r="2039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</row>
    <row r="2040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</row>
    <row r="2041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</row>
    <row r="2042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</row>
    <row r="2043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</row>
    <row r="2044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</row>
    <row r="2045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</row>
    <row r="2046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</row>
    <row r="2047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</row>
    <row r="2048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</row>
    <row r="2049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</row>
    <row r="2050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</row>
    <row r="2051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</row>
    <row r="2052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</row>
    <row r="2053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</row>
    <row r="2054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</row>
    <row r="2055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</row>
    <row r="2056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</row>
    <row r="2057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</row>
    <row r="2058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</row>
    <row r="2059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</row>
    <row r="2060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</row>
    <row r="2061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</row>
    <row r="2062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</row>
    <row r="2063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</row>
    <row r="2064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</row>
    <row r="2065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</row>
    <row r="2066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</row>
  </sheetData>
  <hyperlinks>
    <hyperlink r:id="rId1" ref="C2"/>
    <hyperlink r:id="rId2" ref="C3"/>
    <hyperlink r:id="rId3" ref="C4"/>
    <hyperlink r:id="rId4" ref="C5"/>
    <hyperlink r:id="rId5" ref="C6"/>
    <hyperlink r:id="rId6" ref="C7"/>
    <hyperlink r:id="rId7" ref="B68"/>
    <hyperlink r:id="rId8" ref="B69"/>
    <hyperlink r:id="rId9" ref="B70"/>
    <hyperlink r:id="rId10" ref="B71"/>
    <hyperlink r:id="rId11" ref="B72"/>
  </hyperlinks>
  <drawing r:id="rId1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9</v>
      </c>
      <c r="B1" s="47" t="s">
        <v>184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</row>
    <row r="3">
      <c r="A3" s="23" t="s">
        <v>58</v>
      </c>
      <c r="B3" s="23" t="s">
        <v>59</v>
      </c>
      <c r="C3" s="23" t="s">
        <v>60</v>
      </c>
      <c r="D3" s="23" t="s">
        <v>61</v>
      </c>
      <c r="E3" s="23" t="s">
        <v>62</v>
      </c>
      <c r="F3" s="23" t="s">
        <v>185</v>
      </c>
      <c r="G3" s="23" t="s">
        <v>186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</row>
    <row r="4">
      <c r="A4" s="26" t="s">
        <v>68</v>
      </c>
      <c r="B4" s="26" t="s">
        <v>69</v>
      </c>
      <c r="C4" s="26" t="s">
        <v>70</v>
      </c>
      <c r="D4" s="48">
        <v>38261.0</v>
      </c>
      <c r="E4" s="49">
        <v>57500.0</v>
      </c>
      <c r="F4" s="26" t="s">
        <v>187</v>
      </c>
      <c r="G4" s="26" t="s">
        <v>188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</row>
    <row r="5">
      <c r="A5" s="26" t="s">
        <v>72</v>
      </c>
      <c r="B5" s="26" t="s">
        <v>73</v>
      </c>
      <c r="C5" s="26" t="s">
        <v>74</v>
      </c>
      <c r="D5" s="48">
        <v>36906.0</v>
      </c>
      <c r="E5" s="49">
        <v>19500.0</v>
      </c>
      <c r="F5" s="26" t="s">
        <v>187</v>
      </c>
      <c r="G5" s="26" t="s">
        <v>188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</row>
    <row r="6">
      <c r="A6" s="26" t="s">
        <v>77</v>
      </c>
      <c r="B6" s="26" t="s">
        <v>78</v>
      </c>
      <c r="C6" s="26" t="s">
        <v>79</v>
      </c>
      <c r="D6" s="48">
        <v>35501.0</v>
      </c>
      <c r="E6" s="49">
        <v>69000.0</v>
      </c>
      <c r="F6" s="26" t="s">
        <v>187</v>
      </c>
      <c r="G6" s="26" t="s">
        <v>188</v>
      </c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</row>
    <row r="7">
      <c r="A7" s="26" t="s">
        <v>82</v>
      </c>
      <c r="B7" s="26" t="s">
        <v>83</v>
      </c>
      <c r="C7" s="26" t="s">
        <v>84</v>
      </c>
      <c r="D7" s="48">
        <v>38578.0</v>
      </c>
      <c r="E7" s="49">
        <v>55000.0</v>
      </c>
      <c r="F7" s="26" t="s">
        <v>189</v>
      </c>
      <c r="G7" s="26" t="s">
        <v>190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</row>
    <row r="8">
      <c r="A8" s="26" t="s">
        <v>87</v>
      </c>
      <c r="B8" s="26" t="s">
        <v>88</v>
      </c>
      <c r="C8" s="26" t="s">
        <v>89</v>
      </c>
      <c r="D8" s="48">
        <v>35188.0</v>
      </c>
      <c r="E8" s="49">
        <v>47500.0</v>
      </c>
      <c r="F8" s="26" t="s">
        <v>189</v>
      </c>
      <c r="G8" s="26" t="s">
        <v>190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</row>
    <row r="9">
      <c r="A9" s="26" t="s">
        <v>91</v>
      </c>
      <c r="B9" s="26" t="s">
        <v>92</v>
      </c>
      <c r="C9" s="26" t="s">
        <v>93</v>
      </c>
      <c r="D9" s="48">
        <v>34014.0</v>
      </c>
      <c r="E9" s="49">
        <v>100000.0</v>
      </c>
      <c r="F9" s="3"/>
      <c r="G9" s="26" t="s">
        <v>190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</row>
    <row r="10">
      <c r="A10" s="26" t="s">
        <v>95</v>
      </c>
      <c r="B10" s="26" t="s">
        <v>96</v>
      </c>
      <c r="C10" s="26" t="s">
        <v>97</v>
      </c>
      <c r="D10" s="48">
        <v>28212.0</v>
      </c>
      <c r="E10" s="49">
        <v>125000.0</v>
      </c>
      <c r="F10" s="26" t="s">
        <v>189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</row>
    <row r="11">
      <c r="A11" s="26" t="s">
        <v>99</v>
      </c>
      <c r="B11" s="26" t="s">
        <v>100</v>
      </c>
      <c r="C11" s="26" t="s">
        <v>101</v>
      </c>
      <c r="D11" s="48">
        <v>38718.0</v>
      </c>
      <c r="E11" s="49">
        <v>42500.0</v>
      </c>
      <c r="F11" s="26" t="s">
        <v>187</v>
      </c>
      <c r="G11" s="26" t="s">
        <v>188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</row>
    <row r="12">
      <c r="A12" s="26" t="s">
        <v>103</v>
      </c>
      <c r="B12" s="26" t="s">
        <v>104</v>
      </c>
      <c r="C12" s="26" t="s">
        <v>74</v>
      </c>
      <c r="D12" s="48">
        <v>38505.0</v>
      </c>
      <c r="E12" s="49">
        <v>69000.0</v>
      </c>
      <c r="F12" s="26" t="s">
        <v>187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</row>
    <row r="13">
      <c r="A13" s="26" t="s">
        <v>106</v>
      </c>
      <c r="B13" s="26" t="s">
        <v>107</v>
      </c>
      <c r="C13" s="26" t="s">
        <v>79</v>
      </c>
      <c r="D13" s="48">
        <v>36861.0</v>
      </c>
      <c r="E13" s="49">
        <v>49500.0</v>
      </c>
      <c r="F13" s="26" t="s">
        <v>187</v>
      </c>
      <c r="G13" s="26" t="s">
        <v>188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</row>
    <row r="14">
      <c r="A14" s="26" t="s">
        <v>109</v>
      </c>
      <c r="B14" s="26" t="s">
        <v>100</v>
      </c>
      <c r="C14" s="26" t="s">
        <v>110</v>
      </c>
      <c r="D14" s="48">
        <v>33267.0</v>
      </c>
      <c r="E14" s="49">
        <v>65000.0</v>
      </c>
      <c r="F14" s="26" t="s">
        <v>189</v>
      </c>
      <c r="G14" s="26" t="s">
        <v>190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</row>
    <row r="15">
      <c r="A15" s="26" t="s">
        <v>112</v>
      </c>
      <c r="B15" s="26" t="s">
        <v>113</v>
      </c>
      <c r="C15" s="26" t="s">
        <v>114</v>
      </c>
      <c r="D15" s="48">
        <v>36957.0</v>
      </c>
      <c r="E15" s="49">
        <v>18500.0</v>
      </c>
      <c r="F15" s="26" t="s">
        <v>187</v>
      </c>
      <c r="G15" s="26" t="s">
        <v>191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</row>
    <row r="16">
      <c r="A16" s="26" t="s">
        <v>116</v>
      </c>
      <c r="B16" s="26" t="s">
        <v>117</v>
      </c>
      <c r="C16" s="26" t="s">
        <v>118</v>
      </c>
      <c r="D16" s="48">
        <v>31510.0</v>
      </c>
      <c r="E16" s="49">
        <v>65000.0</v>
      </c>
      <c r="F16" s="26" t="s">
        <v>187</v>
      </c>
      <c r="G16" s="26" t="s">
        <v>190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</row>
    <row r="17">
      <c r="A17" s="26" t="s">
        <v>120</v>
      </c>
      <c r="B17" s="26" t="s">
        <v>121</v>
      </c>
      <c r="C17" s="26" t="s">
        <v>122</v>
      </c>
      <c r="D17" s="48">
        <v>37945.0</v>
      </c>
      <c r="E17" s="49">
        <v>58000.0</v>
      </c>
      <c r="F17" s="26" t="s">
        <v>189</v>
      </c>
      <c r="G17" s="26" t="s">
        <v>190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</row>
    <row r="18">
      <c r="A18" s="26" t="s">
        <v>124</v>
      </c>
      <c r="B18" s="26" t="s">
        <v>110</v>
      </c>
      <c r="C18" s="26" t="s">
        <v>125</v>
      </c>
      <c r="D18" s="48">
        <v>31147.0</v>
      </c>
      <c r="E18" s="49">
        <v>75000.0</v>
      </c>
      <c r="F18" s="26" t="s">
        <v>189</v>
      </c>
      <c r="G18" s="26" t="s">
        <v>190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</row>
    <row r="19">
      <c r="A19" s="26" t="s">
        <v>127</v>
      </c>
      <c r="B19" s="26" t="s">
        <v>128</v>
      </c>
      <c r="C19" s="26" t="s">
        <v>129</v>
      </c>
      <c r="D19" s="48">
        <v>33267.0</v>
      </c>
      <c r="E19" s="49">
        <v>58500.0</v>
      </c>
      <c r="F19" s="26" t="s">
        <v>189</v>
      </c>
      <c r="G19" s="26" t="s">
        <v>191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</row>
    <row r="20">
      <c r="A20" s="26" t="s">
        <v>131</v>
      </c>
      <c r="B20" s="26" t="s">
        <v>132</v>
      </c>
      <c r="C20" s="26" t="s">
        <v>133</v>
      </c>
      <c r="D20" s="48">
        <v>35992.0</v>
      </c>
      <c r="E20" s="49">
        <v>150000.0</v>
      </c>
      <c r="F20" s="26" t="s">
        <v>189</v>
      </c>
      <c r="G20" s="26" t="s">
        <v>190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</row>
    <row r="21">
      <c r="A21" s="26" t="s">
        <v>135</v>
      </c>
      <c r="B21" s="26" t="s">
        <v>136</v>
      </c>
      <c r="C21" s="26" t="s">
        <v>70</v>
      </c>
      <c r="D21" s="48">
        <v>37827.0</v>
      </c>
      <c r="E21" s="49">
        <v>45000.0</v>
      </c>
      <c r="F21" s="26" t="s">
        <v>187</v>
      </c>
      <c r="G21" s="26" t="s">
        <v>188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</row>
    <row r="22">
      <c r="A22" s="26" t="s">
        <v>138</v>
      </c>
      <c r="B22" s="26" t="s">
        <v>139</v>
      </c>
      <c r="C22" s="26" t="s">
        <v>140</v>
      </c>
      <c r="D22" s="48">
        <v>35964.0</v>
      </c>
      <c r="E22" s="49">
        <v>40000.0</v>
      </c>
      <c r="F22" s="26" t="s">
        <v>189</v>
      </c>
      <c r="G22" s="26" t="s">
        <v>191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</row>
    <row r="23">
      <c r="A23" s="26" t="s">
        <v>142</v>
      </c>
      <c r="B23" s="26" t="s">
        <v>143</v>
      </c>
      <c r="C23" s="26" t="s">
        <v>144</v>
      </c>
      <c r="D23" s="48">
        <v>30816.0</v>
      </c>
      <c r="E23" s="49">
        <v>79000.0</v>
      </c>
      <c r="F23" s="26" t="s">
        <v>187</v>
      </c>
      <c r="G23" s="26" t="s">
        <v>190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</row>
    <row r="24">
      <c r="A24" s="26" t="s">
        <v>146</v>
      </c>
      <c r="B24" s="26" t="s">
        <v>147</v>
      </c>
      <c r="C24" s="26" t="s">
        <v>118</v>
      </c>
      <c r="D24" s="48">
        <v>33770.0</v>
      </c>
      <c r="E24" s="49">
        <v>55000.0</v>
      </c>
      <c r="F24" s="26" t="s">
        <v>187</v>
      </c>
      <c r="G24" s="26" t="s">
        <v>188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</row>
    <row r="25">
      <c r="A25" s="26" t="s">
        <v>149</v>
      </c>
      <c r="B25" s="26" t="s">
        <v>150</v>
      </c>
      <c r="C25" s="26" t="s">
        <v>151</v>
      </c>
      <c r="D25" s="48">
        <v>38955.0</v>
      </c>
      <c r="E25" s="49">
        <v>23000.0</v>
      </c>
      <c r="F25" s="26" t="s">
        <v>189</v>
      </c>
      <c r="G25" s="26" t="s">
        <v>190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</row>
    <row r="26">
      <c r="A26" s="26" t="s">
        <v>153</v>
      </c>
      <c r="B26" s="26" t="s">
        <v>154</v>
      </c>
      <c r="C26" s="26" t="s">
        <v>129</v>
      </c>
      <c r="D26" s="48">
        <v>37533.0</v>
      </c>
      <c r="E26" s="49">
        <v>52000.0</v>
      </c>
      <c r="F26" s="26" t="s">
        <v>189</v>
      </c>
      <c r="G26" s="26" t="s">
        <v>191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</row>
    <row r="27">
      <c r="A27" s="26" t="s">
        <v>156</v>
      </c>
      <c r="B27" s="26" t="s">
        <v>157</v>
      </c>
      <c r="C27" s="26" t="s">
        <v>158</v>
      </c>
      <c r="D27" s="48">
        <v>35698.0</v>
      </c>
      <c r="E27" s="49">
        <v>38500.0</v>
      </c>
      <c r="F27" s="26" t="s">
        <v>187</v>
      </c>
      <c r="G27" s="26" t="s">
        <v>188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</row>
    <row r="28">
      <c r="A28" s="26" t="s">
        <v>160</v>
      </c>
      <c r="B28" s="26" t="s">
        <v>161</v>
      </c>
      <c r="C28" s="26" t="s">
        <v>129</v>
      </c>
      <c r="D28" s="48">
        <v>29427.0</v>
      </c>
      <c r="E28" s="49">
        <v>175000.0</v>
      </c>
      <c r="F28" s="26" t="s">
        <v>189</v>
      </c>
      <c r="G28" s="26" t="s">
        <v>190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3" t="s">
        <v>58</v>
      </c>
      <c r="B3" s="23" t="s">
        <v>59</v>
      </c>
      <c r="C3" s="23" t="s">
        <v>60</v>
      </c>
      <c r="D3" s="23" t="s">
        <v>61</v>
      </c>
      <c r="E3" s="23" t="s">
        <v>62</v>
      </c>
      <c r="F3" s="23" t="s">
        <v>185</v>
      </c>
      <c r="G3" s="23" t="s">
        <v>186</v>
      </c>
      <c r="H3" s="3"/>
      <c r="I3" s="2" t="s">
        <v>192</v>
      </c>
      <c r="J3" s="50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6" t="s">
        <v>68</v>
      </c>
      <c r="B4" s="26" t="s">
        <v>69</v>
      </c>
      <c r="C4" s="26" t="s">
        <v>70</v>
      </c>
      <c r="D4" s="48">
        <v>38261.0</v>
      </c>
      <c r="E4" s="49">
        <v>57500.0</v>
      </c>
      <c r="F4" s="26" t="s">
        <v>187</v>
      </c>
      <c r="G4" s="26" t="s">
        <v>188</v>
      </c>
      <c r="H4" s="3"/>
      <c r="I4" s="23" t="s">
        <v>58</v>
      </c>
      <c r="J4" s="23" t="s">
        <v>59</v>
      </c>
      <c r="K4" s="23" t="s">
        <v>60</v>
      </c>
      <c r="L4" s="23" t="s">
        <v>61</v>
      </c>
      <c r="M4" s="23" t="s">
        <v>62</v>
      </c>
      <c r="N4" s="23" t="s">
        <v>185</v>
      </c>
      <c r="O4" s="23" t="s">
        <v>186</v>
      </c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6" t="s">
        <v>72</v>
      </c>
      <c r="B5" s="26" t="s">
        <v>73</v>
      </c>
      <c r="C5" s="26" t="s">
        <v>74</v>
      </c>
      <c r="D5" s="48">
        <v>36906.0</v>
      </c>
      <c r="E5" s="49">
        <v>19500.0</v>
      </c>
      <c r="F5" s="26" t="s">
        <v>187</v>
      </c>
      <c r="G5" s="26" t="s">
        <v>188</v>
      </c>
      <c r="H5" s="3"/>
      <c r="I5" s="51" t="str">
        <f>IFERROR(__xludf.DUMMYFUNCTION("SORT(FILTER(EMPLOY,(GENDER=""M"") + (SALARY&gt;50000)), 5, TRUE)"),"767-74-7373")</f>
        <v>767-74-7373</v>
      </c>
      <c r="J5" s="3" t="str">
        <f>IFERROR(__xludf.DUMMYFUNCTION("""COMPUTED_VALUE"""),"Martin")</f>
        <v>Martin</v>
      </c>
      <c r="K5" s="3" t="str">
        <f>IFERROR(__xludf.DUMMYFUNCTION("""COMPUTED_VALUE"""),"William")</f>
        <v>William</v>
      </c>
      <c r="L5" s="48">
        <f>IFERROR(__xludf.DUMMYFUNCTION("""COMPUTED_VALUE"""),38955.0)</f>
        <v>38955</v>
      </c>
      <c r="M5" s="49">
        <f>IFERROR(__xludf.DUMMYFUNCTION("""COMPUTED_VALUE"""),23000.0)</f>
        <v>23000</v>
      </c>
      <c r="N5" s="3" t="str">
        <f>IFERROR(__xludf.DUMMYFUNCTION("""COMPUTED_VALUE"""),"M")</f>
        <v>M</v>
      </c>
      <c r="O5" s="3" t="str">
        <f>IFERROR(__xludf.DUMMYFUNCTION("""COMPUTED_VALUE"""),"Good")</f>
        <v>Good</v>
      </c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6" t="s">
        <v>77</v>
      </c>
      <c r="B6" s="26" t="s">
        <v>78</v>
      </c>
      <c r="C6" s="26" t="s">
        <v>79</v>
      </c>
      <c r="D6" s="48">
        <v>35501.0</v>
      </c>
      <c r="E6" s="49">
        <v>69000.0</v>
      </c>
      <c r="F6" s="26" t="s">
        <v>187</v>
      </c>
      <c r="G6" s="26" t="s">
        <v>188</v>
      </c>
      <c r="H6" s="3"/>
      <c r="I6" s="3" t="str">
        <f>IFERROR(__xludf.DUMMYFUNCTION("""COMPUTED_VALUE"""),"555-56-5555")</f>
        <v>555-56-5555</v>
      </c>
      <c r="J6" s="3" t="str">
        <f>IFERROR(__xludf.DUMMYFUNCTION("""COMPUTED_VALUE"""),"Charles")</f>
        <v>Charles</v>
      </c>
      <c r="K6" s="3" t="str">
        <f>IFERROR(__xludf.DUMMYFUNCTION("""COMPUTED_VALUE"""),"Kenneth")</f>
        <v>Kenneth</v>
      </c>
      <c r="L6" s="48">
        <f>IFERROR(__xludf.DUMMYFUNCTION("""COMPUTED_VALUE"""),35964.0)</f>
        <v>35964</v>
      </c>
      <c r="M6" s="49">
        <f>IFERROR(__xludf.DUMMYFUNCTION("""COMPUTED_VALUE"""),40000.0)</f>
        <v>40000</v>
      </c>
      <c r="N6" s="3" t="str">
        <f>IFERROR(__xludf.DUMMYFUNCTION("""COMPUTED_VALUE"""),"M")</f>
        <v>M</v>
      </c>
      <c r="O6" s="3" t="str">
        <f>IFERROR(__xludf.DUMMYFUNCTION("""COMPUTED_VALUE"""),"Poor")</f>
        <v>Poor</v>
      </c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6" t="s">
        <v>82</v>
      </c>
      <c r="B7" s="26" t="s">
        <v>83</v>
      </c>
      <c r="C7" s="26" t="s">
        <v>84</v>
      </c>
      <c r="D7" s="48">
        <v>38578.0</v>
      </c>
      <c r="E7" s="49">
        <v>55000.0</v>
      </c>
      <c r="F7" s="26" t="s">
        <v>189</v>
      </c>
      <c r="G7" s="26" t="s">
        <v>190</v>
      </c>
      <c r="H7" s="3"/>
      <c r="I7" s="3" t="str">
        <f>IFERROR(__xludf.DUMMYFUNCTION("""COMPUTED_VALUE"""),"111-12-1111")</f>
        <v>111-12-1111</v>
      </c>
      <c r="J7" s="3" t="str">
        <f>IFERROR(__xludf.DUMMYFUNCTION("""COMPUTED_VALUE"""),"Johnson")</f>
        <v>Johnson</v>
      </c>
      <c r="K7" s="3" t="str">
        <f>IFERROR(__xludf.DUMMYFUNCTION("""COMPUTED_VALUE"""),"James")</f>
        <v>James</v>
      </c>
      <c r="L7" s="48">
        <f>IFERROR(__xludf.DUMMYFUNCTION("""COMPUTED_VALUE"""),35188.0)</f>
        <v>35188</v>
      </c>
      <c r="M7" s="49">
        <f>IFERROR(__xludf.DUMMYFUNCTION("""COMPUTED_VALUE"""),47500.0)</f>
        <v>47500</v>
      </c>
      <c r="N7" s="3" t="str">
        <f>IFERROR(__xludf.DUMMYFUNCTION("""COMPUTED_VALUE"""),"M")</f>
        <v>M</v>
      </c>
      <c r="O7" s="3" t="str">
        <f>IFERROR(__xludf.DUMMYFUNCTION("""COMPUTED_VALUE"""),"Good")</f>
        <v>Good</v>
      </c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6" t="s">
        <v>87</v>
      </c>
      <c r="B8" s="26" t="s">
        <v>88</v>
      </c>
      <c r="C8" s="26" t="s">
        <v>89</v>
      </c>
      <c r="D8" s="48">
        <v>35188.0</v>
      </c>
      <c r="E8" s="49">
        <v>47500.0</v>
      </c>
      <c r="F8" s="26" t="s">
        <v>189</v>
      </c>
      <c r="G8" s="26" t="s">
        <v>190</v>
      </c>
      <c r="H8" s="3"/>
      <c r="I8" s="3" t="str">
        <f>IFERROR(__xludf.DUMMYFUNCTION("""COMPUTED_VALUE"""),"776-67-6666")</f>
        <v>776-67-6666</v>
      </c>
      <c r="J8" s="3" t="str">
        <f>IFERROR(__xludf.DUMMYFUNCTION("""COMPUTED_VALUE"""),"Adamson")</f>
        <v>Adamson</v>
      </c>
      <c r="K8" s="3" t="str">
        <f>IFERROR(__xludf.DUMMYFUNCTION("""COMPUTED_VALUE"""),"David")</f>
        <v>David</v>
      </c>
      <c r="L8" s="48">
        <f>IFERROR(__xludf.DUMMYFUNCTION("""COMPUTED_VALUE"""),37533.0)</f>
        <v>37533</v>
      </c>
      <c r="M8" s="49">
        <f>IFERROR(__xludf.DUMMYFUNCTION("""COMPUTED_VALUE"""),52000.0)</f>
        <v>52000</v>
      </c>
      <c r="N8" s="3" t="str">
        <f>IFERROR(__xludf.DUMMYFUNCTION("""COMPUTED_VALUE"""),"M")</f>
        <v>M</v>
      </c>
      <c r="O8" s="3" t="str">
        <f>IFERROR(__xludf.DUMMYFUNCTION("""COMPUTED_VALUE"""),"Poor")</f>
        <v>Poor</v>
      </c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6" t="s">
        <v>91</v>
      </c>
      <c r="B9" s="26" t="s">
        <v>92</v>
      </c>
      <c r="C9" s="26" t="s">
        <v>93</v>
      </c>
      <c r="D9" s="48">
        <v>34014.0</v>
      </c>
      <c r="E9" s="49">
        <v>100000.0</v>
      </c>
      <c r="F9" s="3"/>
      <c r="G9" s="26" t="s">
        <v>190</v>
      </c>
      <c r="H9" s="3"/>
      <c r="I9" s="3" t="str">
        <f>IFERROR(__xludf.DUMMYFUNCTION("""COMPUTED_VALUE"""),"109-87-6544")</f>
        <v>109-87-6544</v>
      </c>
      <c r="J9" s="3" t="str">
        <f>IFERROR(__xludf.DUMMYFUNCTION("""COMPUTED_VALUE"""),"Foster")</f>
        <v>Foster</v>
      </c>
      <c r="K9" s="3" t="str">
        <f>IFERROR(__xludf.DUMMYFUNCTION("""COMPUTED_VALUE"""),"Harold")</f>
        <v>Harold</v>
      </c>
      <c r="L9" s="48">
        <f>IFERROR(__xludf.DUMMYFUNCTION("""COMPUTED_VALUE"""),38578.0)</f>
        <v>38578</v>
      </c>
      <c r="M9" s="49">
        <f>IFERROR(__xludf.DUMMYFUNCTION("""COMPUTED_VALUE"""),55000.0)</f>
        <v>55000</v>
      </c>
      <c r="N9" s="3" t="str">
        <f>IFERROR(__xludf.DUMMYFUNCTION("""COMPUTED_VALUE"""),"M")</f>
        <v>M</v>
      </c>
      <c r="O9" s="3" t="str">
        <f>IFERROR(__xludf.DUMMYFUNCTION("""COMPUTED_VALUE"""),"Good")</f>
        <v>Good</v>
      </c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6" t="s">
        <v>95</v>
      </c>
      <c r="B10" s="26" t="s">
        <v>96</v>
      </c>
      <c r="C10" s="26" t="s">
        <v>97</v>
      </c>
      <c r="D10" s="48">
        <v>28212.0</v>
      </c>
      <c r="E10" s="49">
        <v>125000.0</v>
      </c>
      <c r="F10" s="26" t="s">
        <v>189</v>
      </c>
      <c r="G10" s="3"/>
      <c r="H10" s="3"/>
      <c r="I10" s="3" t="str">
        <f>IFERROR(__xludf.DUMMYFUNCTION("""COMPUTED_VALUE"""),"625-62-6262")</f>
        <v>625-62-6262</v>
      </c>
      <c r="J10" s="3" t="str">
        <f>IFERROR(__xludf.DUMMYFUNCTION("""COMPUTED_VALUE"""),"Holmes")</f>
        <v>Holmes</v>
      </c>
      <c r="K10" s="3" t="str">
        <f>IFERROR(__xludf.DUMMYFUNCTION("""COMPUTED_VALUE"""),"Holly")</f>
        <v>Holly</v>
      </c>
      <c r="L10" s="48">
        <f>IFERROR(__xludf.DUMMYFUNCTION("""COMPUTED_VALUE"""),33770.0)</f>
        <v>33770</v>
      </c>
      <c r="M10" s="49">
        <f>IFERROR(__xludf.DUMMYFUNCTION("""COMPUTED_VALUE"""),55000.0)</f>
        <v>55000</v>
      </c>
      <c r="N10" s="3" t="str">
        <f>IFERROR(__xludf.DUMMYFUNCTION("""COMPUTED_VALUE"""),"F")</f>
        <v>F</v>
      </c>
      <c r="O10" s="3" t="str">
        <f>IFERROR(__xludf.DUMMYFUNCTION("""COMPUTED_VALUE"""),"Average")</f>
        <v>Average</v>
      </c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6" t="s">
        <v>99</v>
      </c>
      <c r="B11" s="26" t="s">
        <v>100</v>
      </c>
      <c r="C11" s="26" t="s">
        <v>101</v>
      </c>
      <c r="D11" s="48">
        <v>38718.0</v>
      </c>
      <c r="E11" s="49">
        <v>42500.0</v>
      </c>
      <c r="F11" s="26" t="s">
        <v>187</v>
      </c>
      <c r="G11" s="26" t="s">
        <v>188</v>
      </c>
      <c r="H11" s="3"/>
      <c r="I11" s="3" t="str">
        <f>IFERROR(__xludf.DUMMYFUNCTION("""COMPUTED_VALUE"""),"000-01-0000")</f>
        <v>000-01-0000</v>
      </c>
      <c r="J11" s="3" t="str">
        <f>IFERROR(__xludf.DUMMYFUNCTION("""COMPUTED_VALUE"""),"Milgrom")</f>
        <v>Milgrom</v>
      </c>
      <c r="K11" s="3" t="str">
        <f>IFERROR(__xludf.DUMMYFUNCTION("""COMPUTED_VALUE"""),"Patricia")</f>
        <v>Patricia</v>
      </c>
      <c r="L11" s="48">
        <f>IFERROR(__xludf.DUMMYFUNCTION("""COMPUTED_VALUE"""),38261.0)</f>
        <v>38261</v>
      </c>
      <c r="M11" s="49">
        <f>IFERROR(__xludf.DUMMYFUNCTION("""COMPUTED_VALUE"""),57500.0)</f>
        <v>57500</v>
      </c>
      <c r="N11" s="3" t="str">
        <f>IFERROR(__xludf.DUMMYFUNCTION("""COMPUTED_VALUE"""),"F")</f>
        <v>F</v>
      </c>
      <c r="O11" s="3" t="str">
        <f>IFERROR(__xludf.DUMMYFUNCTION("""COMPUTED_VALUE"""),"Average")</f>
        <v>Average</v>
      </c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6" t="s">
        <v>103</v>
      </c>
      <c r="B12" s="26" t="s">
        <v>104</v>
      </c>
      <c r="C12" s="26" t="s">
        <v>74</v>
      </c>
      <c r="D12" s="48">
        <v>38505.0</v>
      </c>
      <c r="E12" s="49">
        <v>69000.0</v>
      </c>
      <c r="F12" s="26" t="s">
        <v>187</v>
      </c>
      <c r="G12" s="3"/>
      <c r="H12" s="3"/>
      <c r="I12" s="3" t="str">
        <f>IFERROR(__xludf.DUMMYFUNCTION("""COMPUTED_VALUE"""),"432-19-8765")</f>
        <v>432-19-8765</v>
      </c>
      <c r="J12" s="3" t="str">
        <f>IFERROR(__xludf.DUMMYFUNCTION("""COMPUTED_VALUE"""),"Bronson")</f>
        <v>Bronson</v>
      </c>
      <c r="K12" s="3" t="str">
        <f>IFERROR(__xludf.DUMMYFUNCTION("""COMPUTED_VALUE"""),"Paul")</f>
        <v>Paul</v>
      </c>
      <c r="L12" s="48">
        <f>IFERROR(__xludf.DUMMYFUNCTION("""COMPUTED_VALUE"""),37945.0)</f>
        <v>37945</v>
      </c>
      <c r="M12" s="49">
        <f>IFERROR(__xludf.DUMMYFUNCTION("""COMPUTED_VALUE"""),58000.0)</f>
        <v>58000</v>
      </c>
      <c r="N12" s="3" t="str">
        <f>IFERROR(__xludf.DUMMYFUNCTION("""COMPUTED_VALUE"""),"M")</f>
        <v>M</v>
      </c>
      <c r="O12" s="3" t="str">
        <f>IFERROR(__xludf.DUMMYFUNCTION("""COMPUTED_VALUE"""),"Good")</f>
        <v>Good</v>
      </c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6" t="s">
        <v>106</v>
      </c>
      <c r="B13" s="26" t="s">
        <v>107</v>
      </c>
      <c r="C13" s="26" t="s">
        <v>79</v>
      </c>
      <c r="D13" s="48">
        <v>36861.0</v>
      </c>
      <c r="E13" s="49">
        <v>49500.0</v>
      </c>
      <c r="F13" s="26" t="s">
        <v>187</v>
      </c>
      <c r="G13" s="26" t="s">
        <v>188</v>
      </c>
      <c r="H13" s="3"/>
      <c r="I13" s="3" t="str">
        <f>IFERROR(__xludf.DUMMYFUNCTION("""COMPUTED_VALUE"""),"464-64-4466")</f>
        <v>464-64-4466</v>
      </c>
      <c r="J13" s="3" t="str">
        <f>IFERROR(__xludf.DUMMYFUNCTION("""COMPUTED_VALUE"""),"Webster")</f>
        <v>Webster</v>
      </c>
      <c r="K13" s="3" t="str">
        <f>IFERROR(__xludf.DUMMYFUNCTION("""COMPUTED_VALUE"""),"David")</f>
        <v>David</v>
      </c>
      <c r="L13" s="48">
        <f>IFERROR(__xludf.DUMMYFUNCTION("""COMPUTED_VALUE"""),33267.0)</f>
        <v>33267</v>
      </c>
      <c r="M13" s="49">
        <f>IFERROR(__xludf.DUMMYFUNCTION("""COMPUTED_VALUE"""),58500.0)</f>
        <v>58500</v>
      </c>
      <c r="N13" s="3" t="str">
        <f>IFERROR(__xludf.DUMMYFUNCTION("""COMPUTED_VALUE"""),"M")</f>
        <v>M</v>
      </c>
      <c r="O13" s="3" t="str">
        <f>IFERROR(__xludf.DUMMYFUNCTION("""COMPUTED_VALUE"""),"Poor")</f>
        <v>Poor</v>
      </c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6" t="s">
        <v>109</v>
      </c>
      <c r="B14" s="26" t="s">
        <v>100</v>
      </c>
      <c r="C14" s="26" t="s">
        <v>110</v>
      </c>
      <c r="D14" s="48">
        <v>33267.0</v>
      </c>
      <c r="E14" s="49">
        <v>65000.0</v>
      </c>
      <c r="F14" s="26" t="s">
        <v>189</v>
      </c>
      <c r="G14" s="26" t="s">
        <v>190</v>
      </c>
      <c r="H14" s="3"/>
      <c r="I14" s="3" t="str">
        <f>IFERROR(__xludf.DUMMYFUNCTION("""COMPUTED_VALUE"""),"333-43-4444")</f>
        <v>333-43-4444</v>
      </c>
      <c r="J14" s="3" t="str">
        <f>IFERROR(__xludf.DUMMYFUNCTION("""COMPUTED_VALUE"""),"Smith")</f>
        <v>Smith</v>
      </c>
      <c r="K14" s="3" t="str">
        <f>IFERROR(__xludf.DUMMYFUNCTION("""COMPUTED_VALUE"""),"Frank")</f>
        <v>Frank</v>
      </c>
      <c r="L14" s="48">
        <f>IFERROR(__xludf.DUMMYFUNCTION("""COMPUTED_VALUE"""),33267.0)</f>
        <v>33267</v>
      </c>
      <c r="M14" s="49">
        <f>IFERROR(__xludf.DUMMYFUNCTION("""COMPUTED_VALUE"""),65000.0)</f>
        <v>65000</v>
      </c>
      <c r="N14" s="3" t="str">
        <f>IFERROR(__xludf.DUMMYFUNCTION("""COMPUTED_VALUE"""),"M")</f>
        <v>M</v>
      </c>
      <c r="O14" s="3" t="str">
        <f>IFERROR(__xludf.DUMMYFUNCTION("""COMPUTED_VALUE"""),"Good")</f>
        <v>Good</v>
      </c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6" t="s">
        <v>112</v>
      </c>
      <c r="B15" s="26" t="s">
        <v>113</v>
      </c>
      <c r="C15" s="26" t="s">
        <v>114</v>
      </c>
      <c r="D15" s="48">
        <v>36957.0</v>
      </c>
      <c r="E15" s="49">
        <v>18500.0</v>
      </c>
      <c r="F15" s="26" t="s">
        <v>187</v>
      </c>
      <c r="G15" s="26" t="s">
        <v>191</v>
      </c>
      <c r="H15" s="3"/>
      <c r="I15" s="3" t="str">
        <f>IFERROR(__xludf.DUMMYFUNCTION("""COMPUTED_VALUE"""),"335-55-5533")</f>
        <v>335-55-5533</v>
      </c>
      <c r="J15" s="3" t="str">
        <f>IFERROR(__xludf.DUMMYFUNCTION("""COMPUTED_VALUE"""),"Jones")</f>
        <v>Jones</v>
      </c>
      <c r="K15" s="3" t="str">
        <f>IFERROR(__xludf.DUMMYFUNCTION("""COMPUTED_VALUE"""),"Holly")</f>
        <v>Holly</v>
      </c>
      <c r="L15" s="48">
        <f>IFERROR(__xludf.DUMMYFUNCTION("""COMPUTED_VALUE"""),31510.0)</f>
        <v>31510</v>
      </c>
      <c r="M15" s="49">
        <f>IFERROR(__xludf.DUMMYFUNCTION("""COMPUTED_VALUE"""),65000.0)</f>
        <v>65000</v>
      </c>
      <c r="N15" s="3" t="str">
        <f>IFERROR(__xludf.DUMMYFUNCTION("""COMPUTED_VALUE"""),"F")</f>
        <v>F</v>
      </c>
      <c r="O15" s="3" t="str">
        <f>IFERROR(__xludf.DUMMYFUNCTION("""COMPUTED_VALUE"""),"Good")</f>
        <v>Good</v>
      </c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6" t="s">
        <v>116</v>
      </c>
      <c r="B16" s="26" t="s">
        <v>117</v>
      </c>
      <c r="C16" s="26" t="s">
        <v>118</v>
      </c>
      <c r="D16" s="48">
        <v>31510.0</v>
      </c>
      <c r="E16" s="49">
        <v>65000.0</v>
      </c>
      <c r="F16" s="26" t="s">
        <v>187</v>
      </c>
      <c r="G16" s="26" t="s">
        <v>190</v>
      </c>
      <c r="H16" s="3"/>
      <c r="I16" s="3" t="str">
        <f>IFERROR(__xludf.DUMMYFUNCTION("""COMPUTED_VALUE"""),"109-87-6543")</f>
        <v>109-87-6543</v>
      </c>
      <c r="J16" s="3" t="str">
        <f>IFERROR(__xludf.DUMMYFUNCTION("""COMPUTED_VALUE"""),"Wood")</f>
        <v>Wood</v>
      </c>
      <c r="K16" s="3" t="str">
        <f>IFERROR(__xludf.DUMMYFUNCTION("""COMPUTED_VALUE"""),"Emily")</f>
        <v>Emily</v>
      </c>
      <c r="L16" s="48">
        <f>IFERROR(__xludf.DUMMYFUNCTION("""COMPUTED_VALUE"""),35501.0)</f>
        <v>35501</v>
      </c>
      <c r="M16" s="49">
        <f>IFERROR(__xludf.DUMMYFUNCTION("""COMPUTED_VALUE"""),69000.0)</f>
        <v>69000</v>
      </c>
      <c r="N16" s="3" t="str">
        <f>IFERROR(__xludf.DUMMYFUNCTION("""COMPUTED_VALUE"""),"F")</f>
        <v>F</v>
      </c>
      <c r="O16" s="3" t="str">
        <f>IFERROR(__xludf.DUMMYFUNCTION("""COMPUTED_VALUE"""),"Average")</f>
        <v>Average</v>
      </c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6" t="s">
        <v>120</v>
      </c>
      <c r="B17" s="26" t="s">
        <v>121</v>
      </c>
      <c r="C17" s="26" t="s">
        <v>122</v>
      </c>
      <c r="D17" s="48">
        <v>37945.0</v>
      </c>
      <c r="E17" s="49">
        <v>58000.0</v>
      </c>
      <c r="F17" s="26" t="s">
        <v>189</v>
      </c>
      <c r="G17" s="26" t="s">
        <v>190</v>
      </c>
      <c r="H17" s="3"/>
      <c r="I17" s="3" t="str">
        <f>IFERROR(__xludf.DUMMYFUNCTION("""COMPUTED_VALUE"""),"245-67-8910")</f>
        <v>245-67-8910</v>
      </c>
      <c r="J17" s="3" t="str">
        <f>IFERROR(__xludf.DUMMYFUNCTION("""COMPUTED_VALUE"""),"Johanson")</f>
        <v>Johanson</v>
      </c>
      <c r="K17" s="3" t="str">
        <f>IFERROR(__xludf.DUMMYFUNCTION("""COMPUTED_VALUE"""),"Sandy")</f>
        <v>Sandy</v>
      </c>
      <c r="L17" s="48">
        <f>IFERROR(__xludf.DUMMYFUNCTION("""COMPUTED_VALUE"""),38505.0)</f>
        <v>38505</v>
      </c>
      <c r="M17" s="49">
        <f>IFERROR(__xludf.DUMMYFUNCTION("""COMPUTED_VALUE"""),69000.0)</f>
        <v>69000</v>
      </c>
      <c r="N17" s="3" t="str">
        <f>IFERROR(__xludf.DUMMYFUNCTION("""COMPUTED_VALUE"""),"F")</f>
        <v>F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6" t="s">
        <v>124</v>
      </c>
      <c r="B18" s="26" t="s">
        <v>110</v>
      </c>
      <c r="C18" s="26" t="s">
        <v>125</v>
      </c>
      <c r="D18" s="48">
        <v>31147.0</v>
      </c>
      <c r="E18" s="49">
        <v>75000.0</v>
      </c>
      <c r="F18" s="26" t="s">
        <v>189</v>
      </c>
      <c r="G18" s="26" t="s">
        <v>190</v>
      </c>
      <c r="H18" s="3"/>
      <c r="I18" s="3" t="str">
        <f>IFERROR(__xludf.DUMMYFUNCTION("""COMPUTED_VALUE"""),"444-45-4444")</f>
        <v>444-45-4444</v>
      </c>
      <c r="J18" s="3" t="str">
        <f>IFERROR(__xludf.DUMMYFUNCTION("""COMPUTED_VALUE"""),"Frank")</f>
        <v>Frank</v>
      </c>
      <c r="K18" s="3" t="str">
        <f>IFERROR(__xludf.DUMMYFUNCTION("""COMPUTED_VALUE"""),"Vernon")</f>
        <v>Vernon</v>
      </c>
      <c r="L18" s="48">
        <f>IFERROR(__xludf.DUMMYFUNCTION("""COMPUTED_VALUE"""),31147.0)</f>
        <v>31147</v>
      </c>
      <c r="M18" s="49">
        <f>IFERROR(__xludf.DUMMYFUNCTION("""COMPUTED_VALUE"""),75000.0)</f>
        <v>75000</v>
      </c>
      <c r="N18" s="3" t="str">
        <f>IFERROR(__xludf.DUMMYFUNCTION("""COMPUTED_VALUE"""),"M")</f>
        <v>M</v>
      </c>
      <c r="O18" s="3" t="str">
        <f>IFERROR(__xludf.DUMMYFUNCTION("""COMPUTED_VALUE"""),"Good")</f>
        <v>Good</v>
      </c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6" t="s">
        <v>127</v>
      </c>
      <c r="B19" s="26" t="s">
        <v>128</v>
      </c>
      <c r="C19" s="26" t="s">
        <v>129</v>
      </c>
      <c r="D19" s="48">
        <v>33267.0</v>
      </c>
      <c r="E19" s="49">
        <v>58500.0</v>
      </c>
      <c r="F19" s="26" t="s">
        <v>189</v>
      </c>
      <c r="G19" s="26" t="s">
        <v>191</v>
      </c>
      <c r="H19" s="3"/>
      <c r="I19" s="3" t="str">
        <f>IFERROR(__xludf.DUMMYFUNCTION("""COMPUTED_VALUE"""),"612-99-1111")</f>
        <v>612-99-1111</v>
      </c>
      <c r="J19" s="3" t="str">
        <f>IFERROR(__xludf.DUMMYFUNCTION("""COMPUTED_VALUE"""),"Roberts")</f>
        <v>Roberts</v>
      </c>
      <c r="K19" s="3" t="str">
        <f>IFERROR(__xludf.DUMMYFUNCTION("""COMPUTED_VALUE"""),"Melissa")</f>
        <v>Melissa</v>
      </c>
      <c r="L19" s="48">
        <f>IFERROR(__xludf.DUMMYFUNCTION("""COMPUTED_VALUE"""),30816.0)</f>
        <v>30816</v>
      </c>
      <c r="M19" s="49">
        <f>IFERROR(__xludf.DUMMYFUNCTION("""COMPUTED_VALUE"""),79000.0)</f>
        <v>79000</v>
      </c>
      <c r="N19" s="3" t="str">
        <f>IFERROR(__xludf.DUMMYFUNCTION("""COMPUTED_VALUE"""),"F")</f>
        <v>F</v>
      </c>
      <c r="O19" s="3" t="str">
        <f>IFERROR(__xludf.DUMMYFUNCTION("""COMPUTED_VALUE"""),"Good")</f>
        <v>Good</v>
      </c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6" t="s">
        <v>131</v>
      </c>
      <c r="B20" s="26" t="s">
        <v>132</v>
      </c>
      <c r="C20" s="26" t="s">
        <v>133</v>
      </c>
      <c r="D20" s="48">
        <v>35992.0</v>
      </c>
      <c r="E20" s="49">
        <v>150000.0</v>
      </c>
      <c r="F20" s="26" t="s">
        <v>189</v>
      </c>
      <c r="G20" s="26" t="s">
        <v>190</v>
      </c>
      <c r="H20" s="3"/>
      <c r="I20" s="3" t="str">
        <f>IFERROR(__xludf.DUMMYFUNCTION("""COMPUTED_VALUE"""),"123-45-6789")</f>
        <v>123-45-6789</v>
      </c>
      <c r="J20" s="3" t="str">
        <f>IFERROR(__xludf.DUMMYFUNCTION("""COMPUTED_VALUE"""),"Coulter")</f>
        <v>Coulter</v>
      </c>
      <c r="K20" s="3" t="str">
        <f>IFERROR(__xludf.DUMMYFUNCTION("""COMPUTED_VALUE"""),"Tracy")</f>
        <v>Tracy</v>
      </c>
      <c r="L20" s="48">
        <f>IFERROR(__xludf.DUMMYFUNCTION("""COMPUTED_VALUE"""),34014.0)</f>
        <v>34014</v>
      </c>
      <c r="M20" s="49">
        <f>IFERROR(__xludf.DUMMYFUNCTION("""COMPUTED_VALUE"""),100000.0)</f>
        <v>100000</v>
      </c>
      <c r="N20" s="3"/>
      <c r="O20" s="3" t="str">
        <f>IFERROR(__xludf.DUMMYFUNCTION("""COMPUTED_VALUE"""),"Good")</f>
        <v>Good</v>
      </c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6" t="s">
        <v>135</v>
      </c>
      <c r="B21" s="26" t="s">
        <v>136</v>
      </c>
      <c r="C21" s="26" t="s">
        <v>70</v>
      </c>
      <c r="D21" s="48">
        <v>37827.0</v>
      </c>
      <c r="E21" s="49">
        <v>45000.0</v>
      </c>
      <c r="F21" s="26" t="s">
        <v>187</v>
      </c>
      <c r="G21" s="26" t="s">
        <v>188</v>
      </c>
      <c r="H21" s="3"/>
      <c r="I21" s="3" t="str">
        <f>IFERROR(__xludf.DUMMYFUNCTION("""COMPUTED_VALUE"""),"222-23-2222")</f>
        <v>222-23-2222</v>
      </c>
      <c r="J21" s="3" t="str">
        <f>IFERROR(__xludf.DUMMYFUNCTION("""COMPUTED_VALUE"""),"Marlin")</f>
        <v>Marlin</v>
      </c>
      <c r="K21" s="3" t="str">
        <f>IFERROR(__xludf.DUMMYFUNCTION("""COMPUTED_VALUE"""),"Bill")</f>
        <v>Bill</v>
      </c>
      <c r="L21" s="48">
        <f>IFERROR(__xludf.DUMMYFUNCTION("""COMPUTED_VALUE"""),28212.0)</f>
        <v>28212</v>
      </c>
      <c r="M21" s="49">
        <f>IFERROR(__xludf.DUMMYFUNCTION("""COMPUTED_VALUE"""),125000.0)</f>
        <v>125000</v>
      </c>
      <c r="N21" s="3" t="str">
        <f>IFERROR(__xludf.DUMMYFUNCTION("""COMPUTED_VALUE"""),"M")</f>
        <v>M</v>
      </c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6" t="s">
        <v>138</v>
      </c>
      <c r="B22" s="26" t="s">
        <v>139</v>
      </c>
      <c r="C22" s="26" t="s">
        <v>140</v>
      </c>
      <c r="D22" s="48">
        <v>35964.0</v>
      </c>
      <c r="E22" s="49">
        <v>40000.0</v>
      </c>
      <c r="F22" s="26" t="s">
        <v>189</v>
      </c>
      <c r="G22" s="26" t="s">
        <v>191</v>
      </c>
      <c r="H22" s="3"/>
      <c r="I22" s="3" t="str">
        <f>IFERROR(__xludf.DUMMYFUNCTION("""COMPUTED_VALUE"""),"500-50-0505")</f>
        <v>500-50-0505</v>
      </c>
      <c r="J22" s="3" t="str">
        <f>IFERROR(__xludf.DUMMYFUNCTION("""COMPUTED_VALUE"""),"Rodriguez")</f>
        <v>Rodriguez</v>
      </c>
      <c r="K22" s="3" t="str">
        <f>IFERROR(__xludf.DUMMYFUNCTION("""COMPUTED_VALUE"""),"Jose")</f>
        <v>Jose</v>
      </c>
      <c r="L22" s="48">
        <f>IFERROR(__xludf.DUMMYFUNCTION("""COMPUTED_VALUE"""),35992.0)</f>
        <v>35992</v>
      </c>
      <c r="M22" s="49">
        <f>IFERROR(__xludf.DUMMYFUNCTION("""COMPUTED_VALUE"""),150000.0)</f>
        <v>150000</v>
      </c>
      <c r="N22" s="3" t="str">
        <f>IFERROR(__xludf.DUMMYFUNCTION("""COMPUTED_VALUE"""),"M")</f>
        <v>M</v>
      </c>
      <c r="O22" s="3" t="str">
        <f>IFERROR(__xludf.DUMMYFUNCTION("""COMPUTED_VALUE"""),"Good")</f>
        <v>Good</v>
      </c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6" t="s">
        <v>142</v>
      </c>
      <c r="B23" s="26" t="s">
        <v>143</v>
      </c>
      <c r="C23" s="26" t="s">
        <v>144</v>
      </c>
      <c r="D23" s="48">
        <v>30816.0</v>
      </c>
      <c r="E23" s="49">
        <v>79000.0</v>
      </c>
      <c r="F23" s="26" t="s">
        <v>187</v>
      </c>
      <c r="G23" s="26" t="s">
        <v>190</v>
      </c>
      <c r="H23" s="3"/>
      <c r="I23" s="3" t="str">
        <f>IFERROR(__xludf.DUMMYFUNCTION("""COMPUTED_VALUE"""),"925-45-7116")</f>
        <v>925-45-7116</v>
      </c>
      <c r="J23" s="3" t="str">
        <f>IFERROR(__xludf.DUMMYFUNCTION("""COMPUTED_VALUE"""),"Whitehead")</f>
        <v>Whitehead</v>
      </c>
      <c r="K23" s="3" t="str">
        <f>IFERROR(__xludf.DUMMYFUNCTION("""COMPUTED_VALUE"""),"David")</f>
        <v>David</v>
      </c>
      <c r="L23" s="48">
        <f>IFERROR(__xludf.DUMMYFUNCTION("""COMPUTED_VALUE"""),29427.0)</f>
        <v>29427</v>
      </c>
      <c r="M23" s="49">
        <f>IFERROR(__xludf.DUMMYFUNCTION("""COMPUTED_VALUE"""),175000.0)</f>
        <v>175000</v>
      </c>
      <c r="N23" s="3" t="str">
        <f>IFERROR(__xludf.DUMMYFUNCTION("""COMPUTED_VALUE"""),"M")</f>
        <v>M</v>
      </c>
      <c r="O23" s="3" t="str">
        <f>IFERROR(__xludf.DUMMYFUNCTION("""COMPUTED_VALUE"""),"Good")</f>
        <v>Good</v>
      </c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6" t="s">
        <v>146</v>
      </c>
      <c r="B24" s="26" t="s">
        <v>147</v>
      </c>
      <c r="C24" s="26" t="s">
        <v>118</v>
      </c>
      <c r="D24" s="48">
        <v>33770.0</v>
      </c>
      <c r="E24" s="49">
        <v>55000.0</v>
      </c>
      <c r="F24" s="26" t="s">
        <v>187</v>
      </c>
      <c r="G24" s="26" t="s">
        <v>188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6" t="s">
        <v>149</v>
      </c>
      <c r="B25" s="26" t="s">
        <v>150</v>
      </c>
      <c r="C25" s="26" t="s">
        <v>151</v>
      </c>
      <c r="D25" s="48">
        <v>38955.0</v>
      </c>
      <c r="E25" s="49">
        <v>23000.0</v>
      </c>
      <c r="F25" s="26" t="s">
        <v>189</v>
      </c>
      <c r="G25" s="26" t="s">
        <v>190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6" t="s">
        <v>153</v>
      </c>
      <c r="B26" s="26" t="s">
        <v>154</v>
      </c>
      <c r="C26" s="26" t="s">
        <v>129</v>
      </c>
      <c r="D26" s="48">
        <v>37533.0</v>
      </c>
      <c r="E26" s="49">
        <v>52000.0</v>
      </c>
      <c r="F26" s="26" t="s">
        <v>189</v>
      </c>
      <c r="G26" s="26" t="s">
        <v>191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6" t="s">
        <v>156</v>
      </c>
      <c r="B27" s="26" t="s">
        <v>157</v>
      </c>
      <c r="C27" s="26" t="s">
        <v>158</v>
      </c>
      <c r="D27" s="48">
        <v>35698.0</v>
      </c>
      <c r="E27" s="49">
        <v>38500.0</v>
      </c>
      <c r="F27" s="26" t="s">
        <v>187</v>
      </c>
      <c r="G27" s="26" t="s">
        <v>188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6" t="s">
        <v>160</v>
      </c>
      <c r="B28" s="26" t="s">
        <v>161</v>
      </c>
      <c r="C28" s="26" t="s">
        <v>129</v>
      </c>
      <c r="D28" s="48">
        <v>29427.0</v>
      </c>
      <c r="E28" s="49">
        <v>175000.0</v>
      </c>
      <c r="F28" s="26" t="s">
        <v>189</v>
      </c>
      <c r="G28" s="26" t="s">
        <v>190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52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autoFilter ref="$A$3:$G$28"/>
  <customSheetViews>
    <customSheetView guid="{FDD6DA81-9F61-454E-BBDB-426069B733FE}" filter="1" showAutoFilter="1">
      <autoFilter ref="$A$3:$G$28">
        <filterColumn colId="4">
          <customFilters>
            <customFilter operator="greaterThan" val="85000"/>
          </customFilters>
        </filterColumn>
        <filterColumn colId="5">
          <filters>
            <filter val="F"/>
            <filter val="M"/>
          </filters>
        </filterColumn>
      </autoFilter>
    </customSheetView>
  </customSheetView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12</v>
      </c>
      <c r="B1" s="3"/>
      <c r="C1" s="3"/>
      <c r="D1" s="3"/>
      <c r="E1" s="3"/>
      <c r="F1" s="3"/>
      <c r="G1" s="3"/>
      <c r="H1" s="7" t="s">
        <v>193</v>
      </c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7"/>
      <c r="H2" s="7" t="s">
        <v>194</v>
      </c>
      <c r="I2" s="53" t="s">
        <v>195</v>
      </c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3" t="s">
        <v>58</v>
      </c>
      <c r="B3" s="23" t="s">
        <v>59</v>
      </c>
      <c r="C3" s="23" t="s">
        <v>60</v>
      </c>
      <c r="D3" s="23" t="s">
        <v>61</v>
      </c>
      <c r="E3" s="23" t="s">
        <v>62</v>
      </c>
      <c r="F3" s="23" t="s">
        <v>185</v>
      </c>
      <c r="G3" s="23" t="s">
        <v>186</v>
      </c>
      <c r="H3" s="54" t="s">
        <v>196</v>
      </c>
      <c r="I3" s="55" t="s">
        <v>197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6" t="s">
        <v>68</v>
      </c>
      <c r="B4" s="26" t="s">
        <v>69</v>
      </c>
      <c r="C4" s="26" t="s">
        <v>70</v>
      </c>
      <c r="D4" s="48">
        <v>38261.0</v>
      </c>
      <c r="E4" s="49">
        <v>57500.0</v>
      </c>
      <c r="F4" s="26" t="s">
        <v>187</v>
      </c>
      <c r="G4" s="26" t="s">
        <v>188</v>
      </c>
      <c r="H4" s="3">
        <f t="array" ref="H4:H28">IF(E4:E28&gt;50000,1,0)</f>
        <v>1</v>
      </c>
      <c r="I4" s="3" t="str">
        <f t="array" ref="I4:I28">IFS(E4:E28&lt;50000, "Junior",
E4:E28&lt;=90000, "Manager",
E4:E28&gt;90000, "VP")</f>
        <v>Manager</v>
      </c>
      <c r="J4" s="7"/>
      <c r="K4" s="7" t="s">
        <v>198</v>
      </c>
      <c r="L4" s="56" t="s">
        <v>197</v>
      </c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6" t="s">
        <v>72</v>
      </c>
      <c r="B5" s="26" t="s">
        <v>73</v>
      </c>
      <c r="C5" s="26" t="s">
        <v>74</v>
      </c>
      <c r="D5" s="48">
        <v>36906.0</v>
      </c>
      <c r="E5" s="49">
        <v>19500.0</v>
      </c>
      <c r="F5" s="26" t="s">
        <v>187</v>
      </c>
      <c r="G5" s="26" t="s">
        <v>188</v>
      </c>
      <c r="H5" s="3">
        <v>0.0</v>
      </c>
      <c r="I5" s="3" t="s">
        <v>199</v>
      </c>
      <c r="J5" s="3"/>
      <c r="K5" s="7" t="s">
        <v>200</v>
      </c>
      <c r="L5" s="7" t="s">
        <v>199</v>
      </c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6" t="s">
        <v>77</v>
      </c>
      <c r="B6" s="26" t="s">
        <v>78</v>
      </c>
      <c r="C6" s="26" t="s">
        <v>79</v>
      </c>
      <c r="D6" s="48">
        <v>35501.0</v>
      </c>
      <c r="E6" s="49">
        <v>69000.0</v>
      </c>
      <c r="F6" s="26" t="s">
        <v>187</v>
      </c>
      <c r="G6" s="26" t="s">
        <v>188</v>
      </c>
      <c r="H6" s="3">
        <v>1.0</v>
      </c>
      <c r="I6" s="3" t="s">
        <v>201</v>
      </c>
      <c r="J6" s="3"/>
      <c r="K6" s="7" t="s">
        <v>202</v>
      </c>
      <c r="L6" s="7" t="s">
        <v>201</v>
      </c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6" t="s">
        <v>82</v>
      </c>
      <c r="B7" s="26" t="s">
        <v>83</v>
      </c>
      <c r="C7" s="26" t="s">
        <v>84</v>
      </c>
      <c r="D7" s="48">
        <v>38578.0</v>
      </c>
      <c r="E7" s="49">
        <v>55000.0</v>
      </c>
      <c r="F7" s="26" t="s">
        <v>189</v>
      </c>
      <c r="G7" s="26" t="s">
        <v>190</v>
      </c>
      <c r="H7" s="3">
        <v>1.0</v>
      </c>
      <c r="I7" s="3" t="s">
        <v>201</v>
      </c>
      <c r="J7" s="3"/>
      <c r="K7" s="7" t="s">
        <v>203</v>
      </c>
      <c r="L7" s="7" t="s">
        <v>204</v>
      </c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6" t="s">
        <v>87</v>
      </c>
      <c r="B8" s="26" t="s">
        <v>88</v>
      </c>
      <c r="C8" s="26" t="s">
        <v>89</v>
      </c>
      <c r="D8" s="48">
        <v>35188.0</v>
      </c>
      <c r="E8" s="49">
        <v>47500.0</v>
      </c>
      <c r="F8" s="26" t="s">
        <v>189</v>
      </c>
      <c r="G8" s="26" t="s">
        <v>190</v>
      </c>
      <c r="H8" s="3">
        <v>0.0</v>
      </c>
      <c r="I8" s="3" t="s">
        <v>199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6" t="s">
        <v>91</v>
      </c>
      <c r="B9" s="26" t="s">
        <v>92</v>
      </c>
      <c r="C9" s="26" t="s">
        <v>93</v>
      </c>
      <c r="D9" s="48">
        <v>34014.0</v>
      </c>
      <c r="E9" s="49">
        <v>100000.0</v>
      </c>
      <c r="F9" s="3"/>
      <c r="G9" s="26" t="s">
        <v>190</v>
      </c>
      <c r="H9" s="3">
        <v>1.0</v>
      </c>
      <c r="I9" s="3" t="s">
        <v>204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6" t="s">
        <v>95</v>
      </c>
      <c r="B10" s="26" t="s">
        <v>96</v>
      </c>
      <c r="C10" s="26" t="s">
        <v>97</v>
      </c>
      <c r="D10" s="48">
        <v>28212.0</v>
      </c>
      <c r="E10" s="49">
        <v>125000.0</v>
      </c>
      <c r="F10" s="26" t="s">
        <v>189</v>
      </c>
      <c r="G10" s="3"/>
      <c r="H10" s="3">
        <v>1.0</v>
      </c>
      <c r="I10" s="3" t="s">
        <v>204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6" t="s">
        <v>99</v>
      </c>
      <c r="B11" s="26" t="s">
        <v>100</v>
      </c>
      <c r="C11" s="26" t="s">
        <v>101</v>
      </c>
      <c r="D11" s="48">
        <v>38718.0</v>
      </c>
      <c r="E11" s="49">
        <v>42500.0</v>
      </c>
      <c r="F11" s="26" t="s">
        <v>187</v>
      </c>
      <c r="G11" s="26" t="s">
        <v>188</v>
      </c>
      <c r="H11" s="3">
        <v>0.0</v>
      </c>
      <c r="I11" s="3" t="s">
        <v>199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6" t="s">
        <v>103</v>
      </c>
      <c r="B12" s="26" t="s">
        <v>104</v>
      </c>
      <c r="C12" s="26" t="s">
        <v>74</v>
      </c>
      <c r="D12" s="48">
        <v>38505.0</v>
      </c>
      <c r="E12" s="49">
        <v>69000.0</v>
      </c>
      <c r="F12" s="26" t="s">
        <v>187</v>
      </c>
      <c r="G12" s="3"/>
      <c r="H12" s="3">
        <v>1.0</v>
      </c>
      <c r="I12" s="3" t="s">
        <v>201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6" t="s">
        <v>106</v>
      </c>
      <c r="B13" s="26" t="s">
        <v>107</v>
      </c>
      <c r="C13" s="26" t="s">
        <v>79</v>
      </c>
      <c r="D13" s="48">
        <v>36861.0</v>
      </c>
      <c r="E13" s="49">
        <v>49500.0</v>
      </c>
      <c r="F13" s="26" t="s">
        <v>187</v>
      </c>
      <c r="G13" s="26" t="s">
        <v>188</v>
      </c>
      <c r="H13" s="3">
        <v>0.0</v>
      </c>
      <c r="I13" s="3" t="s">
        <v>199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6" t="s">
        <v>109</v>
      </c>
      <c r="B14" s="26" t="s">
        <v>100</v>
      </c>
      <c r="C14" s="26" t="s">
        <v>110</v>
      </c>
      <c r="D14" s="48">
        <v>33267.0</v>
      </c>
      <c r="E14" s="49">
        <v>65000.0</v>
      </c>
      <c r="F14" s="26" t="s">
        <v>189</v>
      </c>
      <c r="G14" s="26" t="s">
        <v>190</v>
      </c>
      <c r="H14" s="3">
        <v>1.0</v>
      </c>
      <c r="I14" s="3" t="s">
        <v>201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6" t="s">
        <v>112</v>
      </c>
      <c r="B15" s="26" t="s">
        <v>113</v>
      </c>
      <c r="C15" s="26" t="s">
        <v>114</v>
      </c>
      <c r="D15" s="48">
        <v>36957.0</v>
      </c>
      <c r="E15" s="49">
        <v>18500.0</v>
      </c>
      <c r="F15" s="26" t="s">
        <v>187</v>
      </c>
      <c r="G15" s="26" t="s">
        <v>191</v>
      </c>
      <c r="H15" s="3">
        <v>0.0</v>
      </c>
      <c r="I15" s="3" t="s">
        <v>199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6" t="s">
        <v>116</v>
      </c>
      <c r="B16" s="26" t="s">
        <v>117</v>
      </c>
      <c r="C16" s="26" t="s">
        <v>118</v>
      </c>
      <c r="D16" s="48">
        <v>31510.0</v>
      </c>
      <c r="E16" s="49">
        <v>65000.0</v>
      </c>
      <c r="F16" s="26" t="s">
        <v>187</v>
      </c>
      <c r="G16" s="26" t="s">
        <v>190</v>
      </c>
      <c r="H16" s="3">
        <v>1.0</v>
      </c>
      <c r="I16" s="3" t="s">
        <v>201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6" t="s">
        <v>120</v>
      </c>
      <c r="B17" s="26" t="s">
        <v>121</v>
      </c>
      <c r="C17" s="26" t="s">
        <v>122</v>
      </c>
      <c r="D17" s="48">
        <v>37945.0</v>
      </c>
      <c r="E17" s="49">
        <v>58000.0</v>
      </c>
      <c r="F17" s="26" t="s">
        <v>189</v>
      </c>
      <c r="G17" s="26" t="s">
        <v>190</v>
      </c>
      <c r="H17" s="3">
        <v>1.0</v>
      </c>
      <c r="I17" s="3" t="s">
        <v>201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6" t="s">
        <v>124</v>
      </c>
      <c r="B18" s="26" t="s">
        <v>110</v>
      </c>
      <c r="C18" s="26" t="s">
        <v>125</v>
      </c>
      <c r="D18" s="48">
        <v>31147.0</v>
      </c>
      <c r="E18" s="49">
        <v>75000.0</v>
      </c>
      <c r="F18" s="26" t="s">
        <v>189</v>
      </c>
      <c r="G18" s="26" t="s">
        <v>190</v>
      </c>
      <c r="H18" s="3">
        <v>1.0</v>
      </c>
      <c r="I18" s="3" t="s">
        <v>201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6" t="s">
        <v>127</v>
      </c>
      <c r="B19" s="26" t="s">
        <v>128</v>
      </c>
      <c r="C19" s="26" t="s">
        <v>129</v>
      </c>
      <c r="D19" s="48">
        <v>33267.0</v>
      </c>
      <c r="E19" s="49">
        <v>58500.0</v>
      </c>
      <c r="F19" s="26" t="s">
        <v>189</v>
      </c>
      <c r="G19" s="26" t="s">
        <v>191</v>
      </c>
      <c r="H19" s="3">
        <v>1.0</v>
      </c>
      <c r="I19" s="3" t="s">
        <v>201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6" t="s">
        <v>131</v>
      </c>
      <c r="B20" s="26" t="s">
        <v>132</v>
      </c>
      <c r="C20" s="26" t="s">
        <v>133</v>
      </c>
      <c r="D20" s="48">
        <v>35992.0</v>
      </c>
      <c r="E20" s="49">
        <v>150000.0</v>
      </c>
      <c r="F20" s="26" t="s">
        <v>189</v>
      </c>
      <c r="G20" s="26" t="s">
        <v>190</v>
      </c>
      <c r="H20" s="3">
        <v>1.0</v>
      </c>
      <c r="I20" s="3" t="s">
        <v>204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6" t="s">
        <v>135</v>
      </c>
      <c r="B21" s="26" t="s">
        <v>136</v>
      </c>
      <c r="C21" s="26" t="s">
        <v>70</v>
      </c>
      <c r="D21" s="48">
        <v>37827.0</v>
      </c>
      <c r="E21" s="49">
        <v>45000.0</v>
      </c>
      <c r="F21" s="26" t="s">
        <v>187</v>
      </c>
      <c r="G21" s="26" t="s">
        <v>188</v>
      </c>
      <c r="H21" s="3">
        <v>0.0</v>
      </c>
      <c r="I21" s="3" t="s">
        <v>199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6" t="s">
        <v>138</v>
      </c>
      <c r="B22" s="26" t="s">
        <v>139</v>
      </c>
      <c r="C22" s="26" t="s">
        <v>140</v>
      </c>
      <c r="D22" s="48">
        <v>35964.0</v>
      </c>
      <c r="E22" s="49">
        <v>40000.0</v>
      </c>
      <c r="F22" s="26" t="s">
        <v>189</v>
      </c>
      <c r="G22" s="26" t="s">
        <v>191</v>
      </c>
      <c r="H22" s="3">
        <v>0.0</v>
      </c>
      <c r="I22" s="3" t="s">
        <v>199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6" t="s">
        <v>142</v>
      </c>
      <c r="B23" s="26" t="s">
        <v>143</v>
      </c>
      <c r="C23" s="26" t="s">
        <v>144</v>
      </c>
      <c r="D23" s="48">
        <v>30816.0</v>
      </c>
      <c r="E23" s="49">
        <v>79000.0</v>
      </c>
      <c r="F23" s="26" t="s">
        <v>187</v>
      </c>
      <c r="G23" s="26" t="s">
        <v>190</v>
      </c>
      <c r="H23" s="3">
        <v>1.0</v>
      </c>
      <c r="I23" s="3" t="s">
        <v>201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6" t="s">
        <v>146</v>
      </c>
      <c r="B24" s="26" t="s">
        <v>147</v>
      </c>
      <c r="C24" s="26" t="s">
        <v>118</v>
      </c>
      <c r="D24" s="48">
        <v>33770.0</v>
      </c>
      <c r="E24" s="49">
        <v>55000.0</v>
      </c>
      <c r="F24" s="26" t="s">
        <v>187</v>
      </c>
      <c r="G24" s="26" t="s">
        <v>188</v>
      </c>
      <c r="H24" s="3">
        <v>1.0</v>
      </c>
      <c r="I24" s="3" t="s">
        <v>201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6" t="s">
        <v>149</v>
      </c>
      <c r="B25" s="26" t="s">
        <v>150</v>
      </c>
      <c r="C25" s="26" t="s">
        <v>151</v>
      </c>
      <c r="D25" s="48">
        <v>38955.0</v>
      </c>
      <c r="E25" s="49">
        <v>23000.0</v>
      </c>
      <c r="F25" s="26" t="s">
        <v>189</v>
      </c>
      <c r="G25" s="26" t="s">
        <v>190</v>
      </c>
      <c r="H25" s="3">
        <v>0.0</v>
      </c>
      <c r="I25" s="3" t="s">
        <v>199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6" t="s">
        <v>153</v>
      </c>
      <c r="B26" s="26" t="s">
        <v>154</v>
      </c>
      <c r="C26" s="26" t="s">
        <v>129</v>
      </c>
      <c r="D26" s="48">
        <v>37533.0</v>
      </c>
      <c r="E26" s="49">
        <v>52000.0</v>
      </c>
      <c r="F26" s="26" t="s">
        <v>189</v>
      </c>
      <c r="G26" s="26" t="s">
        <v>191</v>
      </c>
      <c r="H26" s="3">
        <v>1.0</v>
      </c>
      <c r="I26" s="3" t="s">
        <v>201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6" t="s">
        <v>156</v>
      </c>
      <c r="B27" s="26" t="s">
        <v>157</v>
      </c>
      <c r="C27" s="26" t="s">
        <v>158</v>
      </c>
      <c r="D27" s="48">
        <v>35698.0</v>
      </c>
      <c r="E27" s="49">
        <v>38500.0</v>
      </c>
      <c r="F27" s="26" t="s">
        <v>187</v>
      </c>
      <c r="G27" s="26" t="s">
        <v>188</v>
      </c>
      <c r="H27" s="3">
        <v>0.0</v>
      </c>
      <c r="I27" s="3" t="s">
        <v>199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6" t="s">
        <v>160</v>
      </c>
      <c r="B28" s="26" t="s">
        <v>161</v>
      </c>
      <c r="C28" s="26" t="s">
        <v>129</v>
      </c>
      <c r="D28" s="48">
        <v>29427.0</v>
      </c>
      <c r="E28" s="49">
        <v>175000.0</v>
      </c>
      <c r="F28" s="26" t="s">
        <v>189</v>
      </c>
      <c r="G28" s="26" t="s">
        <v>190</v>
      </c>
      <c r="H28" s="3">
        <v>1.0</v>
      </c>
      <c r="I28" s="3" t="s">
        <v>204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14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3" t="s">
        <v>58</v>
      </c>
      <c r="B3" s="23" t="s">
        <v>59</v>
      </c>
      <c r="C3" s="23" t="s">
        <v>60</v>
      </c>
      <c r="D3" s="23" t="s">
        <v>61</v>
      </c>
      <c r="E3" s="23" t="s">
        <v>62</v>
      </c>
      <c r="F3" s="23" t="s">
        <v>185</v>
      </c>
      <c r="G3" s="23" t="s">
        <v>186</v>
      </c>
      <c r="H3" s="55" t="s">
        <v>205</v>
      </c>
      <c r="I3" s="55" t="s">
        <v>206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6" t="s">
        <v>68</v>
      </c>
      <c r="B4" s="26" t="s">
        <v>69</v>
      </c>
      <c r="C4" s="26" t="s">
        <v>70</v>
      </c>
      <c r="D4" s="48">
        <v>38261.0</v>
      </c>
      <c r="E4" s="49">
        <v>57500.0</v>
      </c>
      <c r="F4" s="26" t="s">
        <v>187</v>
      </c>
      <c r="G4" s="26" t="s">
        <v>188</v>
      </c>
      <c r="H4" s="3">
        <f t="array" ref="H4:H28">(F4:F28="F")*(E4:E28&gt;=50000)</f>
        <v>1</v>
      </c>
      <c r="I4" s="3">
        <f t="array" ref="I4:I28">IF((F4:F28="F")+(E4:E28&gt;=50000)&gt;0,1,0)</f>
        <v>1</v>
      </c>
      <c r="J4" s="7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6" t="s">
        <v>72</v>
      </c>
      <c r="B5" s="26" t="s">
        <v>73</v>
      </c>
      <c r="C5" s="26" t="s">
        <v>74</v>
      </c>
      <c r="D5" s="48">
        <v>36906.0</v>
      </c>
      <c r="E5" s="49">
        <v>19500.0</v>
      </c>
      <c r="F5" s="26" t="s">
        <v>187</v>
      </c>
      <c r="G5" s="26" t="s">
        <v>188</v>
      </c>
      <c r="H5" s="3">
        <v>0.0</v>
      </c>
      <c r="I5" s="3">
        <v>1.0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6" t="s">
        <v>77</v>
      </c>
      <c r="B6" s="26" t="s">
        <v>78</v>
      </c>
      <c r="C6" s="26" t="s">
        <v>79</v>
      </c>
      <c r="D6" s="48">
        <v>35501.0</v>
      </c>
      <c r="E6" s="49">
        <v>69000.0</v>
      </c>
      <c r="F6" s="26" t="s">
        <v>187</v>
      </c>
      <c r="G6" s="26" t="s">
        <v>188</v>
      </c>
      <c r="H6" s="3">
        <v>1.0</v>
      </c>
      <c r="I6" s="3">
        <v>1.0</v>
      </c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6" t="s">
        <v>82</v>
      </c>
      <c r="B7" s="26" t="s">
        <v>83</v>
      </c>
      <c r="C7" s="26" t="s">
        <v>84</v>
      </c>
      <c r="D7" s="48">
        <v>38578.0</v>
      </c>
      <c r="E7" s="49">
        <v>55000.0</v>
      </c>
      <c r="F7" s="26" t="s">
        <v>189</v>
      </c>
      <c r="G7" s="26" t="s">
        <v>190</v>
      </c>
      <c r="H7" s="3">
        <v>0.0</v>
      </c>
      <c r="I7" s="3">
        <v>1.0</v>
      </c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6" t="s">
        <v>87</v>
      </c>
      <c r="B8" s="26" t="s">
        <v>88</v>
      </c>
      <c r="C8" s="26" t="s">
        <v>89</v>
      </c>
      <c r="D8" s="48">
        <v>35188.0</v>
      </c>
      <c r="E8" s="49">
        <v>47500.0</v>
      </c>
      <c r="F8" s="26" t="s">
        <v>189</v>
      </c>
      <c r="G8" s="26" t="s">
        <v>190</v>
      </c>
      <c r="H8" s="3">
        <v>0.0</v>
      </c>
      <c r="I8" s="3">
        <v>0.0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6" t="s">
        <v>91</v>
      </c>
      <c r="B9" s="26" t="s">
        <v>92</v>
      </c>
      <c r="C9" s="26" t="s">
        <v>93</v>
      </c>
      <c r="D9" s="48">
        <v>34014.0</v>
      </c>
      <c r="E9" s="49">
        <v>100000.0</v>
      </c>
      <c r="F9" s="3"/>
      <c r="G9" s="26" t="s">
        <v>190</v>
      </c>
      <c r="H9" s="3">
        <v>0.0</v>
      </c>
      <c r="I9" s="3">
        <v>1.0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6" t="s">
        <v>95</v>
      </c>
      <c r="B10" s="26" t="s">
        <v>96</v>
      </c>
      <c r="C10" s="26" t="s">
        <v>97</v>
      </c>
      <c r="D10" s="48">
        <v>28212.0</v>
      </c>
      <c r="E10" s="49">
        <v>125000.0</v>
      </c>
      <c r="F10" s="26" t="s">
        <v>189</v>
      </c>
      <c r="G10" s="3"/>
      <c r="H10" s="3">
        <v>0.0</v>
      </c>
      <c r="I10" s="3">
        <v>1.0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6" t="s">
        <v>99</v>
      </c>
      <c r="B11" s="26" t="s">
        <v>100</v>
      </c>
      <c r="C11" s="26" t="s">
        <v>101</v>
      </c>
      <c r="D11" s="48">
        <v>38718.0</v>
      </c>
      <c r="E11" s="49">
        <v>42500.0</v>
      </c>
      <c r="F11" s="26" t="s">
        <v>187</v>
      </c>
      <c r="G11" s="26" t="s">
        <v>188</v>
      </c>
      <c r="H11" s="3">
        <v>0.0</v>
      </c>
      <c r="I11" s="3">
        <v>1.0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6" t="s">
        <v>103</v>
      </c>
      <c r="B12" s="26" t="s">
        <v>104</v>
      </c>
      <c r="C12" s="26" t="s">
        <v>74</v>
      </c>
      <c r="D12" s="48">
        <v>38505.0</v>
      </c>
      <c r="E12" s="49">
        <v>69000.0</v>
      </c>
      <c r="F12" s="26" t="s">
        <v>187</v>
      </c>
      <c r="G12" s="3"/>
      <c r="H12" s="3">
        <v>1.0</v>
      </c>
      <c r="I12" s="3">
        <v>1.0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6" t="s">
        <v>106</v>
      </c>
      <c r="B13" s="26" t="s">
        <v>107</v>
      </c>
      <c r="C13" s="26" t="s">
        <v>79</v>
      </c>
      <c r="D13" s="48">
        <v>36861.0</v>
      </c>
      <c r="E13" s="49">
        <v>49500.0</v>
      </c>
      <c r="F13" s="26" t="s">
        <v>187</v>
      </c>
      <c r="G13" s="26" t="s">
        <v>188</v>
      </c>
      <c r="H13" s="3">
        <v>0.0</v>
      </c>
      <c r="I13" s="3">
        <v>1.0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6" t="s">
        <v>109</v>
      </c>
      <c r="B14" s="26" t="s">
        <v>100</v>
      </c>
      <c r="C14" s="26" t="s">
        <v>110</v>
      </c>
      <c r="D14" s="48">
        <v>33267.0</v>
      </c>
      <c r="E14" s="49">
        <v>65000.0</v>
      </c>
      <c r="F14" s="26" t="s">
        <v>189</v>
      </c>
      <c r="G14" s="26" t="s">
        <v>190</v>
      </c>
      <c r="H14" s="3">
        <v>0.0</v>
      </c>
      <c r="I14" s="3">
        <v>1.0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6" t="s">
        <v>112</v>
      </c>
      <c r="B15" s="26" t="s">
        <v>113</v>
      </c>
      <c r="C15" s="26" t="s">
        <v>114</v>
      </c>
      <c r="D15" s="48">
        <v>36957.0</v>
      </c>
      <c r="E15" s="49">
        <v>18500.0</v>
      </c>
      <c r="F15" s="26" t="s">
        <v>187</v>
      </c>
      <c r="G15" s="26" t="s">
        <v>191</v>
      </c>
      <c r="H15" s="3">
        <v>0.0</v>
      </c>
      <c r="I15" s="3">
        <v>1.0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6" t="s">
        <v>116</v>
      </c>
      <c r="B16" s="26" t="s">
        <v>117</v>
      </c>
      <c r="C16" s="26" t="s">
        <v>118</v>
      </c>
      <c r="D16" s="48">
        <v>31510.0</v>
      </c>
      <c r="E16" s="49">
        <v>65000.0</v>
      </c>
      <c r="F16" s="26" t="s">
        <v>187</v>
      </c>
      <c r="G16" s="26" t="s">
        <v>190</v>
      </c>
      <c r="H16" s="3">
        <v>1.0</v>
      </c>
      <c r="I16" s="3">
        <v>1.0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6" t="s">
        <v>120</v>
      </c>
      <c r="B17" s="26" t="s">
        <v>121</v>
      </c>
      <c r="C17" s="26" t="s">
        <v>122</v>
      </c>
      <c r="D17" s="48">
        <v>37945.0</v>
      </c>
      <c r="E17" s="49">
        <v>58000.0</v>
      </c>
      <c r="F17" s="26" t="s">
        <v>189</v>
      </c>
      <c r="G17" s="26" t="s">
        <v>190</v>
      </c>
      <c r="H17" s="3">
        <v>0.0</v>
      </c>
      <c r="I17" s="3">
        <v>1.0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6" t="s">
        <v>124</v>
      </c>
      <c r="B18" s="26" t="s">
        <v>110</v>
      </c>
      <c r="C18" s="26" t="s">
        <v>125</v>
      </c>
      <c r="D18" s="48">
        <v>31147.0</v>
      </c>
      <c r="E18" s="49">
        <v>75000.0</v>
      </c>
      <c r="F18" s="26" t="s">
        <v>189</v>
      </c>
      <c r="G18" s="26" t="s">
        <v>190</v>
      </c>
      <c r="H18" s="3">
        <v>0.0</v>
      </c>
      <c r="I18" s="3">
        <v>1.0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6" t="s">
        <v>127</v>
      </c>
      <c r="B19" s="26" t="s">
        <v>128</v>
      </c>
      <c r="C19" s="26" t="s">
        <v>129</v>
      </c>
      <c r="D19" s="48">
        <v>33267.0</v>
      </c>
      <c r="E19" s="49">
        <v>58500.0</v>
      </c>
      <c r="F19" s="26" t="s">
        <v>189</v>
      </c>
      <c r="G19" s="26" t="s">
        <v>191</v>
      </c>
      <c r="H19" s="3">
        <v>0.0</v>
      </c>
      <c r="I19" s="3">
        <v>1.0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6" t="s">
        <v>131</v>
      </c>
      <c r="B20" s="26" t="s">
        <v>132</v>
      </c>
      <c r="C20" s="26" t="s">
        <v>133</v>
      </c>
      <c r="D20" s="48">
        <v>35992.0</v>
      </c>
      <c r="E20" s="49">
        <v>150000.0</v>
      </c>
      <c r="F20" s="26" t="s">
        <v>189</v>
      </c>
      <c r="G20" s="26" t="s">
        <v>190</v>
      </c>
      <c r="H20" s="3">
        <v>0.0</v>
      </c>
      <c r="I20" s="3">
        <v>1.0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6" t="s">
        <v>135</v>
      </c>
      <c r="B21" s="26" t="s">
        <v>136</v>
      </c>
      <c r="C21" s="26" t="s">
        <v>70</v>
      </c>
      <c r="D21" s="48">
        <v>37827.0</v>
      </c>
      <c r="E21" s="49">
        <v>45000.0</v>
      </c>
      <c r="F21" s="26" t="s">
        <v>187</v>
      </c>
      <c r="G21" s="26" t="s">
        <v>188</v>
      </c>
      <c r="H21" s="3">
        <v>0.0</v>
      </c>
      <c r="I21" s="3">
        <v>1.0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6" t="s">
        <v>138</v>
      </c>
      <c r="B22" s="26" t="s">
        <v>139</v>
      </c>
      <c r="C22" s="26" t="s">
        <v>140</v>
      </c>
      <c r="D22" s="48">
        <v>35964.0</v>
      </c>
      <c r="E22" s="49">
        <v>40000.0</v>
      </c>
      <c r="F22" s="26" t="s">
        <v>189</v>
      </c>
      <c r="G22" s="26" t="s">
        <v>191</v>
      </c>
      <c r="H22" s="3">
        <v>0.0</v>
      </c>
      <c r="I22" s="3">
        <v>0.0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6" t="s">
        <v>142</v>
      </c>
      <c r="B23" s="26" t="s">
        <v>143</v>
      </c>
      <c r="C23" s="26" t="s">
        <v>144</v>
      </c>
      <c r="D23" s="48">
        <v>30816.0</v>
      </c>
      <c r="E23" s="49">
        <v>79000.0</v>
      </c>
      <c r="F23" s="26" t="s">
        <v>187</v>
      </c>
      <c r="G23" s="26" t="s">
        <v>190</v>
      </c>
      <c r="H23" s="3">
        <v>1.0</v>
      </c>
      <c r="I23" s="3">
        <v>1.0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6" t="s">
        <v>146</v>
      </c>
      <c r="B24" s="26" t="s">
        <v>147</v>
      </c>
      <c r="C24" s="26" t="s">
        <v>118</v>
      </c>
      <c r="D24" s="48">
        <v>33770.0</v>
      </c>
      <c r="E24" s="49">
        <v>55000.0</v>
      </c>
      <c r="F24" s="26" t="s">
        <v>187</v>
      </c>
      <c r="G24" s="26" t="s">
        <v>188</v>
      </c>
      <c r="H24" s="3">
        <v>1.0</v>
      </c>
      <c r="I24" s="3">
        <v>1.0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6" t="s">
        <v>149</v>
      </c>
      <c r="B25" s="26" t="s">
        <v>150</v>
      </c>
      <c r="C25" s="26" t="s">
        <v>151</v>
      </c>
      <c r="D25" s="48">
        <v>38955.0</v>
      </c>
      <c r="E25" s="49">
        <v>23000.0</v>
      </c>
      <c r="F25" s="26" t="s">
        <v>189</v>
      </c>
      <c r="G25" s="26" t="s">
        <v>190</v>
      </c>
      <c r="H25" s="3">
        <v>0.0</v>
      </c>
      <c r="I25" s="3">
        <v>0.0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6" t="s">
        <v>153</v>
      </c>
      <c r="B26" s="26" t="s">
        <v>154</v>
      </c>
      <c r="C26" s="26" t="s">
        <v>129</v>
      </c>
      <c r="D26" s="48">
        <v>37533.0</v>
      </c>
      <c r="E26" s="49">
        <v>52000.0</v>
      </c>
      <c r="F26" s="26" t="s">
        <v>189</v>
      </c>
      <c r="G26" s="26" t="s">
        <v>191</v>
      </c>
      <c r="H26" s="3">
        <v>0.0</v>
      </c>
      <c r="I26" s="3">
        <v>1.0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6" t="s">
        <v>156</v>
      </c>
      <c r="B27" s="26" t="s">
        <v>157</v>
      </c>
      <c r="C27" s="26" t="s">
        <v>158</v>
      </c>
      <c r="D27" s="48">
        <v>35698.0</v>
      </c>
      <c r="E27" s="49">
        <v>38500.0</v>
      </c>
      <c r="F27" s="26" t="s">
        <v>187</v>
      </c>
      <c r="G27" s="26" t="s">
        <v>188</v>
      </c>
      <c r="H27" s="3">
        <v>0.0</v>
      </c>
      <c r="I27" s="3">
        <v>1.0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6" t="s">
        <v>160</v>
      </c>
      <c r="B28" s="26" t="s">
        <v>161</v>
      </c>
      <c r="C28" s="26" t="s">
        <v>129</v>
      </c>
      <c r="D28" s="48">
        <v>29427.0</v>
      </c>
      <c r="E28" s="49">
        <v>175000.0</v>
      </c>
      <c r="F28" s="26" t="s">
        <v>189</v>
      </c>
      <c r="G28" s="26" t="s">
        <v>190</v>
      </c>
      <c r="H28" s="3">
        <v>0.0</v>
      </c>
      <c r="I28" s="3">
        <v>1.0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25"/>
  </cols>
  <sheetData>
    <row r="1">
      <c r="A1" s="2" t="s">
        <v>16</v>
      </c>
      <c r="B1" s="3"/>
      <c r="C1" s="3"/>
      <c r="D1" s="3"/>
      <c r="E1" s="57" t="s">
        <v>207</v>
      </c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58" t="s">
        <v>208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3" t="s">
        <v>58</v>
      </c>
      <c r="B3" s="23" t="s">
        <v>59</v>
      </c>
      <c r="C3" s="23" t="s">
        <v>60</v>
      </c>
      <c r="D3" s="23" t="s">
        <v>61</v>
      </c>
      <c r="E3" s="23" t="s">
        <v>62</v>
      </c>
      <c r="F3" s="23" t="s">
        <v>185</v>
      </c>
      <c r="G3" s="23" t="s">
        <v>186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6" t="s">
        <v>68</v>
      </c>
      <c r="B4" s="26" t="s">
        <v>69</v>
      </c>
      <c r="C4" s="26" t="s">
        <v>70</v>
      </c>
      <c r="D4" s="48">
        <v>38261.0</v>
      </c>
      <c r="E4" s="49">
        <v>57500.0</v>
      </c>
      <c r="F4" s="26" t="s">
        <v>187</v>
      </c>
      <c r="G4" s="26" t="s">
        <v>188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6" t="s">
        <v>72</v>
      </c>
      <c r="B5" s="26" t="s">
        <v>73</v>
      </c>
      <c r="C5" s="26" t="s">
        <v>74</v>
      </c>
      <c r="D5" s="48">
        <v>36906.0</v>
      </c>
      <c r="E5" s="49">
        <v>19500.0</v>
      </c>
      <c r="F5" s="26" t="s">
        <v>187</v>
      </c>
      <c r="G5" s="26" t="s">
        <v>188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6" t="s">
        <v>77</v>
      </c>
      <c r="B6" s="26" t="s">
        <v>78</v>
      </c>
      <c r="C6" s="26" t="s">
        <v>79</v>
      </c>
      <c r="D6" s="48">
        <v>35501.0</v>
      </c>
      <c r="E6" s="49">
        <v>69000.0</v>
      </c>
      <c r="F6" s="26" t="s">
        <v>187</v>
      </c>
      <c r="G6" s="26" t="s">
        <v>188</v>
      </c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6" t="s">
        <v>82</v>
      </c>
      <c r="B7" s="26" t="s">
        <v>83</v>
      </c>
      <c r="C7" s="26" t="s">
        <v>84</v>
      </c>
      <c r="D7" s="48">
        <v>38578.0</v>
      </c>
      <c r="E7" s="49">
        <v>55000.0</v>
      </c>
      <c r="F7" s="26" t="s">
        <v>189</v>
      </c>
      <c r="G7" s="26" t="s">
        <v>190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6" t="s">
        <v>87</v>
      </c>
      <c r="B8" s="26" t="s">
        <v>88</v>
      </c>
      <c r="C8" s="26" t="s">
        <v>89</v>
      </c>
      <c r="D8" s="48">
        <v>35188.0</v>
      </c>
      <c r="E8" s="49">
        <v>47500.0</v>
      </c>
      <c r="F8" s="26" t="s">
        <v>189</v>
      </c>
      <c r="G8" s="26" t="s">
        <v>190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6" t="s">
        <v>91</v>
      </c>
      <c r="B9" s="26" t="s">
        <v>92</v>
      </c>
      <c r="C9" s="26" t="s">
        <v>93</v>
      </c>
      <c r="D9" s="48">
        <v>34014.0</v>
      </c>
      <c r="E9" s="49">
        <v>100000.0</v>
      </c>
      <c r="F9" s="3"/>
      <c r="G9" s="26" t="s">
        <v>190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6" t="s">
        <v>95</v>
      </c>
      <c r="B10" s="26" t="s">
        <v>96</v>
      </c>
      <c r="C10" s="26" t="s">
        <v>97</v>
      </c>
      <c r="D10" s="48">
        <v>28212.0</v>
      </c>
      <c r="E10" s="49">
        <v>125000.0</v>
      </c>
      <c r="F10" s="26" t="s">
        <v>189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6" t="s">
        <v>99</v>
      </c>
      <c r="B11" s="26" t="s">
        <v>100</v>
      </c>
      <c r="C11" s="26" t="s">
        <v>101</v>
      </c>
      <c r="D11" s="48">
        <v>38718.0</v>
      </c>
      <c r="E11" s="49">
        <v>42500.0</v>
      </c>
      <c r="F11" s="26" t="s">
        <v>187</v>
      </c>
      <c r="G11" s="26" t="s">
        <v>188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6" t="s">
        <v>103</v>
      </c>
      <c r="B12" s="26" t="s">
        <v>104</v>
      </c>
      <c r="C12" s="26" t="s">
        <v>74</v>
      </c>
      <c r="D12" s="48">
        <v>38505.0</v>
      </c>
      <c r="E12" s="49">
        <v>69000.0</v>
      </c>
      <c r="F12" s="26" t="s">
        <v>187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6" t="s">
        <v>106</v>
      </c>
      <c r="B13" s="26" t="s">
        <v>107</v>
      </c>
      <c r="C13" s="26" t="s">
        <v>79</v>
      </c>
      <c r="D13" s="48">
        <v>36861.0</v>
      </c>
      <c r="E13" s="49">
        <v>49500.0</v>
      </c>
      <c r="F13" s="26" t="s">
        <v>187</v>
      </c>
      <c r="G13" s="26" t="s">
        <v>188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6" t="s">
        <v>109</v>
      </c>
      <c r="B14" s="26" t="s">
        <v>100</v>
      </c>
      <c r="C14" s="26" t="s">
        <v>110</v>
      </c>
      <c r="D14" s="48">
        <v>33267.0</v>
      </c>
      <c r="E14" s="49">
        <v>65000.0</v>
      </c>
      <c r="F14" s="26" t="s">
        <v>189</v>
      </c>
      <c r="G14" s="26" t="s">
        <v>190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6" t="s">
        <v>112</v>
      </c>
      <c r="B15" s="26" t="s">
        <v>113</v>
      </c>
      <c r="C15" s="26" t="s">
        <v>114</v>
      </c>
      <c r="D15" s="48">
        <v>36957.0</v>
      </c>
      <c r="E15" s="49">
        <v>18500.0</v>
      </c>
      <c r="F15" s="26" t="s">
        <v>187</v>
      </c>
      <c r="G15" s="26" t="s">
        <v>191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6" t="s">
        <v>116</v>
      </c>
      <c r="B16" s="26" t="s">
        <v>117</v>
      </c>
      <c r="C16" s="26" t="s">
        <v>118</v>
      </c>
      <c r="D16" s="48">
        <v>31510.0</v>
      </c>
      <c r="E16" s="49">
        <v>65000.0</v>
      </c>
      <c r="F16" s="26" t="s">
        <v>187</v>
      </c>
      <c r="G16" s="26" t="s">
        <v>190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6" t="s">
        <v>120</v>
      </c>
      <c r="B17" s="26" t="s">
        <v>121</v>
      </c>
      <c r="C17" s="26" t="s">
        <v>122</v>
      </c>
      <c r="D17" s="48">
        <v>37945.0</v>
      </c>
      <c r="E17" s="49">
        <v>58000.0</v>
      </c>
      <c r="F17" s="26" t="s">
        <v>189</v>
      </c>
      <c r="G17" s="26" t="s">
        <v>190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6" t="s">
        <v>124</v>
      </c>
      <c r="B18" s="26" t="s">
        <v>110</v>
      </c>
      <c r="C18" s="26" t="s">
        <v>125</v>
      </c>
      <c r="D18" s="48">
        <v>31147.0</v>
      </c>
      <c r="E18" s="49">
        <v>75000.0</v>
      </c>
      <c r="F18" s="26" t="s">
        <v>189</v>
      </c>
      <c r="G18" s="26" t="s">
        <v>190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6" t="s">
        <v>127</v>
      </c>
      <c r="B19" s="26" t="s">
        <v>128</v>
      </c>
      <c r="C19" s="26" t="s">
        <v>129</v>
      </c>
      <c r="D19" s="48">
        <v>33267.0</v>
      </c>
      <c r="E19" s="49">
        <v>58500.0</v>
      </c>
      <c r="F19" s="26" t="s">
        <v>189</v>
      </c>
      <c r="G19" s="26" t="s">
        <v>191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6" t="s">
        <v>131</v>
      </c>
      <c r="B20" s="26" t="s">
        <v>132</v>
      </c>
      <c r="C20" s="26" t="s">
        <v>133</v>
      </c>
      <c r="D20" s="48">
        <v>35992.0</v>
      </c>
      <c r="E20" s="49">
        <v>150000.0</v>
      </c>
      <c r="F20" s="26" t="s">
        <v>189</v>
      </c>
      <c r="G20" s="26" t="s">
        <v>190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6" t="s">
        <v>135</v>
      </c>
      <c r="B21" s="26" t="s">
        <v>136</v>
      </c>
      <c r="C21" s="26" t="s">
        <v>70</v>
      </c>
      <c r="D21" s="48">
        <v>37827.0</v>
      </c>
      <c r="E21" s="49">
        <v>45000.0</v>
      </c>
      <c r="F21" s="26" t="s">
        <v>187</v>
      </c>
      <c r="G21" s="26" t="s">
        <v>188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6" t="s">
        <v>138</v>
      </c>
      <c r="B22" s="26" t="s">
        <v>139</v>
      </c>
      <c r="C22" s="26" t="s">
        <v>140</v>
      </c>
      <c r="D22" s="48">
        <v>35964.0</v>
      </c>
      <c r="E22" s="49">
        <v>40000.0</v>
      </c>
      <c r="F22" s="26" t="s">
        <v>189</v>
      </c>
      <c r="G22" s="26" t="s">
        <v>191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6" t="s">
        <v>142</v>
      </c>
      <c r="B23" s="26" t="s">
        <v>143</v>
      </c>
      <c r="C23" s="26" t="s">
        <v>144</v>
      </c>
      <c r="D23" s="48">
        <v>30816.0</v>
      </c>
      <c r="E23" s="49">
        <v>79000.0</v>
      </c>
      <c r="F23" s="26" t="s">
        <v>187</v>
      </c>
      <c r="G23" s="26" t="s">
        <v>190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6" t="s">
        <v>146</v>
      </c>
      <c r="B24" s="26" t="s">
        <v>147</v>
      </c>
      <c r="C24" s="26" t="s">
        <v>118</v>
      </c>
      <c r="D24" s="48">
        <v>33770.0</v>
      </c>
      <c r="E24" s="49">
        <v>55000.0</v>
      </c>
      <c r="F24" s="26" t="s">
        <v>187</v>
      </c>
      <c r="G24" s="26" t="s">
        <v>188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6" t="s">
        <v>149</v>
      </c>
      <c r="B25" s="26" t="s">
        <v>150</v>
      </c>
      <c r="C25" s="26" t="s">
        <v>151</v>
      </c>
      <c r="D25" s="48">
        <v>38955.0</v>
      </c>
      <c r="E25" s="49">
        <v>23000.0</v>
      </c>
      <c r="F25" s="26" t="s">
        <v>189</v>
      </c>
      <c r="G25" s="26" t="s">
        <v>190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6" t="s">
        <v>153</v>
      </c>
      <c r="B26" s="26" t="s">
        <v>154</v>
      </c>
      <c r="C26" s="26" t="s">
        <v>129</v>
      </c>
      <c r="D26" s="48">
        <v>37533.0</v>
      </c>
      <c r="E26" s="49">
        <v>52000.0</v>
      </c>
      <c r="F26" s="26" t="s">
        <v>189</v>
      </c>
      <c r="G26" s="26" t="s">
        <v>191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6" t="s">
        <v>156</v>
      </c>
      <c r="B27" s="26" t="s">
        <v>157</v>
      </c>
      <c r="C27" s="26" t="s">
        <v>158</v>
      </c>
      <c r="D27" s="48">
        <v>35698.0</v>
      </c>
      <c r="E27" s="49">
        <v>38500.0</v>
      </c>
      <c r="F27" s="26" t="s">
        <v>187</v>
      </c>
      <c r="G27" s="26" t="s">
        <v>188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6" t="s">
        <v>160</v>
      </c>
      <c r="B28" s="26" t="s">
        <v>161</v>
      </c>
      <c r="C28" s="26" t="s">
        <v>129</v>
      </c>
      <c r="D28" s="48">
        <v>29427.0</v>
      </c>
      <c r="E28" s="49">
        <v>175000.0</v>
      </c>
      <c r="F28" s="26" t="s">
        <v>189</v>
      </c>
      <c r="G28" s="26" t="s">
        <v>190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" t="s">
        <v>209</v>
      </c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" t="s">
        <v>210</v>
      </c>
      <c r="B34" s="2" t="s">
        <v>211</v>
      </c>
      <c r="C34" s="2" t="s">
        <v>212</v>
      </c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7" t="s">
        <v>213</v>
      </c>
      <c r="B35" s="59" t="s">
        <v>214</v>
      </c>
      <c r="C35" s="7" t="b">
        <v>1</v>
      </c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7" t="s">
        <v>215</v>
      </c>
      <c r="B36" s="59" t="s">
        <v>214</v>
      </c>
      <c r="C36" s="7" t="b">
        <v>1</v>
      </c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7" t="s">
        <v>216</v>
      </c>
      <c r="B37" s="59" t="s">
        <v>214</v>
      </c>
      <c r="C37" s="3" t="b">
        <v>0</v>
      </c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conditionalFormatting sqref="A35:A37">
    <cfRule type="expression" dxfId="0" priority="1">
      <formula>C35=TRUE</formula>
    </cfRule>
  </conditionalFormatting>
  <conditionalFormatting sqref="A4:G28">
    <cfRule type="expression" dxfId="1" priority="2">
      <formula>$F4="F"</formula>
    </cfRule>
  </conditionalFormatting>
  <hyperlinks>
    <hyperlink r:id="rId1" ref="B35"/>
    <hyperlink r:id="rId2" ref="B36"/>
    <hyperlink r:id="rId3" ref="B37"/>
  </hyperlinks>
  <drawing r:id="rId4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17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23" t="s">
        <v>58</v>
      </c>
      <c r="B3" s="23" t="s">
        <v>59</v>
      </c>
      <c r="C3" s="23" t="s">
        <v>60</v>
      </c>
      <c r="D3" s="23" t="s">
        <v>61</v>
      </c>
      <c r="E3" s="23" t="s">
        <v>62</v>
      </c>
      <c r="F3" s="23" t="s">
        <v>185</v>
      </c>
      <c r="G3" s="23" t="s">
        <v>186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26" t="s">
        <v>68</v>
      </c>
      <c r="B4" s="26" t="s">
        <v>69</v>
      </c>
      <c r="C4" s="26" t="s">
        <v>70</v>
      </c>
      <c r="D4" s="48">
        <v>38261.0</v>
      </c>
      <c r="E4" s="49">
        <v>57500.0</v>
      </c>
      <c r="F4" s="26" t="s">
        <v>187</v>
      </c>
      <c r="G4" s="26" t="s">
        <v>188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26" t="s">
        <v>72</v>
      </c>
      <c r="B5" s="26" t="s">
        <v>73</v>
      </c>
      <c r="C5" s="26" t="s">
        <v>74</v>
      </c>
      <c r="D5" s="48">
        <v>36906.0</v>
      </c>
      <c r="E5" s="49">
        <v>19500.0</v>
      </c>
      <c r="F5" s="26" t="s">
        <v>187</v>
      </c>
      <c r="G5" s="26" t="s">
        <v>188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26" t="s">
        <v>77</v>
      </c>
      <c r="B6" s="26" t="s">
        <v>78</v>
      </c>
      <c r="C6" s="26" t="s">
        <v>79</v>
      </c>
      <c r="D6" s="48">
        <v>35501.0</v>
      </c>
      <c r="E6" s="49">
        <v>69000.0</v>
      </c>
      <c r="F6" s="26" t="s">
        <v>187</v>
      </c>
      <c r="G6" s="26" t="s">
        <v>188</v>
      </c>
      <c r="H6" s="7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26" t="s">
        <v>82</v>
      </c>
      <c r="B7" s="26" t="s">
        <v>83</v>
      </c>
      <c r="C7" s="26" t="s">
        <v>84</v>
      </c>
      <c r="D7" s="48">
        <v>38578.0</v>
      </c>
      <c r="E7" s="49">
        <v>55000.0</v>
      </c>
      <c r="F7" s="26" t="s">
        <v>189</v>
      </c>
      <c r="G7" s="26" t="s">
        <v>190</v>
      </c>
      <c r="H7" s="7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26" t="s">
        <v>87</v>
      </c>
      <c r="B8" s="26" t="s">
        <v>88</v>
      </c>
      <c r="C8" s="26" t="s">
        <v>89</v>
      </c>
      <c r="D8" s="48">
        <v>35188.0</v>
      </c>
      <c r="E8" s="49">
        <v>47500.0</v>
      </c>
      <c r="F8" s="26" t="s">
        <v>189</v>
      </c>
      <c r="G8" s="26" t="s">
        <v>190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26" t="s">
        <v>91</v>
      </c>
      <c r="B9" s="26" t="s">
        <v>92</v>
      </c>
      <c r="C9" s="26" t="s">
        <v>93</v>
      </c>
      <c r="D9" s="48">
        <v>34014.0</v>
      </c>
      <c r="E9" s="49">
        <v>100000.0</v>
      </c>
      <c r="F9" s="3"/>
      <c r="G9" s="26" t="s">
        <v>190</v>
      </c>
      <c r="H9" s="7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26" t="s">
        <v>95</v>
      </c>
      <c r="B10" s="26" t="s">
        <v>96</v>
      </c>
      <c r="C10" s="26" t="s">
        <v>97</v>
      </c>
      <c r="D10" s="48">
        <v>28212.0</v>
      </c>
      <c r="E10" s="49">
        <v>125000.0</v>
      </c>
      <c r="F10" s="26" t="s">
        <v>189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>
      <c r="A11" s="26" t="s">
        <v>99</v>
      </c>
      <c r="B11" s="26" t="s">
        <v>100</v>
      </c>
      <c r="C11" s="26" t="s">
        <v>101</v>
      </c>
      <c r="D11" s="48">
        <v>38718.0</v>
      </c>
      <c r="E11" s="49">
        <v>42500.0</v>
      </c>
      <c r="F11" s="26" t="s">
        <v>187</v>
      </c>
      <c r="G11" s="26" t="s">
        <v>188</v>
      </c>
      <c r="H11" s="7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>
      <c r="A12" s="26" t="s">
        <v>103</v>
      </c>
      <c r="B12" s="26" t="s">
        <v>104</v>
      </c>
      <c r="C12" s="26" t="s">
        <v>74</v>
      </c>
      <c r="D12" s="48">
        <v>38505.0</v>
      </c>
      <c r="E12" s="49">
        <v>69000.0</v>
      </c>
      <c r="F12" s="26" t="s">
        <v>187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>
      <c r="A13" s="26" t="s">
        <v>106</v>
      </c>
      <c r="B13" s="26" t="s">
        <v>107</v>
      </c>
      <c r="C13" s="26" t="s">
        <v>79</v>
      </c>
      <c r="D13" s="48">
        <v>36861.0</v>
      </c>
      <c r="E13" s="49">
        <v>49500.0</v>
      </c>
      <c r="F13" s="26" t="s">
        <v>187</v>
      </c>
      <c r="G13" s="26" t="s">
        <v>188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>
      <c r="A14" s="26" t="s">
        <v>109</v>
      </c>
      <c r="B14" s="26" t="s">
        <v>100</v>
      </c>
      <c r="C14" s="26" t="s">
        <v>110</v>
      </c>
      <c r="D14" s="48">
        <v>33267.0</v>
      </c>
      <c r="E14" s="49">
        <v>65000.0</v>
      </c>
      <c r="F14" s="26" t="s">
        <v>189</v>
      </c>
      <c r="G14" s="26" t="s">
        <v>190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>
      <c r="A15" s="26" t="s">
        <v>112</v>
      </c>
      <c r="B15" s="26" t="s">
        <v>113</v>
      </c>
      <c r="C15" s="26" t="s">
        <v>114</v>
      </c>
      <c r="D15" s="48">
        <v>36957.0</v>
      </c>
      <c r="E15" s="49">
        <v>18500.0</v>
      </c>
      <c r="F15" s="26" t="s">
        <v>187</v>
      </c>
      <c r="G15" s="26" t="s">
        <v>191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>
      <c r="A16" s="26" t="s">
        <v>116</v>
      </c>
      <c r="B16" s="26" t="s">
        <v>117</v>
      </c>
      <c r="C16" s="26" t="s">
        <v>118</v>
      </c>
      <c r="D16" s="48">
        <v>31510.0</v>
      </c>
      <c r="E16" s="49">
        <v>65000.0</v>
      </c>
      <c r="F16" s="26" t="s">
        <v>187</v>
      </c>
      <c r="G16" s="26" t="s">
        <v>190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>
      <c r="A17" s="26" t="s">
        <v>120</v>
      </c>
      <c r="B17" s="26" t="s">
        <v>121</v>
      </c>
      <c r="C17" s="26" t="s">
        <v>122</v>
      </c>
      <c r="D17" s="48">
        <v>37945.0</v>
      </c>
      <c r="E17" s="49">
        <v>58000.0</v>
      </c>
      <c r="F17" s="26" t="s">
        <v>189</v>
      </c>
      <c r="G17" s="26" t="s">
        <v>190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>
      <c r="A18" s="26" t="s">
        <v>124</v>
      </c>
      <c r="B18" s="26" t="s">
        <v>110</v>
      </c>
      <c r="C18" s="26" t="s">
        <v>125</v>
      </c>
      <c r="D18" s="48">
        <v>31147.0</v>
      </c>
      <c r="E18" s="49">
        <v>75000.0</v>
      </c>
      <c r="F18" s="26" t="s">
        <v>189</v>
      </c>
      <c r="G18" s="26" t="s">
        <v>190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>
      <c r="A19" s="26" t="s">
        <v>127</v>
      </c>
      <c r="B19" s="26" t="s">
        <v>128</v>
      </c>
      <c r="C19" s="26" t="s">
        <v>129</v>
      </c>
      <c r="D19" s="48">
        <v>33267.0</v>
      </c>
      <c r="E19" s="49">
        <v>58500.0</v>
      </c>
      <c r="F19" s="26" t="s">
        <v>189</v>
      </c>
      <c r="G19" s="26" t="s">
        <v>191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>
      <c r="A20" s="26" t="s">
        <v>131</v>
      </c>
      <c r="B20" s="26" t="s">
        <v>132</v>
      </c>
      <c r="C20" s="26" t="s">
        <v>133</v>
      </c>
      <c r="D20" s="48">
        <v>35992.0</v>
      </c>
      <c r="E20" s="49">
        <v>150000.0</v>
      </c>
      <c r="F20" s="26" t="s">
        <v>189</v>
      </c>
      <c r="G20" s="26" t="s">
        <v>190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>
      <c r="A21" s="26" t="s">
        <v>135</v>
      </c>
      <c r="B21" s="26" t="s">
        <v>136</v>
      </c>
      <c r="C21" s="26" t="s">
        <v>70</v>
      </c>
      <c r="D21" s="48">
        <v>37827.0</v>
      </c>
      <c r="E21" s="49">
        <v>45000.0</v>
      </c>
      <c r="F21" s="26" t="s">
        <v>187</v>
      </c>
      <c r="G21" s="26" t="s">
        <v>188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>
      <c r="A22" s="26" t="s">
        <v>138</v>
      </c>
      <c r="B22" s="26" t="s">
        <v>139</v>
      </c>
      <c r="C22" s="26" t="s">
        <v>140</v>
      </c>
      <c r="D22" s="48">
        <v>35964.0</v>
      </c>
      <c r="E22" s="49">
        <v>40000.0</v>
      </c>
      <c r="F22" s="26" t="s">
        <v>189</v>
      </c>
      <c r="G22" s="26" t="s">
        <v>191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>
      <c r="A23" s="26" t="s">
        <v>142</v>
      </c>
      <c r="B23" s="26" t="s">
        <v>143</v>
      </c>
      <c r="C23" s="26" t="s">
        <v>144</v>
      </c>
      <c r="D23" s="48">
        <v>30816.0</v>
      </c>
      <c r="E23" s="49">
        <v>79000.0</v>
      </c>
      <c r="F23" s="26" t="s">
        <v>187</v>
      </c>
      <c r="G23" s="26" t="s">
        <v>190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>
      <c r="A24" s="26" t="s">
        <v>146</v>
      </c>
      <c r="B24" s="26" t="s">
        <v>147</v>
      </c>
      <c r="C24" s="26" t="s">
        <v>118</v>
      </c>
      <c r="D24" s="48">
        <v>33770.0</v>
      </c>
      <c r="E24" s="49">
        <v>55000.0</v>
      </c>
      <c r="F24" s="26" t="s">
        <v>187</v>
      </c>
      <c r="G24" s="26" t="s">
        <v>188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>
      <c r="A25" s="26" t="s">
        <v>149</v>
      </c>
      <c r="B25" s="26" t="s">
        <v>150</v>
      </c>
      <c r="C25" s="26" t="s">
        <v>151</v>
      </c>
      <c r="D25" s="48">
        <v>38955.0</v>
      </c>
      <c r="E25" s="49">
        <v>23000.0</v>
      </c>
      <c r="F25" s="26" t="s">
        <v>189</v>
      </c>
      <c r="G25" s="26" t="s">
        <v>190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>
      <c r="A26" s="26" t="s">
        <v>153</v>
      </c>
      <c r="B26" s="26" t="s">
        <v>154</v>
      </c>
      <c r="C26" s="26" t="s">
        <v>129</v>
      </c>
      <c r="D26" s="48">
        <v>37533.0</v>
      </c>
      <c r="E26" s="49">
        <v>52000.0</v>
      </c>
      <c r="F26" s="26" t="s">
        <v>189</v>
      </c>
      <c r="G26" s="26" t="s">
        <v>191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>
      <c r="A27" s="26" t="s">
        <v>156</v>
      </c>
      <c r="B27" s="26" t="s">
        <v>157</v>
      </c>
      <c r="C27" s="26" t="s">
        <v>158</v>
      </c>
      <c r="D27" s="48">
        <v>35698.0</v>
      </c>
      <c r="E27" s="49">
        <v>38500.0</v>
      </c>
      <c r="F27" s="26" t="s">
        <v>187</v>
      </c>
      <c r="G27" s="26" t="s">
        <v>188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>
      <c r="A28" s="26" t="s">
        <v>160</v>
      </c>
      <c r="B28" s="26" t="s">
        <v>161</v>
      </c>
      <c r="C28" s="26" t="s">
        <v>129</v>
      </c>
      <c r="D28" s="48">
        <v>29427.0</v>
      </c>
      <c r="E28" s="49">
        <v>175000.0</v>
      </c>
      <c r="F28" s="26" t="s">
        <v>189</v>
      </c>
      <c r="G28" s="26" t="s">
        <v>190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>
      <c r="A30" s="18" t="str">
        <f>IFERROR(__xludf.DUMMYFUNCTION("QUERY(#REF!, ""select F, sum(E) group by F"")"),"#REF!")</f>
        <v>#REF!</v>
      </c>
      <c r="B30" s="3"/>
      <c r="C30" s="3"/>
      <c r="D30" s="3"/>
      <c r="E30" s="43" t="str">
        <f>IFERROR(__xludf.DUMMYFUNCTION("QUERY(#REF!, ""select C, B ,E where E&lt;50000 and (B='Martin' or B='Brown') order by E desc"")"),"#REF!")</f>
        <v>#REF!</v>
      </c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/>
  </sheetViews>
  <sheetFormatPr customHeight="1" defaultColWidth="12.63" defaultRowHeight="15.75"/>
  <cols>
    <col customWidth="1" min="8" max="8" width="15.25"/>
  </cols>
  <sheetData>
    <row r="1">
      <c r="A1" s="2" t="s">
        <v>217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3" t="s">
        <v>58</v>
      </c>
      <c r="B3" s="23" t="s">
        <v>59</v>
      </c>
      <c r="C3" s="23" t="s">
        <v>60</v>
      </c>
      <c r="D3" s="23" t="s">
        <v>61</v>
      </c>
      <c r="E3" s="23" t="s">
        <v>62</v>
      </c>
      <c r="F3" s="23" t="s">
        <v>185</v>
      </c>
      <c r="G3" s="23" t="s">
        <v>186</v>
      </c>
      <c r="H3" s="60" t="s">
        <v>218</v>
      </c>
      <c r="I3" s="7"/>
      <c r="J3" s="7" t="s">
        <v>67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6" t="s">
        <v>68</v>
      </c>
      <c r="B4" s="26" t="s">
        <v>69</v>
      </c>
      <c r="C4" s="26" t="s">
        <v>70</v>
      </c>
      <c r="D4" s="48">
        <v>38261.0</v>
      </c>
      <c r="E4" s="49">
        <v>57500.0</v>
      </c>
      <c r="F4" s="26" t="s">
        <v>187</v>
      </c>
      <c r="G4" s="26" t="s">
        <v>188</v>
      </c>
      <c r="H4" s="7" t="s">
        <v>219</v>
      </c>
      <c r="I4" s="7"/>
      <c r="J4" s="7" t="s">
        <v>220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6" t="s">
        <v>72</v>
      </c>
      <c r="B5" s="26" t="s">
        <v>73</v>
      </c>
      <c r="C5" s="26" t="s">
        <v>74</v>
      </c>
      <c r="D5" s="48">
        <v>36906.0</v>
      </c>
      <c r="E5" s="49">
        <v>19500.0</v>
      </c>
      <c r="F5" s="26" t="s">
        <v>187</v>
      </c>
      <c r="G5" s="26" t="s">
        <v>188</v>
      </c>
      <c r="H5" s="7" t="s">
        <v>221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6" t="s">
        <v>77</v>
      </c>
      <c r="B6" s="26" t="s">
        <v>78</v>
      </c>
      <c r="C6" s="26" t="s">
        <v>79</v>
      </c>
      <c r="D6" s="48">
        <v>35501.0</v>
      </c>
      <c r="E6" s="49">
        <v>69000.0</v>
      </c>
      <c r="F6" s="26" t="s">
        <v>187</v>
      </c>
      <c r="G6" s="26" t="s">
        <v>188</v>
      </c>
      <c r="H6" s="7" t="s">
        <v>222</v>
      </c>
      <c r="I6" s="61"/>
      <c r="J6" s="61" t="s">
        <v>186</v>
      </c>
      <c r="K6" s="7" t="s">
        <v>188</v>
      </c>
      <c r="L6" s="7" t="s">
        <v>221</v>
      </c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6" t="s">
        <v>82</v>
      </c>
      <c r="B7" s="26" t="s">
        <v>83</v>
      </c>
      <c r="C7" s="26" t="s">
        <v>84</v>
      </c>
      <c r="D7" s="48">
        <v>38578.0</v>
      </c>
      <c r="E7" s="49">
        <v>55000.0</v>
      </c>
      <c r="F7" s="26" t="s">
        <v>189</v>
      </c>
      <c r="G7" s="26" t="s">
        <v>190</v>
      </c>
      <c r="H7" s="7" t="s">
        <v>223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6" t="s">
        <v>87</v>
      </c>
      <c r="B8" s="26" t="s">
        <v>88</v>
      </c>
      <c r="C8" s="26" t="s">
        <v>89</v>
      </c>
      <c r="D8" s="48">
        <v>35188.0</v>
      </c>
      <c r="E8" s="49">
        <v>47500.0</v>
      </c>
      <c r="F8" s="26" t="s">
        <v>189</v>
      </c>
      <c r="G8" s="26" t="s">
        <v>190</v>
      </c>
      <c r="H8" s="7" t="s">
        <v>223</v>
      </c>
      <c r="I8" s="3"/>
      <c r="J8" s="3" t="str">
        <f>IFERROR(__xludf.DUMMYFUNCTION("QUERY(HW_EMPLOYEE,""select * where G = '""&amp; K6 &amp;""' and H = '"" &amp; L6 &amp; ""' and G is not NULL"")"),"ssn")</f>
        <v>ssn</v>
      </c>
      <c r="K8" s="3" t="str">
        <f>IFERROR(__xludf.DUMMYFUNCTION("""COMPUTED_VALUE"""),"lastname")</f>
        <v>lastname</v>
      </c>
      <c r="L8" s="3" t="str">
        <f>IFERROR(__xludf.DUMMYFUNCTION("""COMPUTED_VALUE"""),"firstname")</f>
        <v>firstname</v>
      </c>
      <c r="M8" s="3" t="str">
        <f>IFERROR(__xludf.DUMMYFUNCTION("""COMPUTED_VALUE"""),"hiredate")</f>
        <v>hiredate</v>
      </c>
      <c r="N8" s="3" t="str">
        <f>IFERROR(__xludf.DUMMYFUNCTION("""COMPUTED_VALUE"""),"salary")</f>
        <v>salary</v>
      </c>
      <c r="O8" s="3" t="str">
        <f>IFERROR(__xludf.DUMMYFUNCTION("""COMPUTED_VALUE"""),"gender")</f>
        <v>gender</v>
      </c>
      <c r="P8" s="3" t="str">
        <f>IFERROR(__xludf.DUMMYFUNCTION("""COMPUTED_VALUE"""),"performance")</f>
        <v>performance</v>
      </c>
      <c r="Q8" s="3" t="str">
        <f>IFERROR(__xludf.DUMMYFUNCTION("""COMPUTED_VALUE"""),"Career")</f>
        <v>Career</v>
      </c>
      <c r="R8" s="3"/>
      <c r="S8" s="3"/>
      <c r="T8" s="3"/>
      <c r="U8" s="3"/>
      <c r="V8" s="3"/>
      <c r="W8" s="3"/>
      <c r="X8" s="3"/>
      <c r="Y8" s="3"/>
      <c r="Z8" s="3"/>
    </row>
    <row r="9">
      <c r="A9" s="26" t="s">
        <v>91</v>
      </c>
      <c r="B9" s="26" t="s">
        <v>92</v>
      </c>
      <c r="C9" s="26" t="s">
        <v>93</v>
      </c>
      <c r="D9" s="48">
        <v>34014.0</v>
      </c>
      <c r="E9" s="49">
        <v>100000.0</v>
      </c>
      <c r="F9" s="3"/>
      <c r="G9" s="26" t="s">
        <v>190</v>
      </c>
      <c r="H9" s="7" t="s">
        <v>221</v>
      </c>
      <c r="I9" s="3"/>
      <c r="J9" s="3" t="str">
        <f>IFERROR(__xludf.DUMMYFUNCTION("""COMPUTED_VALUE"""),"000-02-2222")</f>
        <v>000-02-2222</v>
      </c>
      <c r="K9" s="3" t="str">
        <f>IFERROR(__xludf.DUMMYFUNCTION("""COMPUTED_VALUE"""),"Adams")</f>
        <v>Adams</v>
      </c>
      <c r="L9" s="3" t="str">
        <f>IFERROR(__xludf.DUMMYFUNCTION("""COMPUTED_VALUE"""),"Sandy")</f>
        <v>Sandy</v>
      </c>
      <c r="M9" s="48">
        <f>IFERROR(__xludf.DUMMYFUNCTION("""COMPUTED_VALUE"""),36906.0)</f>
        <v>36906</v>
      </c>
      <c r="N9" s="62">
        <f>IFERROR(__xludf.DUMMYFUNCTION("""COMPUTED_VALUE"""),19500.0)</f>
        <v>19500</v>
      </c>
      <c r="O9" s="3" t="str">
        <f>IFERROR(__xludf.DUMMYFUNCTION("""COMPUTED_VALUE"""),"F")</f>
        <v>F</v>
      </c>
      <c r="P9" s="3" t="str">
        <f>IFERROR(__xludf.DUMMYFUNCTION("""COMPUTED_VALUE"""),"Average")</f>
        <v>Average</v>
      </c>
      <c r="Q9" s="3" t="str">
        <f>IFERROR(__xludf.DUMMYFUNCTION("""COMPUTED_VALUE"""),"Engineer")</f>
        <v>Engineer</v>
      </c>
      <c r="R9" s="3"/>
      <c r="S9" s="3"/>
      <c r="T9" s="3"/>
      <c r="U9" s="3"/>
      <c r="V9" s="3"/>
      <c r="W9" s="3"/>
      <c r="X9" s="3"/>
      <c r="Y9" s="3"/>
      <c r="Z9" s="3"/>
    </row>
    <row r="10">
      <c r="A10" s="26" t="s">
        <v>95</v>
      </c>
      <c r="B10" s="26" t="s">
        <v>96</v>
      </c>
      <c r="C10" s="26" t="s">
        <v>97</v>
      </c>
      <c r="D10" s="48">
        <v>28212.0</v>
      </c>
      <c r="E10" s="49">
        <v>125000.0</v>
      </c>
      <c r="F10" s="26" t="s">
        <v>189</v>
      </c>
      <c r="G10" s="3"/>
      <c r="H10" s="7" t="s">
        <v>219</v>
      </c>
      <c r="I10" s="3"/>
      <c r="J10" s="3" t="str">
        <f>IFERROR(__xludf.DUMMYFUNCTION("""COMPUTED_VALUE"""),"333-34-3333")</f>
        <v>333-34-3333</v>
      </c>
      <c r="K10" s="3" t="str">
        <f>IFERROR(__xludf.DUMMYFUNCTION("""COMPUTED_VALUE"""),"Manin")</f>
        <v>Manin</v>
      </c>
      <c r="L10" s="3" t="str">
        <f>IFERROR(__xludf.DUMMYFUNCTION("""COMPUTED_VALUE"""),"Emily")</f>
        <v>Emily</v>
      </c>
      <c r="M10" s="48">
        <f>IFERROR(__xludf.DUMMYFUNCTION("""COMPUTED_VALUE"""),36861.0)</f>
        <v>36861</v>
      </c>
      <c r="N10" s="62">
        <f>IFERROR(__xludf.DUMMYFUNCTION("""COMPUTED_VALUE"""),49500.0)</f>
        <v>49500</v>
      </c>
      <c r="O10" s="3" t="str">
        <f>IFERROR(__xludf.DUMMYFUNCTION("""COMPUTED_VALUE"""),"F")</f>
        <v>F</v>
      </c>
      <c r="P10" s="3" t="str">
        <f>IFERROR(__xludf.DUMMYFUNCTION("""COMPUTED_VALUE"""),"Average")</f>
        <v>Average</v>
      </c>
      <c r="Q10" s="3" t="str">
        <f>IFERROR(__xludf.DUMMYFUNCTION("""COMPUTED_VALUE"""),"Engineer")</f>
        <v>Engineer</v>
      </c>
      <c r="R10" s="3"/>
      <c r="S10" s="3"/>
      <c r="T10" s="3"/>
      <c r="U10" s="3"/>
      <c r="V10" s="3"/>
      <c r="W10" s="3"/>
      <c r="X10" s="3"/>
      <c r="Y10" s="3"/>
      <c r="Z10" s="3"/>
    </row>
    <row r="11">
      <c r="A11" s="26" t="s">
        <v>99</v>
      </c>
      <c r="B11" s="26" t="s">
        <v>100</v>
      </c>
      <c r="C11" s="26" t="s">
        <v>101</v>
      </c>
      <c r="D11" s="48">
        <v>38718.0</v>
      </c>
      <c r="E11" s="49">
        <v>42500.0</v>
      </c>
      <c r="F11" s="26" t="s">
        <v>187</v>
      </c>
      <c r="G11" s="26" t="s">
        <v>188</v>
      </c>
      <c r="H11" s="7" t="s">
        <v>219</v>
      </c>
      <c r="I11" s="3"/>
      <c r="J11" s="3" t="str">
        <f>IFERROR(__xludf.DUMMYFUNCTION("""COMPUTED_VALUE"""),"555-22-3333")</f>
        <v>555-22-3333</v>
      </c>
      <c r="K11" s="3" t="str">
        <f>IFERROR(__xludf.DUMMYFUNCTION("""COMPUTED_VALUE"""),"Rubin")</f>
        <v>Rubin</v>
      </c>
      <c r="L11" s="3" t="str">
        <f>IFERROR(__xludf.DUMMYFUNCTION("""COMPUTED_VALUE"""),"Patricia")</f>
        <v>Patricia</v>
      </c>
      <c r="M11" s="48">
        <f>IFERROR(__xludf.DUMMYFUNCTION("""COMPUTED_VALUE"""),37827.0)</f>
        <v>37827</v>
      </c>
      <c r="N11" s="62">
        <f>IFERROR(__xludf.DUMMYFUNCTION("""COMPUTED_VALUE"""),45000.0)</f>
        <v>45000</v>
      </c>
      <c r="O11" s="3" t="str">
        <f>IFERROR(__xludf.DUMMYFUNCTION("""COMPUTED_VALUE"""),"F")</f>
        <v>F</v>
      </c>
      <c r="P11" s="3" t="str">
        <f>IFERROR(__xludf.DUMMYFUNCTION("""COMPUTED_VALUE"""),"Average")</f>
        <v>Average</v>
      </c>
      <c r="Q11" s="3" t="str">
        <f>IFERROR(__xludf.DUMMYFUNCTION("""COMPUTED_VALUE"""),"Engineer")</f>
        <v>Engineer</v>
      </c>
      <c r="R11" s="3"/>
      <c r="S11" s="3"/>
      <c r="T11" s="3"/>
      <c r="U11" s="3"/>
      <c r="V11" s="3"/>
      <c r="W11" s="3"/>
      <c r="X11" s="3"/>
      <c r="Y11" s="3"/>
      <c r="Z11" s="3"/>
    </row>
    <row r="12">
      <c r="A12" s="26" t="s">
        <v>103</v>
      </c>
      <c r="B12" s="26" t="s">
        <v>104</v>
      </c>
      <c r="C12" s="26" t="s">
        <v>74</v>
      </c>
      <c r="D12" s="48">
        <v>38505.0</v>
      </c>
      <c r="E12" s="49">
        <v>69000.0</v>
      </c>
      <c r="F12" s="26" t="s">
        <v>187</v>
      </c>
      <c r="G12" s="3"/>
      <c r="H12" s="7" t="s">
        <v>221</v>
      </c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6" t="s">
        <v>106</v>
      </c>
      <c r="B13" s="26" t="s">
        <v>107</v>
      </c>
      <c r="C13" s="26" t="s">
        <v>79</v>
      </c>
      <c r="D13" s="48">
        <v>36861.0</v>
      </c>
      <c r="E13" s="49">
        <v>49500.0</v>
      </c>
      <c r="F13" s="26" t="s">
        <v>187</v>
      </c>
      <c r="G13" s="26" t="s">
        <v>188</v>
      </c>
      <c r="H13" s="7" t="s">
        <v>221</v>
      </c>
      <c r="I13" s="3"/>
      <c r="J13" s="2" t="s">
        <v>224</v>
      </c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6" t="s">
        <v>109</v>
      </c>
      <c r="B14" s="26" t="s">
        <v>100</v>
      </c>
      <c r="C14" s="26" t="s">
        <v>110</v>
      </c>
      <c r="D14" s="48">
        <v>33267.0</v>
      </c>
      <c r="E14" s="49">
        <v>65000.0</v>
      </c>
      <c r="F14" s="26" t="s">
        <v>189</v>
      </c>
      <c r="G14" s="26" t="s">
        <v>190</v>
      </c>
      <c r="H14" s="7" t="s">
        <v>219</v>
      </c>
      <c r="I14" s="3"/>
      <c r="J14" s="63" t="s">
        <v>225</v>
      </c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6" t="s">
        <v>112</v>
      </c>
      <c r="B15" s="26" t="s">
        <v>113</v>
      </c>
      <c r="C15" s="26" t="s">
        <v>114</v>
      </c>
      <c r="D15" s="48">
        <v>36957.0</v>
      </c>
      <c r="E15" s="49">
        <v>18500.0</v>
      </c>
      <c r="F15" s="26" t="s">
        <v>187</v>
      </c>
      <c r="G15" s="26" t="s">
        <v>191</v>
      </c>
      <c r="H15" s="7" t="s">
        <v>223</v>
      </c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6" t="s">
        <v>116</v>
      </c>
      <c r="B16" s="26" t="s">
        <v>117</v>
      </c>
      <c r="C16" s="26" t="s">
        <v>118</v>
      </c>
      <c r="D16" s="48">
        <v>31510.0</v>
      </c>
      <c r="E16" s="49">
        <v>65000.0</v>
      </c>
      <c r="F16" s="26" t="s">
        <v>187</v>
      </c>
      <c r="G16" s="26" t="s">
        <v>190</v>
      </c>
      <c r="H16" s="7" t="s">
        <v>223</v>
      </c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6" t="s">
        <v>120</v>
      </c>
      <c r="B17" s="26" t="s">
        <v>121</v>
      </c>
      <c r="C17" s="26" t="s">
        <v>122</v>
      </c>
      <c r="D17" s="48">
        <v>37945.0</v>
      </c>
      <c r="E17" s="49">
        <v>58000.0</v>
      </c>
      <c r="F17" s="26" t="s">
        <v>189</v>
      </c>
      <c r="G17" s="26" t="s">
        <v>190</v>
      </c>
      <c r="H17" s="7" t="s">
        <v>219</v>
      </c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6" t="s">
        <v>124</v>
      </c>
      <c r="B18" s="26" t="s">
        <v>110</v>
      </c>
      <c r="C18" s="26" t="s">
        <v>125</v>
      </c>
      <c r="D18" s="48">
        <v>31147.0</v>
      </c>
      <c r="E18" s="49">
        <v>75000.0</v>
      </c>
      <c r="F18" s="26" t="s">
        <v>189</v>
      </c>
      <c r="G18" s="26" t="s">
        <v>190</v>
      </c>
      <c r="H18" s="7" t="s">
        <v>222</v>
      </c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6" t="s">
        <v>127</v>
      </c>
      <c r="B19" s="26" t="s">
        <v>128</v>
      </c>
      <c r="C19" s="26" t="s">
        <v>129</v>
      </c>
      <c r="D19" s="48">
        <v>33267.0</v>
      </c>
      <c r="E19" s="49">
        <v>58500.0</v>
      </c>
      <c r="F19" s="26" t="s">
        <v>189</v>
      </c>
      <c r="G19" s="26" t="s">
        <v>191</v>
      </c>
      <c r="H19" s="7" t="s">
        <v>222</v>
      </c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6" t="s">
        <v>131</v>
      </c>
      <c r="B20" s="26" t="s">
        <v>132</v>
      </c>
      <c r="C20" s="26" t="s">
        <v>133</v>
      </c>
      <c r="D20" s="48">
        <v>35992.0</v>
      </c>
      <c r="E20" s="49">
        <v>150000.0</v>
      </c>
      <c r="F20" s="26" t="s">
        <v>189</v>
      </c>
      <c r="G20" s="26" t="s">
        <v>190</v>
      </c>
      <c r="H20" s="7" t="s">
        <v>222</v>
      </c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6" t="s">
        <v>135</v>
      </c>
      <c r="B21" s="26" t="s">
        <v>136</v>
      </c>
      <c r="C21" s="26" t="s">
        <v>70</v>
      </c>
      <c r="D21" s="48">
        <v>37827.0</v>
      </c>
      <c r="E21" s="49">
        <v>45000.0</v>
      </c>
      <c r="F21" s="26" t="s">
        <v>187</v>
      </c>
      <c r="G21" s="26" t="s">
        <v>188</v>
      </c>
      <c r="H21" s="7" t="s">
        <v>221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6" t="s">
        <v>138</v>
      </c>
      <c r="B22" s="26" t="s">
        <v>139</v>
      </c>
      <c r="C22" s="26" t="s">
        <v>140</v>
      </c>
      <c r="D22" s="48">
        <v>35964.0</v>
      </c>
      <c r="E22" s="49">
        <v>40000.0</v>
      </c>
      <c r="F22" s="26" t="s">
        <v>189</v>
      </c>
      <c r="G22" s="26" t="s">
        <v>191</v>
      </c>
      <c r="H22" s="7" t="s">
        <v>221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6" t="s">
        <v>142</v>
      </c>
      <c r="B23" s="26" t="s">
        <v>143</v>
      </c>
      <c r="C23" s="26" t="s">
        <v>144</v>
      </c>
      <c r="D23" s="48">
        <v>30816.0</v>
      </c>
      <c r="E23" s="49">
        <v>79000.0</v>
      </c>
      <c r="F23" s="26" t="s">
        <v>187</v>
      </c>
      <c r="G23" s="26" t="s">
        <v>190</v>
      </c>
      <c r="H23" s="7" t="s">
        <v>221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6" t="s">
        <v>146</v>
      </c>
      <c r="B24" s="26" t="s">
        <v>147</v>
      </c>
      <c r="C24" s="26" t="s">
        <v>118</v>
      </c>
      <c r="D24" s="48">
        <v>33770.0</v>
      </c>
      <c r="E24" s="49">
        <v>55000.0</v>
      </c>
      <c r="F24" s="26" t="s">
        <v>187</v>
      </c>
      <c r="G24" s="26" t="s">
        <v>188</v>
      </c>
      <c r="H24" s="7" t="s">
        <v>219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6" t="s">
        <v>149</v>
      </c>
      <c r="B25" s="26" t="s">
        <v>150</v>
      </c>
      <c r="C25" s="26" t="s">
        <v>151</v>
      </c>
      <c r="D25" s="48">
        <v>38955.0</v>
      </c>
      <c r="E25" s="49">
        <v>23000.0</v>
      </c>
      <c r="F25" s="26" t="s">
        <v>189</v>
      </c>
      <c r="G25" s="26" t="s">
        <v>190</v>
      </c>
      <c r="H25" s="7" t="s">
        <v>222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6" t="s">
        <v>153</v>
      </c>
      <c r="B26" s="26" t="s">
        <v>154</v>
      </c>
      <c r="C26" s="26" t="s">
        <v>129</v>
      </c>
      <c r="D26" s="48">
        <v>37533.0</v>
      </c>
      <c r="E26" s="49">
        <v>52000.0</v>
      </c>
      <c r="F26" s="26" t="s">
        <v>189</v>
      </c>
      <c r="G26" s="26" t="s">
        <v>191</v>
      </c>
      <c r="H26" s="7" t="s">
        <v>223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6" t="s">
        <v>156</v>
      </c>
      <c r="B27" s="26" t="s">
        <v>157</v>
      </c>
      <c r="C27" s="26" t="s">
        <v>158</v>
      </c>
      <c r="D27" s="48">
        <v>35698.0</v>
      </c>
      <c r="E27" s="49">
        <v>38500.0</v>
      </c>
      <c r="F27" s="26" t="s">
        <v>187</v>
      </c>
      <c r="G27" s="26" t="s">
        <v>188</v>
      </c>
      <c r="H27" s="7" t="s">
        <v>222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6" t="s">
        <v>160</v>
      </c>
      <c r="B28" s="26" t="s">
        <v>161</v>
      </c>
      <c r="C28" s="26" t="s">
        <v>129</v>
      </c>
      <c r="D28" s="48">
        <v>29427.0</v>
      </c>
      <c r="E28" s="49">
        <v>175000.0</v>
      </c>
      <c r="F28" s="26" t="s">
        <v>189</v>
      </c>
      <c r="G28" s="26" t="s">
        <v>190</v>
      </c>
      <c r="H28" s="7" t="s">
        <v>219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>
    <dataValidation type="list" allowBlank="1" showErrorMessage="1" sqref="K6">
      <formula1>'10 - Project Dynamic Query'!$G$4:$G$28</formula1>
    </dataValidation>
    <dataValidation type="list" allowBlank="1" showErrorMessage="1" sqref="L6">
      <formula1>'10 - Project Dynamic Query'!$H$4:$H$28</formula1>
    </dataValidation>
  </dataValidation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6" width="18.88"/>
  </cols>
  <sheetData>
    <row r="1">
      <c r="A1" s="2" t="s">
        <v>21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2" t="s">
        <v>224</v>
      </c>
      <c r="P1" s="3"/>
      <c r="Q1" s="3"/>
      <c r="R1" s="3"/>
      <c r="S1" s="3"/>
      <c r="T1" s="3"/>
      <c r="U1" s="3"/>
      <c r="V1" s="3"/>
      <c r="W1" s="3"/>
      <c r="X1" s="3"/>
      <c r="Y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64" t="s">
        <v>226</v>
      </c>
      <c r="P2" s="3"/>
      <c r="Q2" s="3"/>
      <c r="R2" s="3"/>
      <c r="S2" s="3"/>
      <c r="T2" s="3"/>
      <c r="U2" s="3"/>
      <c r="V2" s="3"/>
      <c r="W2" s="3"/>
      <c r="X2" s="3"/>
      <c r="Y2" s="3"/>
    </row>
    <row r="3">
      <c r="A3" s="65" t="s">
        <v>227</v>
      </c>
      <c r="B3" s="66"/>
      <c r="C3" s="66"/>
      <c r="D3" s="66"/>
      <c r="E3" s="66"/>
      <c r="F3" s="66"/>
      <c r="G3" s="66"/>
      <c r="H3" s="67"/>
      <c r="I3" s="67"/>
      <c r="J3" s="3"/>
      <c r="K3" s="2"/>
      <c r="L3" s="2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>
      <c r="A4" s="23" t="s">
        <v>58</v>
      </c>
      <c r="B4" s="23" t="s">
        <v>59</v>
      </c>
      <c r="C4" s="23" t="s">
        <v>60</v>
      </c>
      <c r="D4" s="23" t="s">
        <v>61</v>
      </c>
      <c r="E4" s="23" t="s">
        <v>62</v>
      </c>
      <c r="F4" s="23" t="s">
        <v>185</v>
      </c>
      <c r="G4" s="23" t="s">
        <v>186</v>
      </c>
      <c r="H4" s="24" t="s">
        <v>228</v>
      </c>
      <c r="I4" s="24" t="s">
        <v>229</v>
      </c>
      <c r="J4" s="68" t="s">
        <v>230</v>
      </c>
      <c r="K4" s="68" t="s">
        <v>231</v>
      </c>
      <c r="L4" s="68" t="s">
        <v>232</v>
      </c>
      <c r="M4" s="68" t="s">
        <v>233</v>
      </c>
      <c r="N4" s="68" t="s">
        <v>234</v>
      </c>
      <c r="O4" s="69" t="s">
        <v>235</v>
      </c>
      <c r="P4" s="69" t="s">
        <v>236</v>
      </c>
      <c r="Q4" s="69" t="s">
        <v>237</v>
      </c>
      <c r="R4" s="69" t="s">
        <v>238</v>
      </c>
      <c r="S4" s="3"/>
      <c r="T4" s="3"/>
      <c r="U4" s="3"/>
      <c r="V4" s="3"/>
      <c r="W4" s="3"/>
      <c r="X4" s="3"/>
      <c r="Y4" s="3"/>
    </row>
    <row r="5">
      <c r="A5" s="26" t="s">
        <v>68</v>
      </c>
      <c r="B5" s="26" t="s">
        <v>69</v>
      </c>
      <c r="C5" s="26" t="s">
        <v>70</v>
      </c>
      <c r="D5" s="48">
        <v>38261.0</v>
      </c>
      <c r="E5" s="49">
        <v>57500.0</v>
      </c>
      <c r="F5" s="26" t="s">
        <v>187</v>
      </c>
      <c r="G5" s="26" t="s">
        <v>188</v>
      </c>
      <c r="H5" s="70">
        <v>2.0</v>
      </c>
      <c r="I5" s="70">
        <v>2.0</v>
      </c>
      <c r="J5" s="71" t="str">
        <f t="array" ref="J5:N29">VLOOKUP(I5:I29, LOCATION, SEQUENCE(1,5,2,1), FALSE)</f>
        <v>Boston</v>
      </c>
      <c r="K5" s="7" t="s">
        <v>239</v>
      </c>
      <c r="L5" s="7" t="s">
        <v>240</v>
      </c>
      <c r="M5" s="3">
        <v>2190.0</v>
      </c>
      <c r="N5" s="3" t="s">
        <v>241</v>
      </c>
      <c r="O5" s="71" t="str">
        <f t="array" ref="O5:R29">VLOOKUP(H5:H29, POSITION, SEQUENCE(1,4,2,1), FALSE)</f>
        <v>Manager</v>
      </c>
      <c r="P5" s="3" t="s">
        <v>242</v>
      </c>
      <c r="Q5" s="72">
        <v>50000.0</v>
      </c>
      <c r="R5" s="72">
        <v>150000.0</v>
      </c>
      <c r="S5" s="3"/>
      <c r="T5" s="3"/>
      <c r="U5" s="3"/>
      <c r="V5" s="3"/>
      <c r="W5" s="3"/>
      <c r="X5" s="3"/>
      <c r="Y5" s="3"/>
    </row>
    <row r="6">
      <c r="A6" s="26" t="s">
        <v>72</v>
      </c>
      <c r="B6" s="26" t="s">
        <v>73</v>
      </c>
      <c r="C6" s="26" t="s">
        <v>74</v>
      </c>
      <c r="D6" s="48">
        <v>36906.0</v>
      </c>
      <c r="E6" s="49">
        <v>19500.0</v>
      </c>
      <c r="F6" s="26" t="s">
        <v>187</v>
      </c>
      <c r="G6" s="26" t="s">
        <v>188</v>
      </c>
      <c r="H6" s="70">
        <v>3.0</v>
      </c>
      <c r="I6" s="70">
        <v>1.0</v>
      </c>
      <c r="J6" s="7" t="s">
        <v>243</v>
      </c>
      <c r="K6" s="7" t="s">
        <v>244</v>
      </c>
      <c r="L6" s="7" t="s">
        <v>245</v>
      </c>
      <c r="M6" s="3">
        <v>30316.0</v>
      </c>
      <c r="N6" s="3" t="s">
        <v>246</v>
      </c>
      <c r="O6" s="3" t="s">
        <v>247</v>
      </c>
      <c r="P6" s="3" t="s">
        <v>248</v>
      </c>
      <c r="Q6" s="72">
        <v>18000.0</v>
      </c>
      <c r="R6" s="72">
        <v>25000.0</v>
      </c>
      <c r="S6" s="3"/>
      <c r="T6" s="3"/>
      <c r="U6" s="3"/>
      <c r="V6" s="3"/>
      <c r="W6" s="3"/>
      <c r="X6" s="3"/>
      <c r="Y6" s="3"/>
    </row>
    <row r="7">
      <c r="A7" s="26" t="s">
        <v>77</v>
      </c>
      <c r="B7" s="26" t="s">
        <v>78</v>
      </c>
      <c r="C7" s="26" t="s">
        <v>79</v>
      </c>
      <c r="D7" s="48">
        <v>35501.0</v>
      </c>
      <c r="E7" s="49">
        <v>69000.0</v>
      </c>
      <c r="F7" s="26" t="s">
        <v>187</v>
      </c>
      <c r="G7" s="26" t="s">
        <v>188</v>
      </c>
      <c r="H7" s="70">
        <v>2.0</v>
      </c>
      <c r="I7" s="70">
        <v>5.0</v>
      </c>
      <c r="J7" s="3" t="s">
        <v>249</v>
      </c>
      <c r="K7" s="7" t="s">
        <v>250</v>
      </c>
      <c r="L7" s="7" t="s">
        <v>251</v>
      </c>
      <c r="M7" s="3">
        <v>15648.0</v>
      </c>
      <c r="N7" s="3" t="s">
        <v>252</v>
      </c>
      <c r="O7" s="3" t="s">
        <v>201</v>
      </c>
      <c r="P7" s="3" t="s">
        <v>242</v>
      </c>
      <c r="Q7" s="72">
        <v>50000.0</v>
      </c>
      <c r="R7" s="72">
        <v>150000.0</v>
      </c>
      <c r="S7" s="3"/>
      <c r="T7" s="3"/>
      <c r="U7" s="3"/>
      <c r="V7" s="3"/>
      <c r="W7" s="3"/>
      <c r="X7" s="3"/>
      <c r="Y7" s="3"/>
    </row>
    <row r="8">
      <c r="A8" s="26" t="s">
        <v>82</v>
      </c>
      <c r="B8" s="26" t="s">
        <v>83</v>
      </c>
      <c r="C8" s="26" t="s">
        <v>84</v>
      </c>
      <c r="D8" s="48">
        <v>38578.0</v>
      </c>
      <c r="E8" s="49">
        <v>55000.0</v>
      </c>
      <c r="F8" s="26" t="s">
        <v>189</v>
      </c>
      <c r="G8" s="26" t="s">
        <v>190</v>
      </c>
      <c r="H8" s="70">
        <v>1.0</v>
      </c>
      <c r="I8" s="70">
        <v>3.0</v>
      </c>
      <c r="J8" s="3" t="s">
        <v>253</v>
      </c>
      <c r="K8" s="3" t="s">
        <v>254</v>
      </c>
      <c r="L8" s="3" t="s">
        <v>255</v>
      </c>
      <c r="M8" s="3">
        <v>60620.0</v>
      </c>
      <c r="N8" s="3" t="s">
        <v>256</v>
      </c>
      <c r="O8" s="3" t="s">
        <v>257</v>
      </c>
      <c r="P8" s="3" t="s">
        <v>242</v>
      </c>
      <c r="Q8" s="72">
        <v>25000.0</v>
      </c>
      <c r="R8" s="72">
        <v>75000.0</v>
      </c>
      <c r="S8" s="3"/>
      <c r="T8" s="3"/>
      <c r="U8" s="3"/>
      <c r="V8" s="3"/>
      <c r="W8" s="3"/>
      <c r="X8" s="3"/>
      <c r="Y8" s="3"/>
    </row>
    <row r="9">
      <c r="A9" s="26" t="s">
        <v>87</v>
      </c>
      <c r="B9" s="26" t="s">
        <v>88</v>
      </c>
      <c r="C9" s="26" t="s">
        <v>89</v>
      </c>
      <c r="D9" s="48">
        <v>35188.0</v>
      </c>
      <c r="E9" s="49">
        <v>47500.0</v>
      </c>
      <c r="F9" s="26" t="s">
        <v>189</v>
      </c>
      <c r="G9" s="26" t="s">
        <v>190</v>
      </c>
      <c r="H9" s="70">
        <v>1.0</v>
      </c>
      <c r="I9" s="70">
        <v>3.0</v>
      </c>
      <c r="J9" s="3" t="s">
        <v>253</v>
      </c>
      <c r="K9" s="3" t="s">
        <v>254</v>
      </c>
      <c r="L9" s="3" t="s">
        <v>255</v>
      </c>
      <c r="M9" s="3">
        <v>60620.0</v>
      </c>
      <c r="N9" s="3" t="s">
        <v>256</v>
      </c>
      <c r="O9" s="3" t="s">
        <v>257</v>
      </c>
      <c r="P9" s="3" t="s">
        <v>242</v>
      </c>
      <c r="Q9" s="72">
        <v>25000.0</v>
      </c>
      <c r="R9" s="72">
        <v>75000.0</v>
      </c>
      <c r="S9" s="3"/>
      <c r="T9" s="3"/>
      <c r="U9" s="3"/>
      <c r="V9" s="3"/>
      <c r="W9" s="3"/>
      <c r="X9" s="3"/>
      <c r="Y9" s="3"/>
    </row>
    <row r="10">
      <c r="A10" s="26" t="s">
        <v>91</v>
      </c>
      <c r="B10" s="26" t="s">
        <v>92</v>
      </c>
      <c r="C10" s="26" t="s">
        <v>93</v>
      </c>
      <c r="D10" s="48">
        <v>34014.0</v>
      </c>
      <c r="E10" s="49">
        <v>100000.0</v>
      </c>
      <c r="F10" s="3"/>
      <c r="G10" s="26" t="s">
        <v>190</v>
      </c>
      <c r="H10" s="70">
        <v>2.0</v>
      </c>
      <c r="I10" s="70">
        <v>1.0</v>
      </c>
      <c r="J10" s="3" t="s">
        <v>243</v>
      </c>
      <c r="K10" s="3" t="s">
        <v>244</v>
      </c>
      <c r="L10" s="3" t="s">
        <v>245</v>
      </c>
      <c r="M10" s="3">
        <v>30316.0</v>
      </c>
      <c r="N10" s="3" t="s">
        <v>246</v>
      </c>
      <c r="O10" s="3" t="s">
        <v>201</v>
      </c>
      <c r="P10" s="3" t="s">
        <v>242</v>
      </c>
      <c r="Q10" s="72">
        <v>50000.0</v>
      </c>
      <c r="R10" s="72">
        <v>150000.0</v>
      </c>
      <c r="S10" s="3"/>
      <c r="T10" s="3"/>
      <c r="U10" s="3"/>
      <c r="V10" s="3"/>
      <c r="W10" s="3"/>
      <c r="X10" s="3"/>
      <c r="Y10" s="3"/>
    </row>
    <row r="11">
      <c r="A11" s="26" t="s">
        <v>95</v>
      </c>
      <c r="B11" s="26" t="s">
        <v>96</v>
      </c>
      <c r="C11" s="26" t="s">
        <v>97</v>
      </c>
      <c r="D11" s="48">
        <v>28212.0</v>
      </c>
      <c r="E11" s="49">
        <v>125000.0</v>
      </c>
      <c r="F11" s="26" t="s">
        <v>189</v>
      </c>
      <c r="G11" s="3"/>
      <c r="H11" s="70">
        <v>2.0</v>
      </c>
      <c r="I11" s="70">
        <v>4.0</v>
      </c>
      <c r="J11" s="3" t="s">
        <v>258</v>
      </c>
      <c r="K11" s="3" t="s">
        <v>259</v>
      </c>
      <c r="L11" s="3" t="s">
        <v>260</v>
      </c>
      <c r="M11" s="3">
        <v>33103.0</v>
      </c>
      <c r="N11" s="3" t="s">
        <v>261</v>
      </c>
      <c r="O11" s="3" t="s">
        <v>201</v>
      </c>
      <c r="P11" s="3" t="s">
        <v>242</v>
      </c>
      <c r="Q11" s="72">
        <v>50000.0</v>
      </c>
      <c r="R11" s="72">
        <v>150000.0</v>
      </c>
      <c r="S11" s="3"/>
      <c r="T11" s="3"/>
      <c r="U11" s="3"/>
      <c r="V11" s="3"/>
      <c r="W11" s="3"/>
      <c r="X11" s="3"/>
      <c r="Y11" s="3"/>
    </row>
    <row r="12">
      <c r="A12" s="26" t="s">
        <v>99</v>
      </c>
      <c r="B12" s="26" t="s">
        <v>100</v>
      </c>
      <c r="C12" s="26" t="s">
        <v>101</v>
      </c>
      <c r="D12" s="48">
        <v>38718.0</v>
      </c>
      <c r="E12" s="49">
        <v>42500.0</v>
      </c>
      <c r="F12" s="26" t="s">
        <v>187</v>
      </c>
      <c r="G12" s="26" t="s">
        <v>188</v>
      </c>
      <c r="H12" s="70">
        <v>1.0</v>
      </c>
      <c r="I12" s="70">
        <v>3.0</v>
      </c>
      <c r="J12" s="3" t="s">
        <v>253</v>
      </c>
      <c r="K12" s="3" t="s">
        <v>254</v>
      </c>
      <c r="L12" s="3" t="s">
        <v>255</v>
      </c>
      <c r="M12" s="3">
        <v>60620.0</v>
      </c>
      <c r="N12" s="3" t="s">
        <v>256</v>
      </c>
      <c r="O12" s="3" t="s">
        <v>257</v>
      </c>
      <c r="P12" s="3" t="s">
        <v>242</v>
      </c>
      <c r="Q12" s="72">
        <v>25000.0</v>
      </c>
      <c r="R12" s="72">
        <v>75000.0</v>
      </c>
      <c r="S12" s="3"/>
      <c r="T12" s="3"/>
      <c r="U12" s="3"/>
      <c r="V12" s="3"/>
      <c r="W12" s="3"/>
      <c r="X12" s="3"/>
      <c r="Y12" s="3"/>
    </row>
    <row r="13">
      <c r="A13" s="26" t="s">
        <v>103</v>
      </c>
      <c r="B13" s="26" t="s">
        <v>104</v>
      </c>
      <c r="C13" s="26" t="s">
        <v>74</v>
      </c>
      <c r="D13" s="48">
        <v>38505.0</v>
      </c>
      <c r="E13" s="49">
        <v>69000.0</v>
      </c>
      <c r="F13" s="26" t="s">
        <v>187</v>
      </c>
      <c r="G13" s="3"/>
      <c r="H13" s="70">
        <v>1.0</v>
      </c>
      <c r="I13" s="70">
        <v>6.0</v>
      </c>
      <c r="J13" s="3" t="s">
        <v>262</v>
      </c>
      <c r="K13" s="3" t="s">
        <v>263</v>
      </c>
      <c r="L13" s="3" t="s">
        <v>264</v>
      </c>
      <c r="M13" s="3">
        <v>54657.0</v>
      </c>
      <c r="N13" s="3" t="s">
        <v>265</v>
      </c>
      <c r="O13" s="3" t="s">
        <v>257</v>
      </c>
      <c r="P13" s="3" t="s">
        <v>242</v>
      </c>
      <c r="Q13" s="72">
        <v>25000.0</v>
      </c>
      <c r="R13" s="72">
        <v>75000.0</v>
      </c>
      <c r="S13" s="3"/>
      <c r="T13" s="3"/>
      <c r="U13" s="3"/>
      <c r="V13" s="3"/>
      <c r="W13" s="3"/>
      <c r="X13" s="3"/>
      <c r="Y13" s="3"/>
    </row>
    <row r="14">
      <c r="A14" s="26" t="s">
        <v>106</v>
      </c>
      <c r="B14" s="26" t="s">
        <v>107</v>
      </c>
      <c r="C14" s="26" t="s">
        <v>79</v>
      </c>
      <c r="D14" s="48">
        <v>36861.0</v>
      </c>
      <c r="E14" s="49">
        <v>49500.0</v>
      </c>
      <c r="F14" s="26" t="s">
        <v>187</v>
      </c>
      <c r="G14" s="26" t="s">
        <v>188</v>
      </c>
      <c r="H14" s="70">
        <v>1.0</v>
      </c>
      <c r="I14" s="70">
        <v>2.0</v>
      </c>
      <c r="J14" s="3" t="s">
        <v>266</v>
      </c>
      <c r="K14" s="3" t="s">
        <v>239</v>
      </c>
      <c r="L14" s="3" t="s">
        <v>240</v>
      </c>
      <c r="M14" s="3">
        <v>2190.0</v>
      </c>
      <c r="N14" s="3" t="s">
        <v>241</v>
      </c>
      <c r="O14" s="3" t="s">
        <v>257</v>
      </c>
      <c r="P14" s="3" t="s">
        <v>242</v>
      </c>
      <c r="Q14" s="72">
        <v>25000.0</v>
      </c>
      <c r="R14" s="72">
        <v>75000.0</v>
      </c>
      <c r="S14" s="3"/>
      <c r="T14" s="3"/>
      <c r="U14" s="3"/>
      <c r="V14" s="3"/>
      <c r="W14" s="3"/>
      <c r="X14" s="3"/>
      <c r="Y14" s="3"/>
    </row>
    <row r="15">
      <c r="A15" s="26" t="s">
        <v>109</v>
      </c>
      <c r="B15" s="26" t="s">
        <v>100</v>
      </c>
      <c r="C15" s="26" t="s">
        <v>110</v>
      </c>
      <c r="D15" s="48">
        <v>33267.0</v>
      </c>
      <c r="E15" s="49">
        <v>65000.0</v>
      </c>
      <c r="F15" s="26" t="s">
        <v>189</v>
      </c>
      <c r="G15" s="26" t="s">
        <v>190</v>
      </c>
      <c r="H15" s="70">
        <v>1.0</v>
      </c>
      <c r="I15" s="70">
        <v>1.0</v>
      </c>
      <c r="J15" s="3" t="s">
        <v>243</v>
      </c>
      <c r="K15" s="3" t="s">
        <v>244</v>
      </c>
      <c r="L15" s="3" t="s">
        <v>245</v>
      </c>
      <c r="M15" s="3">
        <v>30316.0</v>
      </c>
      <c r="N15" s="3" t="s">
        <v>246</v>
      </c>
      <c r="O15" s="3" t="s">
        <v>257</v>
      </c>
      <c r="P15" s="3" t="s">
        <v>242</v>
      </c>
      <c r="Q15" s="72">
        <v>25000.0</v>
      </c>
      <c r="R15" s="72">
        <v>75000.0</v>
      </c>
      <c r="S15" s="3"/>
      <c r="T15" s="3"/>
      <c r="U15" s="3"/>
      <c r="V15" s="3"/>
      <c r="W15" s="3"/>
      <c r="X15" s="3"/>
      <c r="Y15" s="3"/>
    </row>
    <row r="16">
      <c r="A16" s="26" t="s">
        <v>112</v>
      </c>
      <c r="B16" s="26" t="s">
        <v>113</v>
      </c>
      <c r="C16" s="26" t="s">
        <v>114</v>
      </c>
      <c r="D16" s="48">
        <v>36957.0</v>
      </c>
      <c r="E16" s="49">
        <v>18500.0</v>
      </c>
      <c r="F16" s="26" t="s">
        <v>187</v>
      </c>
      <c r="G16" s="26" t="s">
        <v>191</v>
      </c>
      <c r="H16" s="70">
        <v>3.0</v>
      </c>
      <c r="I16" s="70">
        <v>1.0</v>
      </c>
      <c r="J16" s="3" t="s">
        <v>243</v>
      </c>
      <c r="K16" s="3" t="s">
        <v>244</v>
      </c>
      <c r="L16" s="3" t="s">
        <v>245</v>
      </c>
      <c r="M16" s="3">
        <v>30316.0</v>
      </c>
      <c r="N16" s="3" t="s">
        <v>246</v>
      </c>
      <c r="O16" s="3" t="s">
        <v>247</v>
      </c>
      <c r="P16" s="3" t="s">
        <v>248</v>
      </c>
      <c r="Q16" s="72">
        <v>18000.0</v>
      </c>
      <c r="R16" s="72">
        <v>25000.0</v>
      </c>
      <c r="S16" s="3"/>
      <c r="T16" s="3"/>
      <c r="U16" s="3"/>
      <c r="V16" s="3"/>
      <c r="W16" s="3"/>
      <c r="X16" s="3"/>
      <c r="Y16" s="3"/>
    </row>
    <row r="17">
      <c r="A17" s="26" t="s">
        <v>116</v>
      </c>
      <c r="B17" s="26" t="s">
        <v>117</v>
      </c>
      <c r="C17" s="26" t="s">
        <v>118</v>
      </c>
      <c r="D17" s="48">
        <v>31510.0</v>
      </c>
      <c r="E17" s="49">
        <v>65000.0</v>
      </c>
      <c r="F17" s="26" t="s">
        <v>187</v>
      </c>
      <c r="G17" s="26" t="s">
        <v>190</v>
      </c>
      <c r="H17" s="70">
        <v>2.0</v>
      </c>
      <c r="I17" s="70">
        <v>5.0</v>
      </c>
      <c r="J17" s="3" t="s">
        <v>249</v>
      </c>
      <c r="K17" s="3" t="s">
        <v>250</v>
      </c>
      <c r="L17" s="3" t="s">
        <v>251</v>
      </c>
      <c r="M17" s="3">
        <v>15648.0</v>
      </c>
      <c r="N17" s="3" t="s">
        <v>252</v>
      </c>
      <c r="O17" s="3" t="s">
        <v>201</v>
      </c>
      <c r="P17" s="3" t="s">
        <v>242</v>
      </c>
      <c r="Q17" s="72">
        <v>50000.0</v>
      </c>
      <c r="R17" s="72">
        <v>150000.0</v>
      </c>
      <c r="S17" s="3"/>
      <c r="T17" s="3"/>
      <c r="U17" s="3"/>
      <c r="V17" s="3"/>
      <c r="W17" s="3"/>
      <c r="X17" s="3"/>
      <c r="Y17" s="3"/>
    </row>
    <row r="18">
      <c r="A18" s="26" t="s">
        <v>120</v>
      </c>
      <c r="B18" s="26" t="s">
        <v>121</v>
      </c>
      <c r="C18" s="26" t="s">
        <v>122</v>
      </c>
      <c r="D18" s="48">
        <v>37945.0</v>
      </c>
      <c r="E18" s="49">
        <v>58000.0</v>
      </c>
      <c r="F18" s="26" t="s">
        <v>189</v>
      </c>
      <c r="G18" s="26" t="s">
        <v>190</v>
      </c>
      <c r="H18" s="70">
        <v>2.0</v>
      </c>
      <c r="I18" s="70">
        <v>6.0</v>
      </c>
      <c r="J18" s="3" t="s">
        <v>262</v>
      </c>
      <c r="K18" s="3" t="s">
        <v>263</v>
      </c>
      <c r="L18" s="3" t="s">
        <v>264</v>
      </c>
      <c r="M18" s="3">
        <v>54657.0</v>
      </c>
      <c r="N18" s="3" t="s">
        <v>265</v>
      </c>
      <c r="O18" s="3" t="s">
        <v>201</v>
      </c>
      <c r="P18" s="3" t="s">
        <v>242</v>
      </c>
      <c r="Q18" s="72">
        <v>50000.0</v>
      </c>
      <c r="R18" s="72">
        <v>150000.0</v>
      </c>
      <c r="S18" s="3"/>
      <c r="T18" s="3"/>
      <c r="U18" s="3"/>
      <c r="V18" s="3"/>
      <c r="W18" s="3"/>
      <c r="X18" s="3"/>
      <c r="Y18" s="3"/>
    </row>
    <row r="19">
      <c r="A19" s="26" t="s">
        <v>124</v>
      </c>
      <c r="B19" s="26" t="s">
        <v>110</v>
      </c>
      <c r="C19" s="26" t="s">
        <v>125</v>
      </c>
      <c r="D19" s="48">
        <v>31147.0</v>
      </c>
      <c r="E19" s="49">
        <v>75000.0</v>
      </c>
      <c r="F19" s="26" t="s">
        <v>189</v>
      </c>
      <c r="G19" s="26" t="s">
        <v>190</v>
      </c>
      <c r="H19" s="70">
        <v>1.0</v>
      </c>
      <c r="I19" s="70">
        <v>4.0</v>
      </c>
      <c r="J19" s="3" t="s">
        <v>258</v>
      </c>
      <c r="K19" s="3" t="s">
        <v>259</v>
      </c>
      <c r="L19" s="3" t="s">
        <v>260</v>
      </c>
      <c r="M19" s="3">
        <v>33103.0</v>
      </c>
      <c r="N19" s="3" t="s">
        <v>261</v>
      </c>
      <c r="O19" s="3" t="s">
        <v>257</v>
      </c>
      <c r="P19" s="3" t="s">
        <v>242</v>
      </c>
      <c r="Q19" s="72">
        <v>25000.0</v>
      </c>
      <c r="R19" s="72">
        <v>75000.0</v>
      </c>
      <c r="S19" s="3"/>
      <c r="T19" s="3"/>
      <c r="U19" s="3"/>
      <c r="V19" s="3"/>
      <c r="W19" s="3"/>
      <c r="X19" s="3"/>
      <c r="Y19" s="3"/>
    </row>
    <row r="20">
      <c r="A20" s="26" t="s">
        <v>127</v>
      </c>
      <c r="B20" s="26" t="s">
        <v>128</v>
      </c>
      <c r="C20" s="26" t="s">
        <v>129</v>
      </c>
      <c r="D20" s="48">
        <v>33267.0</v>
      </c>
      <c r="E20" s="49">
        <v>58500.0</v>
      </c>
      <c r="F20" s="26" t="s">
        <v>189</v>
      </c>
      <c r="G20" s="26" t="s">
        <v>191</v>
      </c>
      <c r="H20" s="70">
        <v>2.0</v>
      </c>
      <c r="I20" s="70">
        <v>7.0</v>
      </c>
      <c r="J20" s="3" t="s">
        <v>267</v>
      </c>
      <c r="K20" s="3" t="s">
        <v>268</v>
      </c>
      <c r="L20" s="3" t="s">
        <v>269</v>
      </c>
      <c r="M20" s="3">
        <v>84125.0</v>
      </c>
      <c r="N20" s="3" t="s">
        <v>270</v>
      </c>
      <c r="O20" s="3" t="s">
        <v>201</v>
      </c>
      <c r="P20" s="3" t="s">
        <v>242</v>
      </c>
      <c r="Q20" s="72">
        <v>50000.0</v>
      </c>
      <c r="R20" s="72">
        <v>150000.0</v>
      </c>
      <c r="S20" s="3"/>
      <c r="T20" s="3"/>
      <c r="U20" s="3"/>
      <c r="V20" s="3"/>
      <c r="W20" s="3"/>
      <c r="X20" s="3"/>
      <c r="Y20" s="3"/>
    </row>
    <row r="21">
      <c r="A21" s="26" t="s">
        <v>131</v>
      </c>
      <c r="B21" s="26" t="s">
        <v>132</v>
      </c>
      <c r="C21" s="26" t="s">
        <v>133</v>
      </c>
      <c r="D21" s="48">
        <v>35992.0</v>
      </c>
      <c r="E21" s="49">
        <v>150000.0</v>
      </c>
      <c r="F21" s="26" t="s">
        <v>189</v>
      </c>
      <c r="G21" s="26" t="s">
        <v>190</v>
      </c>
      <c r="H21" s="70">
        <v>4.0</v>
      </c>
      <c r="I21" s="70">
        <v>5.0</v>
      </c>
      <c r="J21" s="3" t="s">
        <v>249</v>
      </c>
      <c r="K21" s="3" t="s">
        <v>250</v>
      </c>
      <c r="L21" s="3" t="s">
        <v>251</v>
      </c>
      <c r="M21" s="3">
        <v>15648.0</v>
      </c>
      <c r="N21" s="3" t="s">
        <v>252</v>
      </c>
      <c r="O21" s="3" t="s">
        <v>271</v>
      </c>
      <c r="P21" s="3" t="s">
        <v>272</v>
      </c>
      <c r="Q21" s="72">
        <v>100000.0</v>
      </c>
      <c r="R21" s="72">
        <v>250000.0</v>
      </c>
      <c r="S21" s="3"/>
      <c r="T21" s="3"/>
      <c r="U21" s="3"/>
      <c r="V21" s="3"/>
      <c r="W21" s="3"/>
      <c r="X21" s="3"/>
      <c r="Y21" s="3"/>
    </row>
    <row r="22">
      <c r="A22" s="26" t="s">
        <v>135</v>
      </c>
      <c r="B22" s="26" t="s">
        <v>136</v>
      </c>
      <c r="C22" s="26" t="s">
        <v>70</v>
      </c>
      <c r="D22" s="48">
        <v>37827.0</v>
      </c>
      <c r="E22" s="49">
        <v>45000.0</v>
      </c>
      <c r="F22" s="26" t="s">
        <v>187</v>
      </c>
      <c r="G22" s="26" t="s">
        <v>188</v>
      </c>
      <c r="H22" s="70">
        <v>1.0</v>
      </c>
      <c r="I22" s="70">
        <v>2.0</v>
      </c>
      <c r="J22" s="3" t="s">
        <v>266</v>
      </c>
      <c r="K22" s="3" t="s">
        <v>239</v>
      </c>
      <c r="L22" s="3" t="s">
        <v>240</v>
      </c>
      <c r="M22" s="3">
        <v>2190.0</v>
      </c>
      <c r="N22" s="3" t="s">
        <v>241</v>
      </c>
      <c r="O22" s="3" t="s">
        <v>257</v>
      </c>
      <c r="P22" s="3" t="s">
        <v>242</v>
      </c>
      <c r="Q22" s="72">
        <v>25000.0</v>
      </c>
      <c r="R22" s="72">
        <v>75000.0</v>
      </c>
      <c r="S22" s="3"/>
      <c r="T22" s="3"/>
      <c r="U22" s="3"/>
      <c r="V22" s="3"/>
      <c r="W22" s="3"/>
      <c r="X22" s="3"/>
      <c r="Y22" s="3"/>
    </row>
    <row r="23">
      <c r="A23" s="26" t="s">
        <v>138</v>
      </c>
      <c r="B23" s="26" t="s">
        <v>139</v>
      </c>
      <c r="C23" s="26" t="s">
        <v>140</v>
      </c>
      <c r="D23" s="48">
        <v>35964.0</v>
      </c>
      <c r="E23" s="49">
        <v>40000.0</v>
      </c>
      <c r="F23" s="26" t="s">
        <v>189</v>
      </c>
      <c r="G23" s="26" t="s">
        <v>191</v>
      </c>
      <c r="H23" s="70">
        <v>1.0</v>
      </c>
      <c r="I23" s="70">
        <v>2.0</v>
      </c>
      <c r="J23" s="3" t="s">
        <v>266</v>
      </c>
      <c r="K23" s="3" t="s">
        <v>239</v>
      </c>
      <c r="L23" s="3" t="s">
        <v>240</v>
      </c>
      <c r="M23" s="3">
        <v>2190.0</v>
      </c>
      <c r="N23" s="3" t="s">
        <v>241</v>
      </c>
      <c r="O23" s="3" t="s">
        <v>257</v>
      </c>
      <c r="P23" s="3" t="s">
        <v>242</v>
      </c>
      <c r="Q23" s="72">
        <v>25000.0</v>
      </c>
      <c r="R23" s="72">
        <v>75000.0</v>
      </c>
      <c r="S23" s="3"/>
      <c r="T23" s="3"/>
      <c r="U23" s="3"/>
      <c r="V23" s="3"/>
      <c r="W23" s="3"/>
      <c r="X23" s="3"/>
      <c r="Y23" s="3"/>
    </row>
    <row r="24">
      <c r="A24" s="26" t="s">
        <v>142</v>
      </c>
      <c r="B24" s="26" t="s">
        <v>143</v>
      </c>
      <c r="C24" s="26" t="s">
        <v>144</v>
      </c>
      <c r="D24" s="48">
        <v>30816.0</v>
      </c>
      <c r="E24" s="49">
        <v>79000.0</v>
      </c>
      <c r="F24" s="26" t="s">
        <v>187</v>
      </c>
      <c r="G24" s="26" t="s">
        <v>190</v>
      </c>
      <c r="H24" s="70">
        <v>2.0</v>
      </c>
      <c r="I24" s="70">
        <v>3.0</v>
      </c>
      <c r="J24" s="3" t="s">
        <v>253</v>
      </c>
      <c r="K24" s="3" t="s">
        <v>254</v>
      </c>
      <c r="L24" s="3" t="s">
        <v>255</v>
      </c>
      <c r="M24" s="3">
        <v>60620.0</v>
      </c>
      <c r="N24" s="3" t="s">
        <v>256</v>
      </c>
      <c r="O24" s="3" t="s">
        <v>201</v>
      </c>
      <c r="P24" s="3" t="s">
        <v>242</v>
      </c>
      <c r="Q24" s="72">
        <v>50000.0</v>
      </c>
      <c r="R24" s="72">
        <v>150000.0</v>
      </c>
      <c r="S24" s="3"/>
      <c r="T24" s="3"/>
      <c r="U24" s="3"/>
      <c r="V24" s="3"/>
      <c r="W24" s="3"/>
      <c r="X24" s="3"/>
      <c r="Y24" s="3"/>
    </row>
    <row r="25">
      <c r="A25" s="26" t="s">
        <v>146</v>
      </c>
      <c r="B25" s="26" t="s">
        <v>147</v>
      </c>
      <c r="C25" s="26" t="s">
        <v>118</v>
      </c>
      <c r="D25" s="48">
        <v>33770.0</v>
      </c>
      <c r="E25" s="49">
        <v>55000.0</v>
      </c>
      <c r="F25" s="26" t="s">
        <v>187</v>
      </c>
      <c r="G25" s="26" t="s">
        <v>188</v>
      </c>
      <c r="H25" s="70">
        <v>2.0</v>
      </c>
      <c r="I25" s="70">
        <v>4.0</v>
      </c>
      <c r="J25" s="3" t="s">
        <v>258</v>
      </c>
      <c r="K25" s="3" t="s">
        <v>259</v>
      </c>
      <c r="L25" s="3" t="s">
        <v>260</v>
      </c>
      <c r="M25" s="3">
        <v>33103.0</v>
      </c>
      <c r="N25" s="3" t="s">
        <v>261</v>
      </c>
      <c r="O25" s="3" t="s">
        <v>201</v>
      </c>
      <c r="P25" s="3" t="s">
        <v>242</v>
      </c>
      <c r="Q25" s="72">
        <v>50000.0</v>
      </c>
      <c r="R25" s="72">
        <v>150000.0</v>
      </c>
      <c r="S25" s="3"/>
      <c r="T25" s="3"/>
      <c r="U25" s="3"/>
      <c r="V25" s="3"/>
      <c r="W25" s="3"/>
      <c r="X25" s="3"/>
      <c r="Y25" s="3"/>
    </row>
    <row r="26">
      <c r="A26" s="26" t="s">
        <v>149</v>
      </c>
      <c r="B26" s="26" t="s">
        <v>150</v>
      </c>
      <c r="C26" s="26" t="s">
        <v>151</v>
      </c>
      <c r="D26" s="48">
        <v>38955.0</v>
      </c>
      <c r="E26" s="49">
        <v>23000.0</v>
      </c>
      <c r="F26" s="26" t="s">
        <v>189</v>
      </c>
      <c r="G26" s="26" t="s">
        <v>190</v>
      </c>
      <c r="H26" s="70">
        <v>3.0</v>
      </c>
      <c r="I26" s="70">
        <v>5.0</v>
      </c>
      <c r="J26" s="3" t="s">
        <v>249</v>
      </c>
      <c r="K26" s="3" t="s">
        <v>250</v>
      </c>
      <c r="L26" s="3" t="s">
        <v>251</v>
      </c>
      <c r="M26" s="3">
        <v>15648.0</v>
      </c>
      <c r="N26" s="3" t="s">
        <v>252</v>
      </c>
      <c r="O26" s="3" t="s">
        <v>247</v>
      </c>
      <c r="P26" s="3" t="s">
        <v>248</v>
      </c>
      <c r="Q26" s="72">
        <v>18000.0</v>
      </c>
      <c r="R26" s="72">
        <v>25000.0</v>
      </c>
      <c r="S26" s="3"/>
      <c r="T26" s="3"/>
      <c r="U26" s="3"/>
      <c r="V26" s="3"/>
      <c r="W26" s="3"/>
      <c r="X26" s="3"/>
      <c r="Y26" s="3"/>
    </row>
    <row r="27">
      <c r="A27" s="26" t="s">
        <v>153</v>
      </c>
      <c r="B27" s="26" t="s">
        <v>154</v>
      </c>
      <c r="C27" s="26" t="s">
        <v>129</v>
      </c>
      <c r="D27" s="48">
        <v>37533.0</v>
      </c>
      <c r="E27" s="49">
        <v>52000.0</v>
      </c>
      <c r="F27" s="26" t="s">
        <v>189</v>
      </c>
      <c r="G27" s="26" t="s">
        <v>191</v>
      </c>
      <c r="H27" s="70">
        <v>2.0</v>
      </c>
      <c r="I27" s="70">
        <v>3.0</v>
      </c>
      <c r="J27" s="3" t="s">
        <v>253</v>
      </c>
      <c r="K27" s="3" t="s">
        <v>254</v>
      </c>
      <c r="L27" s="3" t="s">
        <v>255</v>
      </c>
      <c r="M27" s="3">
        <v>60620.0</v>
      </c>
      <c r="N27" s="3" t="s">
        <v>256</v>
      </c>
      <c r="O27" s="3" t="s">
        <v>201</v>
      </c>
      <c r="P27" s="3" t="s">
        <v>242</v>
      </c>
      <c r="Q27" s="72">
        <v>50000.0</v>
      </c>
      <c r="R27" s="72">
        <v>150000.0</v>
      </c>
      <c r="S27" s="3"/>
      <c r="T27" s="3"/>
      <c r="U27" s="3"/>
      <c r="V27" s="3"/>
      <c r="W27" s="3"/>
      <c r="X27" s="3"/>
      <c r="Y27" s="3"/>
    </row>
    <row r="28">
      <c r="A28" s="26" t="s">
        <v>156</v>
      </c>
      <c r="B28" s="26" t="s">
        <v>157</v>
      </c>
      <c r="C28" s="26" t="s">
        <v>158</v>
      </c>
      <c r="D28" s="48">
        <v>35698.0</v>
      </c>
      <c r="E28" s="49">
        <v>38500.0</v>
      </c>
      <c r="F28" s="26" t="s">
        <v>187</v>
      </c>
      <c r="G28" s="26" t="s">
        <v>188</v>
      </c>
      <c r="H28" s="70">
        <v>1.0</v>
      </c>
      <c r="I28" s="70">
        <v>3.0</v>
      </c>
      <c r="J28" s="3" t="s">
        <v>253</v>
      </c>
      <c r="K28" s="3" t="s">
        <v>254</v>
      </c>
      <c r="L28" s="3" t="s">
        <v>255</v>
      </c>
      <c r="M28" s="3">
        <v>60620.0</v>
      </c>
      <c r="N28" s="3" t="s">
        <v>256</v>
      </c>
      <c r="O28" s="3" t="s">
        <v>257</v>
      </c>
      <c r="P28" s="3" t="s">
        <v>242</v>
      </c>
      <c r="Q28" s="72">
        <v>25000.0</v>
      </c>
      <c r="R28" s="72">
        <v>75000.0</v>
      </c>
      <c r="S28" s="3"/>
      <c r="T28" s="3"/>
      <c r="U28" s="3"/>
      <c r="V28" s="3"/>
      <c r="W28" s="3"/>
      <c r="X28" s="3"/>
      <c r="Y28" s="3"/>
    </row>
    <row r="29">
      <c r="A29" s="26" t="s">
        <v>160</v>
      </c>
      <c r="B29" s="26" t="s">
        <v>161</v>
      </c>
      <c r="C29" s="26" t="s">
        <v>129</v>
      </c>
      <c r="D29" s="48">
        <v>29427.0</v>
      </c>
      <c r="E29" s="49">
        <v>175000.0</v>
      </c>
      <c r="F29" s="26" t="s">
        <v>189</v>
      </c>
      <c r="G29" s="26" t="s">
        <v>190</v>
      </c>
      <c r="H29" s="70">
        <v>4.0</v>
      </c>
      <c r="I29" s="70">
        <v>2.0</v>
      </c>
      <c r="J29" s="3" t="s">
        <v>266</v>
      </c>
      <c r="K29" s="3" t="s">
        <v>239</v>
      </c>
      <c r="L29" s="3" t="s">
        <v>240</v>
      </c>
      <c r="M29" s="3">
        <v>2190.0</v>
      </c>
      <c r="N29" s="3" t="s">
        <v>241</v>
      </c>
      <c r="O29" s="3" t="s">
        <v>271</v>
      </c>
      <c r="P29" s="3" t="s">
        <v>272</v>
      </c>
      <c r="Q29" s="72">
        <v>100000.0</v>
      </c>
      <c r="R29" s="72">
        <v>250000.0</v>
      </c>
      <c r="S29" s="3"/>
      <c r="T29" s="3"/>
      <c r="U29" s="3"/>
      <c r="V29" s="3"/>
      <c r="W29" s="3"/>
      <c r="X29" s="3"/>
      <c r="Y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>
      <c r="A31" s="65" t="s">
        <v>273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</row>
    <row r="32">
      <c r="A32" s="24" t="s">
        <v>229</v>
      </c>
      <c r="B32" s="23" t="s">
        <v>230</v>
      </c>
      <c r="C32" s="23" t="s">
        <v>231</v>
      </c>
      <c r="D32" s="23" t="s">
        <v>232</v>
      </c>
      <c r="E32" s="23" t="s">
        <v>233</v>
      </c>
      <c r="F32" s="23" t="s">
        <v>234</v>
      </c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>
      <c r="A33" s="70">
        <v>1.0</v>
      </c>
      <c r="B33" s="26" t="s">
        <v>243</v>
      </c>
      <c r="C33" s="26" t="s">
        <v>244</v>
      </c>
      <c r="D33" s="26" t="s">
        <v>245</v>
      </c>
      <c r="E33" s="26">
        <v>30316.0</v>
      </c>
      <c r="F33" s="26" t="s">
        <v>246</v>
      </c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>
      <c r="A34" s="70">
        <v>2.0</v>
      </c>
      <c r="B34" s="26" t="s">
        <v>266</v>
      </c>
      <c r="C34" s="26" t="s">
        <v>239</v>
      </c>
      <c r="D34" s="26" t="s">
        <v>240</v>
      </c>
      <c r="E34" s="26">
        <v>2190.0</v>
      </c>
      <c r="F34" s="26" t="s">
        <v>241</v>
      </c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>
      <c r="A35" s="70">
        <v>3.0</v>
      </c>
      <c r="B35" s="26" t="s">
        <v>253</v>
      </c>
      <c r="C35" s="26" t="s">
        <v>254</v>
      </c>
      <c r="D35" s="26" t="s">
        <v>255</v>
      </c>
      <c r="E35" s="26">
        <v>60620.0</v>
      </c>
      <c r="F35" s="26" t="s">
        <v>256</v>
      </c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>
      <c r="A36" s="70">
        <v>4.0</v>
      </c>
      <c r="B36" s="26" t="s">
        <v>258</v>
      </c>
      <c r="C36" s="26" t="s">
        <v>259</v>
      </c>
      <c r="D36" s="26" t="s">
        <v>260</v>
      </c>
      <c r="E36" s="26">
        <v>33103.0</v>
      </c>
      <c r="F36" s="26" t="s">
        <v>261</v>
      </c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</row>
    <row r="37">
      <c r="A37" s="70">
        <v>5.0</v>
      </c>
      <c r="B37" s="26" t="s">
        <v>249</v>
      </c>
      <c r="C37" s="26" t="s">
        <v>250</v>
      </c>
      <c r="D37" s="26" t="s">
        <v>251</v>
      </c>
      <c r="E37" s="26">
        <v>15648.0</v>
      </c>
      <c r="F37" s="26" t="s">
        <v>252</v>
      </c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</row>
    <row r="38">
      <c r="A38" s="70">
        <v>6.0</v>
      </c>
      <c r="B38" s="26" t="s">
        <v>262</v>
      </c>
      <c r="C38" s="26" t="s">
        <v>263</v>
      </c>
      <c r="D38" s="26" t="s">
        <v>264</v>
      </c>
      <c r="E38" s="26">
        <v>54657.0</v>
      </c>
      <c r="F38" s="26" t="s">
        <v>265</v>
      </c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>
      <c r="A39" s="70">
        <v>7.0</v>
      </c>
      <c r="B39" s="26" t="s">
        <v>267</v>
      </c>
      <c r="C39" s="26" t="s">
        <v>268</v>
      </c>
      <c r="D39" s="26" t="s">
        <v>269</v>
      </c>
      <c r="E39" s="26">
        <v>84125.0</v>
      </c>
      <c r="F39" s="26" t="s">
        <v>270</v>
      </c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</row>
    <row r="40">
      <c r="A40" s="70">
        <v>8.0</v>
      </c>
      <c r="B40" s="26" t="s">
        <v>274</v>
      </c>
      <c r="C40" s="26" t="s">
        <v>275</v>
      </c>
      <c r="D40" s="26" t="s">
        <v>276</v>
      </c>
      <c r="E40" s="26">
        <v>94235.0</v>
      </c>
      <c r="F40" s="26" t="s">
        <v>277</v>
      </c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</row>
    <row r="41">
      <c r="A41" s="21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</row>
    <row r="42">
      <c r="A42" s="65" t="s">
        <v>197</v>
      </c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</row>
    <row r="43">
      <c r="A43" s="24" t="s">
        <v>228</v>
      </c>
      <c r="B43" s="23" t="s">
        <v>235</v>
      </c>
      <c r="C43" s="23" t="s">
        <v>236</v>
      </c>
      <c r="D43" s="23" t="s">
        <v>237</v>
      </c>
      <c r="E43" s="23" t="s">
        <v>238</v>
      </c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</row>
    <row r="44">
      <c r="A44" s="70">
        <v>1.0</v>
      </c>
      <c r="B44" s="26" t="s">
        <v>257</v>
      </c>
      <c r="C44" s="26" t="s">
        <v>242</v>
      </c>
      <c r="D44" s="73">
        <v>25000.0</v>
      </c>
      <c r="E44" s="73">
        <v>75000.0</v>
      </c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>
      <c r="A45" s="70">
        <v>2.0</v>
      </c>
      <c r="B45" s="26" t="s">
        <v>201</v>
      </c>
      <c r="C45" s="26" t="s">
        <v>242</v>
      </c>
      <c r="D45" s="73">
        <v>50000.0</v>
      </c>
      <c r="E45" s="73">
        <v>150000.0</v>
      </c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</row>
    <row r="46">
      <c r="A46" s="70">
        <v>3.0</v>
      </c>
      <c r="B46" s="26" t="s">
        <v>247</v>
      </c>
      <c r="C46" s="26" t="s">
        <v>248</v>
      </c>
      <c r="D46" s="73">
        <v>18000.0</v>
      </c>
      <c r="E46" s="73">
        <v>25000.0</v>
      </c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</row>
    <row r="47">
      <c r="A47" s="70">
        <v>4.0</v>
      </c>
      <c r="B47" s="26" t="s">
        <v>271</v>
      </c>
      <c r="C47" s="26" t="s">
        <v>272</v>
      </c>
      <c r="D47" s="73">
        <v>100000.0</v>
      </c>
      <c r="E47" s="73">
        <v>250000.0</v>
      </c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</row>
    <row r="49">
      <c r="A49" s="65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</row>
    <row r="50">
      <c r="A50" s="3"/>
      <c r="B50" s="1" t="s">
        <v>278</v>
      </c>
      <c r="C50" s="74" t="s">
        <v>279</v>
      </c>
      <c r="D50" s="3"/>
      <c r="E50" s="2" t="s">
        <v>280</v>
      </c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</row>
    <row r="51">
      <c r="A51" s="3"/>
      <c r="B51" s="4">
        <v>88.0</v>
      </c>
      <c r="C51" s="3" t="str">
        <f t="array" ref="C51:C56">VLOOKUP(B51:B56,E52:F56,2 , TRUE)</f>
        <v>A</v>
      </c>
      <c r="D51" s="3"/>
      <c r="E51" s="75" t="s">
        <v>278</v>
      </c>
      <c r="F51" s="76" t="s">
        <v>280</v>
      </c>
      <c r="G51" s="3"/>
      <c r="H51" s="77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</row>
    <row r="52">
      <c r="A52" s="3"/>
      <c r="B52" s="4">
        <v>90.0</v>
      </c>
      <c r="C52" s="3" t="s">
        <v>281</v>
      </c>
      <c r="D52" s="3"/>
      <c r="E52" s="78">
        <v>0.0</v>
      </c>
      <c r="F52" s="79" t="s">
        <v>282</v>
      </c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</row>
    <row r="53">
      <c r="A53" s="3"/>
      <c r="B53" s="4">
        <v>100.0</v>
      </c>
      <c r="C53" s="3" t="s">
        <v>281</v>
      </c>
      <c r="D53" s="3"/>
      <c r="E53" s="78">
        <v>50.0</v>
      </c>
      <c r="F53" s="79" t="s">
        <v>283</v>
      </c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>
      <c r="A54" s="3"/>
      <c r="B54" s="4">
        <v>55.0</v>
      </c>
      <c r="C54" s="3" t="s">
        <v>283</v>
      </c>
      <c r="D54" s="3"/>
      <c r="E54" s="78">
        <v>60.0</v>
      </c>
      <c r="F54" s="79" t="s">
        <v>284</v>
      </c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>
      <c r="A55" s="3"/>
      <c r="B55" s="4">
        <v>60.0</v>
      </c>
      <c r="C55" s="3" t="s">
        <v>284</v>
      </c>
      <c r="D55" s="3"/>
      <c r="E55" s="78">
        <v>70.0</v>
      </c>
      <c r="F55" s="79" t="s">
        <v>285</v>
      </c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>
      <c r="A56" s="3"/>
      <c r="B56" s="4">
        <v>72.0</v>
      </c>
      <c r="C56" s="3" t="s">
        <v>285</v>
      </c>
      <c r="D56" s="3"/>
      <c r="E56" s="80">
        <v>80.0</v>
      </c>
      <c r="F56" s="81" t="s">
        <v>281</v>
      </c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>
      <c r="A58" s="3"/>
      <c r="B58" s="3"/>
      <c r="C58" s="3"/>
      <c r="D58" s="3"/>
      <c r="E58" s="74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</row>
    <row r="100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</row>
    <row r="1003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</row>
    <row r="1004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</row>
    <row r="1005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</row>
    <row r="1006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</row>
    <row r="1007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</row>
    <row r="1008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</row>
    <row r="1009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</row>
    <row r="1010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</row>
    <row r="1011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</row>
    <row r="1012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</row>
    <row r="1013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</row>
    <row r="1014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</row>
    <row r="1015">
      <c r="A1015" s="3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</row>
    <row r="1016">
      <c r="A1016" s="3"/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</row>
    <row r="1017">
      <c r="A1017" s="3"/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</row>
    <row r="1018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</row>
    <row r="1019">
      <c r="A1019" s="3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</row>
    <row r="1020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</row>
    <row r="1021">
      <c r="A1021" s="3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</row>
    <row r="1022">
      <c r="A1022" s="3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</row>
    <row r="1023">
      <c r="A1023" s="3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</row>
    <row r="1024">
      <c r="A1024" s="3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</row>
    <row r="1025">
      <c r="A1025" s="3"/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</row>
    <row r="1026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</row>
    <row r="1027">
      <c r="A1027" s="3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</row>
    <row r="1028">
      <c r="A1028" s="3"/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</row>
    <row r="1029">
      <c r="A1029" s="3"/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</row>
    <row r="1030">
      <c r="A1030" s="3"/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</row>
    <row r="1031">
      <c r="A1031" s="3"/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</row>
    <row r="1032">
      <c r="A1032" s="3"/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</row>
    <row r="1033">
      <c r="A1033" s="3"/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</row>
    <row r="1034">
      <c r="A1034" s="3"/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</row>
    <row r="1035">
      <c r="A1035" s="3"/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</row>
    <row r="1036">
      <c r="A1036" s="3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</row>
    <row r="1037">
      <c r="A1037" s="3"/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</row>
    <row r="1038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</row>
    <row r="1039">
      <c r="A1039" s="3"/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</row>
    <row r="1040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</row>
    <row r="1041">
      <c r="A1041" s="3"/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</row>
    <row r="1042">
      <c r="A1042" s="3"/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</row>
    <row r="1043">
      <c r="A1043" s="3"/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</row>
    <row r="1044">
      <c r="A1044" s="3"/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</row>
    <row r="1045">
      <c r="A1045" s="3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</row>
    <row r="1046">
      <c r="A1046" s="3"/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</row>
    <row r="1047">
      <c r="A1047" s="3"/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</row>
    <row r="1048">
      <c r="A1048" s="3"/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</row>
    <row r="1049">
      <c r="A1049" s="3"/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</row>
    <row r="1050">
      <c r="A1050" s="3"/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</row>
    <row r="1051">
      <c r="A1051" s="3"/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</row>
    <row r="1052">
      <c r="A1052" s="3"/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</row>
    <row r="1053">
      <c r="A1053" s="3"/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</row>
    <row r="1054">
      <c r="A1054" s="3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</row>
    <row r="1055">
      <c r="A1055" s="3"/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</row>
    <row r="1056">
      <c r="A1056" s="3"/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</row>
    <row r="1057">
      <c r="A1057" s="3"/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</row>
    <row r="1058">
      <c r="A1058" s="3"/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</row>
    <row r="1059">
      <c r="A1059" s="3"/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</row>
    <row r="1060">
      <c r="A1060" s="3"/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</row>
    <row r="1061">
      <c r="A1061" s="3"/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</row>
    <row r="1062">
      <c r="A1062" s="3"/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</row>
    <row r="1063">
      <c r="A1063" s="3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</row>
    <row r="1064">
      <c r="A1064" s="3"/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</row>
    <row r="1065">
      <c r="A1065" s="3"/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</row>
    <row r="1066">
      <c r="A1066" s="3"/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</row>
    <row r="1067">
      <c r="A1067" s="3"/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</row>
    <row r="1068">
      <c r="A1068" s="3"/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</row>
    <row r="1069">
      <c r="A1069" s="3"/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</row>
    <row r="1070">
      <c r="A1070" s="3"/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</row>
    <row r="1071">
      <c r="A1071" s="3"/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</row>
    <row r="1072">
      <c r="A1072" s="3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</row>
    <row r="1073">
      <c r="A1073" s="3"/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</row>
    <row r="1074">
      <c r="A1074" s="3"/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</row>
    <row r="1075">
      <c r="A1075" s="3"/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</row>
    <row r="1076">
      <c r="A1076" s="3"/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</row>
    <row r="1077">
      <c r="A1077" s="3"/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</row>
    <row r="1078">
      <c r="A1078" s="3"/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</row>
    <row r="1079">
      <c r="A1079" s="3"/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</row>
    <row r="1080">
      <c r="A1080" s="3"/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</row>
    <row r="1081">
      <c r="A1081" s="3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</row>
    <row r="1082">
      <c r="A1082" s="3"/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</row>
    <row r="1083">
      <c r="A1083" s="3"/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</row>
    <row r="1084">
      <c r="A1084" s="3"/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</row>
    <row r="1085">
      <c r="A1085" s="3"/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</row>
    <row r="1086">
      <c r="A1086" s="3"/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</row>
    <row r="1087">
      <c r="A1087" s="3"/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</row>
    <row r="1088">
      <c r="A1088" s="3"/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</row>
    <row r="1089">
      <c r="A1089" s="3"/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</row>
    <row r="1090">
      <c r="A1090" s="3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</row>
    <row r="1091">
      <c r="A1091" s="3"/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</row>
    <row r="1092">
      <c r="A1092" s="3"/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</row>
    <row r="1093">
      <c r="A1093" s="3"/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</row>
    <row r="1094">
      <c r="A1094" s="3"/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</row>
    <row r="1095">
      <c r="A1095" s="3"/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</row>
    <row r="1096">
      <c r="A1096" s="3"/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</row>
    <row r="1097">
      <c r="A1097" s="3"/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</row>
    <row r="1098">
      <c r="A1098" s="3"/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</row>
    <row r="1099">
      <c r="A1099" s="3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</row>
    <row r="1100">
      <c r="A1100" s="3"/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</row>
    <row r="1101">
      <c r="A1101" s="3"/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</row>
    <row r="1102">
      <c r="A1102" s="3"/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</row>
    <row r="1103">
      <c r="A1103" s="3"/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</row>
    <row r="1104">
      <c r="A1104" s="3"/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</row>
    <row r="1105">
      <c r="A1105" s="3"/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</row>
    <row r="1106">
      <c r="A1106" s="3"/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</row>
    <row r="1107">
      <c r="A1107" s="3"/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</row>
    <row r="1108">
      <c r="A1108" s="3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</row>
    <row r="1109">
      <c r="A1109" s="3"/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</row>
    <row r="1110">
      <c r="A1110" s="3"/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</row>
    <row r="1111">
      <c r="A1111" s="3"/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</row>
    <row r="1112">
      <c r="A1112" s="3"/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</row>
    <row r="1113">
      <c r="A1113" s="3"/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</row>
    <row r="1114">
      <c r="A1114" s="3"/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</row>
    <row r="1115">
      <c r="A1115" s="3"/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</row>
    <row r="1116">
      <c r="A1116" s="3"/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</row>
    <row r="1117">
      <c r="A1117" s="3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</row>
    <row r="1118">
      <c r="A1118" s="3"/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</row>
    <row r="1119">
      <c r="A1119" s="3"/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</row>
    <row r="1120">
      <c r="A1120" s="3"/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</row>
    <row r="1121">
      <c r="A1121" s="3"/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</row>
    <row r="1122">
      <c r="A1122" s="3"/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</row>
    <row r="1123">
      <c r="A1123" s="3"/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</row>
    <row r="1124">
      <c r="A1124" s="3"/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</row>
    <row r="1125">
      <c r="A1125" s="3"/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</row>
    <row r="1126">
      <c r="A1126" s="3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</row>
    <row r="1127">
      <c r="A1127" s="3"/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</row>
    <row r="1128">
      <c r="A1128" s="3"/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</row>
    <row r="1129">
      <c r="A1129" s="3"/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</row>
    <row r="1130">
      <c r="A1130" s="3"/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</row>
    <row r="1131">
      <c r="A1131" s="3"/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</row>
    <row r="1132">
      <c r="A1132" s="3"/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</row>
    <row r="1133">
      <c r="A1133" s="3"/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</row>
    <row r="1134">
      <c r="A1134" s="3"/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</row>
    <row r="1135">
      <c r="A1135" s="3"/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</row>
    <row r="1136">
      <c r="A1136" s="3"/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</row>
    <row r="1137">
      <c r="A1137" s="3"/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</row>
    <row r="1138">
      <c r="A1138" s="3"/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</row>
    <row r="1139">
      <c r="A1139" s="3"/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</row>
    <row r="1140">
      <c r="A1140" s="3"/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</row>
    <row r="1141">
      <c r="A1141" s="3"/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</row>
    <row r="1142">
      <c r="A1142" s="3"/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</row>
    <row r="1143">
      <c r="A1143" s="3"/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</row>
    <row r="1144">
      <c r="A1144" s="3"/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</row>
    <row r="1145">
      <c r="A1145" s="3"/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</row>
    <row r="1146">
      <c r="A1146" s="3"/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</row>
    <row r="1147">
      <c r="A1147" s="3"/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</row>
    <row r="1148">
      <c r="A1148" s="3"/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</row>
    <row r="1149">
      <c r="A1149" s="3"/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</row>
    <row r="1150">
      <c r="A1150" s="3"/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</row>
    <row r="1151">
      <c r="A1151" s="3"/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</row>
    <row r="1152">
      <c r="A1152" s="3"/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</row>
    <row r="1153">
      <c r="A1153" s="3"/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</row>
    <row r="1154">
      <c r="A1154" s="3"/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</row>
    <row r="1155">
      <c r="A1155" s="3"/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</row>
    <row r="1156">
      <c r="A1156" s="3"/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</row>
    <row r="1157">
      <c r="A1157" s="3"/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</row>
    <row r="1158">
      <c r="A1158" s="3"/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</row>
    <row r="1159">
      <c r="A1159" s="3"/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</row>
    <row r="1160">
      <c r="A1160" s="3"/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</row>
    <row r="1161">
      <c r="A1161" s="3"/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</row>
    <row r="1162">
      <c r="A1162" s="3"/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</row>
    <row r="1163">
      <c r="A1163" s="3"/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</row>
    <row r="1164">
      <c r="A1164" s="3"/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</row>
    <row r="1165">
      <c r="A1165" s="3"/>
      <c r="B1165" s="3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</row>
    <row r="1166">
      <c r="A1166" s="3"/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</row>
    <row r="1167">
      <c r="A1167" s="3"/>
      <c r="B1167" s="3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</row>
    <row r="1168">
      <c r="A1168" s="3"/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</row>
    <row r="1169">
      <c r="A1169" s="3"/>
      <c r="B1169" s="3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</row>
    <row r="1170">
      <c r="A1170" s="3"/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</row>
    <row r="1171">
      <c r="A1171" s="3"/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</row>
    <row r="1172">
      <c r="A1172" s="3"/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</row>
    <row r="1173">
      <c r="A1173" s="3"/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</row>
    <row r="1174">
      <c r="A1174" s="3"/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</row>
    <row r="1175">
      <c r="A1175" s="3"/>
      <c r="B1175" s="3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</row>
    <row r="1176">
      <c r="A1176" s="3"/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</row>
    <row r="1177">
      <c r="A1177" s="3"/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</row>
    <row r="1178">
      <c r="A1178" s="3"/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</row>
    <row r="1179">
      <c r="A1179" s="3"/>
      <c r="B1179" s="3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</row>
    <row r="1180">
      <c r="A1180" s="3"/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</row>
    <row r="1181">
      <c r="A1181" s="3"/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</row>
    <row r="1182">
      <c r="A1182" s="3"/>
      <c r="B1182" s="3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</row>
    <row r="1183">
      <c r="A1183" s="3"/>
      <c r="B1183" s="3"/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</row>
    <row r="1184">
      <c r="A1184" s="3"/>
      <c r="B1184" s="3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</row>
    <row r="1185">
      <c r="A1185" s="3"/>
      <c r="B1185" s="3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</row>
    <row r="1186">
      <c r="A1186" s="3"/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</row>
    <row r="1187">
      <c r="A1187" s="3"/>
      <c r="B1187" s="3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</row>
    <row r="1188">
      <c r="A1188" s="3"/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</row>
    <row r="1189">
      <c r="A1189" s="3"/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</row>
    <row r="1190">
      <c r="A1190" s="3"/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</row>
    <row r="1191">
      <c r="A1191" s="3"/>
      <c r="B1191" s="3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</row>
    <row r="1192">
      <c r="A1192" s="3"/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</row>
    <row r="1193">
      <c r="A1193" s="3"/>
      <c r="B1193" s="3"/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</row>
    <row r="1194">
      <c r="A1194" s="3"/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</row>
    <row r="1195">
      <c r="A1195" s="3"/>
      <c r="B1195" s="3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</row>
    <row r="1196">
      <c r="A1196" s="3"/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</row>
    <row r="1197">
      <c r="A1197" s="3"/>
      <c r="B1197" s="3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</row>
    <row r="1198">
      <c r="A1198" s="3"/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</row>
    <row r="1199">
      <c r="A1199" s="3"/>
      <c r="B1199" s="3"/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</row>
    <row r="1200">
      <c r="A1200" s="3"/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</row>
    <row r="1201">
      <c r="A1201" s="3"/>
      <c r="B1201" s="3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</row>
    <row r="1202">
      <c r="A1202" s="3"/>
      <c r="B1202" s="3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</row>
    <row r="1203">
      <c r="A1203" s="3"/>
      <c r="B1203" s="3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</row>
    <row r="1204">
      <c r="A1204" s="3"/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</row>
    <row r="1205">
      <c r="A1205" s="3"/>
      <c r="B1205" s="3"/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</row>
    <row r="1206">
      <c r="A1206" s="3"/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</row>
    <row r="1207">
      <c r="A1207" s="3"/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</row>
    <row r="1208">
      <c r="A1208" s="3"/>
      <c r="B1208" s="3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</row>
    <row r="1209">
      <c r="A1209" s="3"/>
      <c r="B1209" s="3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</row>
    <row r="1210">
      <c r="A1210" s="3"/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</row>
    <row r="1211">
      <c r="A1211" s="3"/>
      <c r="B1211" s="3"/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</row>
    <row r="1212">
      <c r="A1212" s="3"/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</row>
    <row r="1213">
      <c r="A1213" s="3"/>
      <c r="B1213" s="3"/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</row>
    <row r="1214">
      <c r="A1214" s="3"/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</row>
    <row r="1215">
      <c r="A1215" s="3"/>
      <c r="B1215" s="3"/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</row>
    <row r="1216">
      <c r="A1216" s="3"/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</row>
    <row r="1217">
      <c r="A1217" s="3"/>
      <c r="B1217" s="3"/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</row>
    <row r="1218">
      <c r="A1218" s="3"/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</row>
    <row r="1219">
      <c r="A1219" s="3"/>
      <c r="B1219" s="3"/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</row>
    <row r="1220">
      <c r="A1220" s="3"/>
      <c r="B1220" s="3"/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</row>
    <row r="1221">
      <c r="A1221" s="3"/>
      <c r="B1221" s="3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</row>
    <row r="1222">
      <c r="A1222" s="3"/>
      <c r="B1222" s="3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</row>
    <row r="1223">
      <c r="A1223" s="3"/>
      <c r="B1223" s="3"/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</row>
    <row r="1224">
      <c r="A1224" s="3"/>
      <c r="B1224" s="3"/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</row>
    <row r="1225">
      <c r="A1225" s="3"/>
      <c r="B1225" s="3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</row>
    <row r="1226">
      <c r="A1226" s="3"/>
      <c r="B1226" s="3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</row>
    <row r="1227">
      <c r="A1227" s="3"/>
      <c r="B1227" s="3"/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</row>
    <row r="1228">
      <c r="A1228" s="3"/>
      <c r="B1228" s="3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</row>
    <row r="1229">
      <c r="A1229" s="3"/>
      <c r="B1229" s="3"/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</row>
    <row r="1230">
      <c r="A1230" s="3"/>
      <c r="B1230" s="3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</row>
    <row r="1231">
      <c r="A1231" s="3"/>
      <c r="B1231" s="3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</row>
    <row r="1232">
      <c r="A1232" s="3"/>
      <c r="B1232" s="3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</row>
    <row r="1233">
      <c r="A1233" s="3"/>
      <c r="B1233" s="3"/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</row>
    <row r="1234">
      <c r="A1234" s="3"/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</row>
    <row r="1235">
      <c r="A1235" s="3"/>
      <c r="B1235" s="3"/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</row>
    <row r="1236">
      <c r="A1236" s="3"/>
      <c r="B1236" s="3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</row>
    <row r="1237">
      <c r="A1237" s="3"/>
      <c r="B1237" s="3"/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</row>
    <row r="1238">
      <c r="A1238" s="3"/>
      <c r="B1238" s="3"/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</row>
    <row r="1239">
      <c r="A1239" s="3"/>
      <c r="B1239" s="3"/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</row>
    <row r="1240">
      <c r="A1240" s="3"/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</row>
    <row r="1241">
      <c r="A1241" s="3"/>
      <c r="B1241" s="3"/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</row>
    <row r="1242">
      <c r="A1242" s="3"/>
      <c r="B1242" s="3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</row>
    <row r="1243">
      <c r="A1243" s="3"/>
      <c r="B1243" s="3"/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</row>
    <row r="1244">
      <c r="A1244" s="3"/>
      <c r="B1244" s="3"/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</row>
    <row r="1245">
      <c r="A1245" s="3"/>
      <c r="B1245" s="3"/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</row>
    <row r="1246">
      <c r="A1246" s="3"/>
      <c r="B1246" s="3"/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</row>
    <row r="1247">
      <c r="A1247" s="3"/>
      <c r="B1247" s="3"/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</row>
    <row r="1248">
      <c r="A1248" s="3"/>
      <c r="B1248" s="3"/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</row>
    <row r="1249">
      <c r="A1249" s="3"/>
      <c r="B1249" s="3"/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</row>
    <row r="1250">
      <c r="A1250" s="3"/>
      <c r="B1250" s="3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</row>
    <row r="1251">
      <c r="A1251" s="3"/>
      <c r="B1251" s="3"/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</row>
    <row r="1252">
      <c r="A1252" s="3"/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</row>
    <row r="1253">
      <c r="A1253" s="3"/>
      <c r="B1253" s="3"/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</row>
    <row r="1254">
      <c r="A1254" s="3"/>
      <c r="B1254" s="3"/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</row>
    <row r="1255">
      <c r="A1255" s="3"/>
      <c r="B1255" s="3"/>
      <c r="C1255" s="3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</row>
    <row r="1256">
      <c r="A1256" s="3"/>
      <c r="B1256" s="3"/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</row>
    <row r="1257">
      <c r="A1257" s="3"/>
      <c r="B1257" s="3"/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</row>
    <row r="1258">
      <c r="A1258" s="3"/>
      <c r="B1258" s="3"/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</row>
    <row r="1259">
      <c r="A1259" s="3"/>
      <c r="B1259" s="3"/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</row>
    <row r="1260">
      <c r="A1260" s="3"/>
      <c r="B1260" s="3"/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</row>
    <row r="1261">
      <c r="A1261" s="3"/>
      <c r="B1261" s="3"/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</row>
    <row r="1262">
      <c r="A1262" s="3"/>
      <c r="B1262" s="3"/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</row>
    <row r="1263">
      <c r="A1263" s="3"/>
      <c r="B1263" s="3"/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</row>
    <row r="1264">
      <c r="A1264" s="3"/>
      <c r="B1264" s="3"/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</row>
    <row r="1265">
      <c r="A1265" s="3"/>
      <c r="B1265" s="3"/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</row>
    <row r="1266">
      <c r="A1266" s="3"/>
      <c r="B1266" s="3"/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</row>
    <row r="1267">
      <c r="A1267" s="3"/>
      <c r="B1267" s="3"/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</row>
    <row r="1268">
      <c r="A1268" s="3"/>
      <c r="B1268" s="3"/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</row>
    <row r="1269">
      <c r="A1269" s="3"/>
      <c r="B1269" s="3"/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</row>
    <row r="1270">
      <c r="A1270" s="3"/>
      <c r="B1270" s="3"/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</row>
    <row r="1271">
      <c r="A1271" s="3"/>
      <c r="B1271" s="3"/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</row>
    <row r="1272">
      <c r="A1272" s="3"/>
      <c r="B1272" s="3"/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</row>
    <row r="1273">
      <c r="A1273" s="3"/>
      <c r="B1273" s="3"/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</row>
    <row r="1274">
      <c r="A1274" s="3"/>
      <c r="B1274" s="3"/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</row>
    <row r="1275">
      <c r="A1275" s="3"/>
      <c r="B1275" s="3"/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</row>
    <row r="1276">
      <c r="A1276" s="3"/>
      <c r="B1276" s="3"/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</row>
    <row r="1277">
      <c r="A1277" s="3"/>
      <c r="B1277" s="3"/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</row>
    <row r="1278">
      <c r="A1278" s="3"/>
      <c r="B1278" s="3"/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</row>
    <row r="1279">
      <c r="A1279" s="3"/>
      <c r="B1279" s="3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</row>
    <row r="1280">
      <c r="A1280" s="3"/>
      <c r="B1280" s="3"/>
      <c r="C1280" s="3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</row>
    <row r="1281">
      <c r="A1281" s="3"/>
      <c r="B1281" s="3"/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</row>
    <row r="1282">
      <c r="A1282" s="3"/>
      <c r="B1282" s="3"/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</row>
    <row r="1283">
      <c r="A1283" s="3"/>
      <c r="B1283" s="3"/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</row>
    <row r="1284">
      <c r="A1284" s="3"/>
      <c r="B1284" s="3"/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</row>
    <row r="1285">
      <c r="A1285" s="3"/>
      <c r="B1285" s="3"/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</row>
    <row r="1286">
      <c r="A1286" s="3"/>
      <c r="B1286" s="3"/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</row>
    <row r="1287">
      <c r="A1287" s="3"/>
      <c r="B1287" s="3"/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</row>
    <row r="1288">
      <c r="A1288" s="3"/>
      <c r="B1288" s="3"/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</row>
    <row r="1289">
      <c r="A1289" s="3"/>
      <c r="B1289" s="3"/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</row>
    <row r="1290">
      <c r="A1290" s="3"/>
      <c r="B1290" s="3"/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</row>
    <row r="1291">
      <c r="A1291" s="3"/>
      <c r="B1291" s="3"/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</row>
    <row r="1292">
      <c r="A1292" s="3"/>
      <c r="B1292" s="3"/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</row>
    <row r="1293">
      <c r="A1293" s="3"/>
      <c r="B1293" s="3"/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</row>
    <row r="1294">
      <c r="A1294" s="3"/>
      <c r="B1294" s="3"/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</row>
    <row r="1295">
      <c r="A1295" s="3"/>
      <c r="B1295" s="3"/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</row>
    <row r="1296">
      <c r="A1296" s="3"/>
      <c r="B1296" s="3"/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</row>
    <row r="1297">
      <c r="A1297" s="3"/>
      <c r="B1297" s="3"/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</row>
    <row r="1298">
      <c r="A1298" s="3"/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</row>
    <row r="1299">
      <c r="A1299" s="3"/>
      <c r="B1299" s="3"/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</row>
    <row r="1300">
      <c r="A1300" s="3"/>
      <c r="B1300" s="3"/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</row>
    <row r="1301">
      <c r="A1301" s="3"/>
      <c r="B1301" s="3"/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</row>
    <row r="1302">
      <c r="A1302" s="3"/>
      <c r="B1302" s="3"/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</row>
    <row r="1303">
      <c r="A1303" s="3"/>
      <c r="B1303" s="3"/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</row>
    <row r="1304">
      <c r="A1304" s="3"/>
      <c r="B1304" s="3"/>
      <c r="C1304" s="3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</row>
    <row r="1305">
      <c r="A1305" s="3"/>
      <c r="B1305" s="3"/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</row>
    <row r="1306">
      <c r="A1306" s="3"/>
      <c r="B1306" s="3"/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</row>
    <row r="1307">
      <c r="A1307" s="3"/>
      <c r="B1307" s="3"/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</row>
    <row r="1308">
      <c r="A1308" s="3"/>
      <c r="B1308" s="3"/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</row>
    <row r="1309">
      <c r="A1309" s="3"/>
      <c r="B1309" s="3"/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</row>
    <row r="1310">
      <c r="A1310" s="3"/>
      <c r="B1310" s="3"/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</row>
    <row r="1311">
      <c r="A1311" s="3"/>
      <c r="B1311" s="3"/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</row>
    <row r="1312">
      <c r="A1312" s="3"/>
      <c r="B1312" s="3"/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</row>
    <row r="1313">
      <c r="A1313" s="3"/>
      <c r="B1313" s="3"/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</row>
    <row r="1314">
      <c r="A1314" s="3"/>
      <c r="B1314" s="3"/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</row>
    <row r="1315">
      <c r="A1315" s="3"/>
      <c r="B1315" s="3"/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</row>
    <row r="1316">
      <c r="A1316" s="3"/>
      <c r="B1316" s="3"/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</row>
    <row r="1317">
      <c r="A1317" s="3"/>
      <c r="B1317" s="3"/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</row>
    <row r="1318">
      <c r="A1318" s="3"/>
      <c r="B1318" s="3"/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</row>
    <row r="1319">
      <c r="A1319" s="3"/>
      <c r="B1319" s="3"/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</row>
    <row r="1320">
      <c r="A1320" s="3"/>
      <c r="B1320" s="3"/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</row>
    <row r="1321">
      <c r="A1321" s="3"/>
      <c r="B1321" s="3"/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</row>
    <row r="1322">
      <c r="A1322" s="3"/>
      <c r="B1322" s="3"/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</row>
    <row r="1323">
      <c r="A1323" s="3"/>
      <c r="B1323" s="3"/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</row>
    <row r="1324">
      <c r="A1324" s="3"/>
      <c r="B1324" s="3"/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</row>
    <row r="1325">
      <c r="A1325" s="3"/>
      <c r="B1325" s="3"/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</row>
    <row r="1326">
      <c r="A1326" s="3"/>
      <c r="B1326" s="3"/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</row>
    <row r="1327">
      <c r="A1327" s="3"/>
      <c r="B1327" s="3"/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</row>
    <row r="1328">
      <c r="A1328" s="3"/>
      <c r="B1328" s="3"/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</row>
    <row r="1329">
      <c r="A1329" s="3"/>
      <c r="B1329" s="3"/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</row>
    <row r="1330">
      <c r="A1330" s="3"/>
      <c r="B1330" s="3"/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</row>
    <row r="1331">
      <c r="A1331" s="3"/>
      <c r="B1331" s="3"/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</row>
    <row r="1332">
      <c r="A1332" s="3"/>
      <c r="B1332" s="3"/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</row>
    <row r="1333">
      <c r="A1333" s="3"/>
      <c r="B1333" s="3"/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</row>
    <row r="1334">
      <c r="A1334" s="3"/>
      <c r="B1334" s="3"/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</row>
    <row r="1335">
      <c r="A1335" s="3"/>
      <c r="B1335" s="3"/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</row>
    <row r="1336">
      <c r="A1336" s="3"/>
      <c r="B1336" s="3"/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</row>
    <row r="1337">
      <c r="A1337" s="3"/>
      <c r="B1337" s="3"/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</row>
    <row r="1338">
      <c r="A1338" s="3"/>
      <c r="B1338" s="3"/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</row>
    <row r="1339">
      <c r="A1339" s="3"/>
      <c r="B1339" s="3"/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</row>
    <row r="1340">
      <c r="A1340" s="3"/>
      <c r="B1340" s="3"/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</row>
    <row r="1341">
      <c r="A1341" s="3"/>
      <c r="B1341" s="3"/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</row>
    <row r="1342">
      <c r="A1342" s="3"/>
      <c r="B1342" s="3"/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</row>
    <row r="1343">
      <c r="A1343" s="3"/>
      <c r="B1343" s="3"/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</row>
    <row r="1344">
      <c r="A1344" s="3"/>
      <c r="B1344" s="3"/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</row>
    <row r="1345">
      <c r="A1345" s="3"/>
      <c r="B1345" s="3"/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</row>
    <row r="1346">
      <c r="A1346" s="3"/>
      <c r="B1346" s="3"/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</row>
    <row r="1347">
      <c r="A1347" s="3"/>
      <c r="B1347" s="3"/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</row>
    <row r="1348">
      <c r="A1348" s="3"/>
      <c r="B1348" s="3"/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</row>
    <row r="1349">
      <c r="A1349" s="3"/>
      <c r="B1349" s="3"/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</row>
    <row r="1350">
      <c r="A1350" s="3"/>
      <c r="B1350" s="3"/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</row>
    <row r="1351">
      <c r="A1351" s="3"/>
      <c r="B1351" s="3"/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</row>
    <row r="1352">
      <c r="A1352" s="3"/>
      <c r="B1352" s="3"/>
      <c r="C1352" s="3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</row>
    <row r="1353">
      <c r="A1353" s="3"/>
      <c r="B1353" s="3"/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</row>
    <row r="1354">
      <c r="A1354" s="3"/>
      <c r="B1354" s="3"/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</row>
    <row r="1355">
      <c r="A1355" s="3"/>
      <c r="B1355" s="3"/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</row>
    <row r="1356">
      <c r="A1356" s="3"/>
      <c r="B1356" s="3"/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</row>
    <row r="1357">
      <c r="A1357" s="3"/>
      <c r="B1357" s="3"/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</row>
    <row r="1358">
      <c r="A1358" s="3"/>
      <c r="B1358" s="3"/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</row>
    <row r="1359">
      <c r="A1359" s="3"/>
      <c r="B1359" s="3"/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</row>
    <row r="1360">
      <c r="A1360" s="3"/>
      <c r="B1360" s="3"/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</row>
    <row r="1361">
      <c r="A1361" s="3"/>
      <c r="B1361" s="3"/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</row>
    <row r="1362">
      <c r="A1362" s="3"/>
      <c r="B1362" s="3"/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</row>
    <row r="1363">
      <c r="A1363" s="3"/>
      <c r="B1363" s="3"/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</row>
    <row r="1364">
      <c r="A1364" s="3"/>
      <c r="B1364" s="3"/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</row>
    <row r="1365">
      <c r="A1365" s="3"/>
      <c r="B1365" s="3"/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</row>
    <row r="1366">
      <c r="A1366" s="3"/>
      <c r="B1366" s="3"/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</row>
    <row r="1367">
      <c r="A1367" s="3"/>
      <c r="B1367" s="3"/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</row>
    <row r="1368">
      <c r="A1368" s="3"/>
      <c r="B1368" s="3"/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</row>
    <row r="1369">
      <c r="A1369" s="3"/>
      <c r="B1369" s="3"/>
      <c r="C1369" s="3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</row>
    <row r="1370">
      <c r="A1370" s="3"/>
      <c r="B1370" s="3"/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</row>
    <row r="1371">
      <c r="A1371" s="3"/>
      <c r="B1371" s="3"/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</row>
    <row r="1372">
      <c r="A1372" s="3"/>
      <c r="B1372" s="3"/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</row>
    <row r="1373">
      <c r="A1373" s="3"/>
      <c r="B1373" s="3"/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</row>
    <row r="1374">
      <c r="A1374" s="3"/>
      <c r="B1374" s="3"/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</row>
    <row r="1375">
      <c r="A1375" s="3"/>
      <c r="B1375" s="3"/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</row>
    <row r="1376">
      <c r="A1376" s="3"/>
      <c r="B1376" s="3"/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</row>
    <row r="1377">
      <c r="A1377" s="3"/>
      <c r="B1377" s="3"/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</row>
    <row r="1378">
      <c r="A1378" s="3"/>
      <c r="B1378" s="3"/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</row>
    <row r="1379">
      <c r="A1379" s="3"/>
      <c r="B1379" s="3"/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</row>
    <row r="1380">
      <c r="A1380" s="3"/>
      <c r="B1380" s="3"/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</row>
    <row r="1381">
      <c r="A1381" s="3"/>
      <c r="B1381" s="3"/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</row>
    <row r="1382">
      <c r="A1382" s="3"/>
      <c r="B1382" s="3"/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</row>
    <row r="1383">
      <c r="A1383" s="3"/>
      <c r="B1383" s="3"/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</row>
    <row r="1384">
      <c r="A1384" s="3"/>
      <c r="B1384" s="3"/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</row>
    <row r="1385">
      <c r="A1385" s="3"/>
      <c r="B1385" s="3"/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</row>
    <row r="1386">
      <c r="A1386" s="3"/>
      <c r="B1386" s="3"/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</row>
    <row r="1387">
      <c r="A1387" s="3"/>
      <c r="B1387" s="3"/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</row>
    <row r="1388">
      <c r="A1388" s="3"/>
      <c r="B1388" s="3"/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</row>
    <row r="1389">
      <c r="A1389" s="3"/>
      <c r="B1389" s="3"/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</row>
    <row r="1390">
      <c r="A1390" s="3"/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</row>
    <row r="1391">
      <c r="A1391" s="3"/>
      <c r="B1391" s="3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</row>
    <row r="1392">
      <c r="A1392" s="3"/>
      <c r="B1392" s="3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</row>
    <row r="1393">
      <c r="A1393" s="3"/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</row>
    <row r="1394">
      <c r="A1394" s="3"/>
      <c r="B1394" s="3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</row>
    <row r="1395">
      <c r="A1395" s="3"/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</row>
    <row r="1396">
      <c r="A1396" s="3"/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</row>
    <row r="1397">
      <c r="A1397" s="3"/>
      <c r="B1397" s="3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</row>
    <row r="1398">
      <c r="A1398" s="3"/>
      <c r="B1398" s="3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</row>
    <row r="1399">
      <c r="A1399" s="3"/>
      <c r="B1399" s="3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</row>
    <row r="1400">
      <c r="A1400" s="3"/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</row>
    <row r="1401">
      <c r="A1401" s="3"/>
      <c r="B1401" s="3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</row>
    <row r="1402">
      <c r="A1402" s="3"/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</row>
    <row r="1403">
      <c r="A1403" s="3"/>
      <c r="B1403" s="3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</row>
    <row r="1404">
      <c r="A1404" s="3"/>
      <c r="B1404" s="3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</row>
    <row r="1405">
      <c r="A1405" s="3"/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</row>
    <row r="1406">
      <c r="A1406" s="3"/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</row>
    <row r="1407">
      <c r="A1407" s="3"/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</row>
    <row r="1408">
      <c r="A1408" s="3"/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</row>
    <row r="1409">
      <c r="A1409" s="3"/>
      <c r="B1409" s="3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</row>
    <row r="1410">
      <c r="A1410" s="3"/>
      <c r="B1410" s="3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</row>
    <row r="1411">
      <c r="A1411" s="3"/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</row>
    <row r="1412">
      <c r="A1412" s="3"/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</row>
    <row r="1413">
      <c r="A1413" s="3"/>
      <c r="B1413" s="3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</row>
    <row r="1414">
      <c r="A1414" s="3"/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</row>
    <row r="1415">
      <c r="A1415" s="3"/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</row>
    <row r="1416">
      <c r="A1416" s="3"/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</row>
    <row r="1417">
      <c r="A1417" s="3"/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</row>
    <row r="1418">
      <c r="A1418" s="3"/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</row>
    <row r="1419">
      <c r="A1419" s="3"/>
      <c r="B1419" s="3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</row>
    <row r="1420">
      <c r="A1420" s="3"/>
      <c r="B1420" s="3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</row>
    <row r="1421">
      <c r="A1421" s="3"/>
      <c r="B1421" s="3"/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</row>
    <row r="1422">
      <c r="A1422" s="3"/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</row>
    <row r="1423">
      <c r="A1423" s="3"/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</row>
    <row r="1424">
      <c r="A1424" s="3"/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</row>
    <row r="1425">
      <c r="A1425" s="3"/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</row>
    <row r="1426">
      <c r="A1426" s="3"/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</row>
    <row r="1427">
      <c r="A1427" s="3"/>
      <c r="B1427" s="3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</row>
    <row r="1428">
      <c r="A1428" s="3"/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</row>
    <row r="1429">
      <c r="A1429" s="3"/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</row>
    <row r="1430">
      <c r="A1430" s="3"/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</row>
    <row r="1431">
      <c r="A1431" s="3"/>
      <c r="B1431" s="3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</row>
    <row r="1432">
      <c r="A1432" s="3"/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</row>
    <row r="1433">
      <c r="A1433" s="3"/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</row>
    <row r="1434">
      <c r="A1434" s="3"/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</row>
    <row r="1435">
      <c r="A1435" s="3"/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</row>
    <row r="1436">
      <c r="A1436" s="3"/>
      <c r="B1436" s="3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</row>
    <row r="1437">
      <c r="A1437" s="3"/>
      <c r="B1437" s="3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</row>
    <row r="1438">
      <c r="A1438" s="3"/>
      <c r="B1438" s="3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</row>
    <row r="1439">
      <c r="A1439" s="3"/>
      <c r="B1439" s="3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</row>
    <row r="1440">
      <c r="A1440" s="3"/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</row>
    <row r="1441">
      <c r="A1441" s="3"/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</row>
    <row r="1442">
      <c r="A1442" s="3"/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</row>
    <row r="1443">
      <c r="A1443" s="3"/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</row>
    <row r="1444">
      <c r="A1444" s="3"/>
      <c r="B1444" s="3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</row>
    <row r="1445">
      <c r="A1445" s="3"/>
      <c r="B1445" s="3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</row>
    <row r="1446">
      <c r="A1446" s="3"/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</row>
    <row r="1447">
      <c r="A1447" s="3"/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</row>
    <row r="1448">
      <c r="A1448" s="3"/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</row>
    <row r="1449">
      <c r="A1449" s="3"/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</row>
    <row r="1450">
      <c r="A1450" s="3"/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</row>
    <row r="1451">
      <c r="A1451" s="3"/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</row>
    <row r="1452">
      <c r="A1452" s="3"/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</row>
    <row r="1453">
      <c r="A1453" s="3"/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</row>
    <row r="1454">
      <c r="A1454" s="3"/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</row>
    <row r="1455">
      <c r="A1455" s="3"/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</row>
    <row r="1456">
      <c r="A1456" s="3"/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</row>
    <row r="1457">
      <c r="A1457" s="3"/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</row>
    <row r="1458">
      <c r="A1458" s="3"/>
      <c r="B1458" s="3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</row>
    <row r="1459">
      <c r="A1459" s="3"/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</row>
    <row r="1460">
      <c r="A1460" s="3"/>
      <c r="B1460" s="3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</row>
    <row r="1461">
      <c r="A1461" s="3"/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</row>
    <row r="1462">
      <c r="A1462" s="3"/>
      <c r="B1462" s="3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</row>
    <row r="1463">
      <c r="A1463" s="3"/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</row>
    <row r="1464">
      <c r="A1464" s="3"/>
      <c r="B1464" s="3"/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</row>
    <row r="1465">
      <c r="A1465" s="3"/>
      <c r="B1465" s="3"/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</row>
    <row r="1466">
      <c r="A1466" s="3"/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</row>
    <row r="1467">
      <c r="A1467" s="3"/>
      <c r="B1467" s="3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</row>
    <row r="1468">
      <c r="A1468" s="3"/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</row>
    <row r="1469">
      <c r="A1469" s="3"/>
      <c r="B1469" s="3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</row>
    <row r="1470">
      <c r="A1470" s="3"/>
      <c r="B1470" s="3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</row>
    <row r="1471">
      <c r="A1471" s="3"/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</row>
    <row r="1472">
      <c r="A1472" s="3"/>
      <c r="B1472" s="3"/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</row>
    <row r="1473">
      <c r="A1473" s="3"/>
      <c r="B1473" s="3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</row>
    <row r="1474">
      <c r="A1474" s="3"/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</row>
    <row r="1475">
      <c r="A1475" s="3"/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</row>
    <row r="1476">
      <c r="A1476" s="3"/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</row>
    <row r="1477">
      <c r="A1477" s="3"/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</row>
    <row r="1478">
      <c r="A1478" s="3"/>
      <c r="B1478" s="3"/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</row>
    <row r="1479">
      <c r="A1479" s="3"/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</row>
    <row r="1480">
      <c r="A1480" s="3"/>
      <c r="B1480" s="3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</row>
    <row r="1481">
      <c r="A1481" s="3"/>
      <c r="B1481" s="3"/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</row>
    <row r="1482">
      <c r="A1482" s="3"/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</row>
    <row r="1483">
      <c r="A1483" s="3"/>
      <c r="B1483" s="3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</row>
    <row r="1484">
      <c r="A1484" s="3"/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</row>
    <row r="1485">
      <c r="A1485" s="3"/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</row>
    <row r="1486">
      <c r="A1486" s="3"/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</row>
    <row r="1487">
      <c r="A1487" s="3"/>
      <c r="B1487" s="3"/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</row>
    <row r="1488">
      <c r="A1488" s="3"/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</row>
    <row r="1489">
      <c r="A1489" s="3"/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</row>
    <row r="1490">
      <c r="A1490" s="3"/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</row>
    <row r="1491">
      <c r="A1491" s="3"/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</row>
    <row r="1492">
      <c r="A1492" s="3"/>
      <c r="B1492" s="3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</row>
    <row r="1493">
      <c r="A1493" s="3"/>
      <c r="B1493" s="3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</row>
    <row r="1494">
      <c r="A1494" s="3"/>
      <c r="B1494" s="3"/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</row>
    <row r="1495">
      <c r="A1495" s="3"/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</row>
    <row r="1496">
      <c r="A1496" s="3"/>
      <c r="B1496" s="3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</row>
    <row r="1497">
      <c r="A1497" s="3"/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</row>
    <row r="1498">
      <c r="A1498" s="3"/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</row>
    <row r="1499">
      <c r="A1499" s="3"/>
      <c r="B1499" s="3"/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</row>
    <row r="1500">
      <c r="A1500" s="3"/>
      <c r="B1500" s="3"/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</row>
    <row r="1501">
      <c r="A1501" s="3"/>
      <c r="B1501" s="3"/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</row>
    <row r="1502">
      <c r="A1502" s="3"/>
      <c r="B1502" s="3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</row>
    <row r="1503">
      <c r="A1503" s="3"/>
      <c r="B1503" s="3"/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</row>
    <row r="1504">
      <c r="A1504" s="3"/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</row>
    <row r="1505">
      <c r="A1505" s="3"/>
      <c r="B1505" s="3"/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</row>
    <row r="1506">
      <c r="A1506" s="3"/>
      <c r="B1506" s="3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</row>
    <row r="1507">
      <c r="A1507" s="3"/>
      <c r="B1507" s="3"/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</row>
    <row r="1508">
      <c r="A1508" s="3"/>
      <c r="B1508" s="3"/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</row>
    <row r="1509">
      <c r="A1509" s="3"/>
      <c r="B1509" s="3"/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</row>
    <row r="1510">
      <c r="A1510" s="3"/>
      <c r="B1510" s="3"/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</row>
    <row r="1511">
      <c r="A1511" s="3"/>
      <c r="B1511" s="3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</row>
    <row r="1512">
      <c r="A1512" s="3"/>
      <c r="B1512" s="3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</row>
    <row r="1513">
      <c r="A1513" s="3"/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</row>
    <row r="1514">
      <c r="A1514" s="3"/>
      <c r="B1514" s="3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</row>
    <row r="1515">
      <c r="A1515" s="3"/>
      <c r="B1515" s="3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</row>
    <row r="1516">
      <c r="A1516" s="3"/>
      <c r="B1516" s="3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</row>
    <row r="1517">
      <c r="A1517" s="3"/>
      <c r="B1517" s="3"/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</row>
    <row r="1518">
      <c r="A1518" s="3"/>
      <c r="B1518" s="3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</row>
    <row r="1519">
      <c r="A1519" s="3"/>
      <c r="B1519" s="3"/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</row>
    <row r="1520">
      <c r="A1520" s="3"/>
      <c r="B1520" s="3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</row>
    <row r="1521">
      <c r="A1521" s="3"/>
      <c r="B1521" s="3"/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</row>
    <row r="1522">
      <c r="A1522" s="3"/>
      <c r="B1522" s="3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</row>
    <row r="1523">
      <c r="A1523" s="3"/>
      <c r="B1523" s="3"/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</row>
    <row r="1524">
      <c r="A1524" s="3"/>
      <c r="B1524" s="3"/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</row>
    <row r="1525">
      <c r="A1525" s="3"/>
      <c r="B1525" s="3"/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</row>
    <row r="1526">
      <c r="A1526" s="3"/>
      <c r="B1526" s="3"/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</row>
    <row r="1527">
      <c r="A1527" s="3"/>
      <c r="B1527" s="3"/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</row>
    <row r="1528">
      <c r="A1528" s="3"/>
      <c r="B1528" s="3"/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</row>
    <row r="1529">
      <c r="A1529" s="3"/>
      <c r="B1529" s="3"/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</row>
    <row r="1530">
      <c r="A1530" s="3"/>
      <c r="B1530" s="3"/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</row>
    <row r="1531">
      <c r="A1531" s="3"/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</row>
    <row r="1532">
      <c r="A1532" s="3"/>
      <c r="B1532" s="3"/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</row>
    <row r="1533">
      <c r="A1533" s="3"/>
      <c r="B1533" s="3"/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</row>
    <row r="1534">
      <c r="A1534" s="3"/>
      <c r="B1534" s="3"/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</row>
    <row r="1535">
      <c r="A1535" s="3"/>
      <c r="B1535" s="3"/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</row>
    <row r="1536">
      <c r="A1536" s="3"/>
      <c r="B1536" s="3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</row>
    <row r="1537">
      <c r="A1537" s="3"/>
      <c r="B1537" s="3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</row>
    <row r="1538">
      <c r="A1538" s="3"/>
      <c r="B1538" s="3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</row>
    <row r="1539">
      <c r="A1539" s="3"/>
      <c r="B1539" s="3"/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</row>
    <row r="1540">
      <c r="A1540" s="3"/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</row>
    <row r="1541">
      <c r="A1541" s="3"/>
      <c r="B1541" s="3"/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</row>
    <row r="1542">
      <c r="A1542" s="3"/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</row>
    <row r="1543">
      <c r="A1543" s="3"/>
      <c r="B1543" s="3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</row>
    <row r="1544">
      <c r="A1544" s="3"/>
      <c r="B1544" s="3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</row>
    <row r="1545">
      <c r="A1545" s="3"/>
      <c r="B1545" s="3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</row>
    <row r="1546">
      <c r="A1546" s="3"/>
      <c r="B1546" s="3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</row>
    <row r="1547">
      <c r="A1547" s="3"/>
      <c r="B1547" s="3"/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</row>
    <row r="1548">
      <c r="A1548" s="3"/>
      <c r="B1548" s="3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</row>
    <row r="1549">
      <c r="A1549" s="3"/>
      <c r="B1549" s="3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</row>
    <row r="1550">
      <c r="A1550" s="3"/>
      <c r="B1550" s="3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</row>
    <row r="1551">
      <c r="A1551" s="3"/>
      <c r="B1551" s="3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</row>
    <row r="1552">
      <c r="A1552" s="3"/>
      <c r="B1552" s="3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</row>
    <row r="1553">
      <c r="A1553" s="3"/>
      <c r="B1553" s="3"/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</row>
    <row r="1554">
      <c r="A1554" s="3"/>
      <c r="B1554" s="3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</row>
    <row r="1555">
      <c r="A1555" s="3"/>
      <c r="B1555" s="3"/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</row>
    <row r="1556">
      <c r="A1556" s="3"/>
      <c r="B1556" s="3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</row>
    <row r="1557">
      <c r="A1557" s="3"/>
      <c r="B1557" s="3"/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</row>
    <row r="1558">
      <c r="A1558" s="3"/>
      <c r="B1558" s="3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</row>
    <row r="1559">
      <c r="A1559" s="3"/>
      <c r="B1559" s="3"/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</row>
    <row r="1560">
      <c r="A1560" s="3"/>
      <c r="B1560" s="3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</row>
    <row r="1561">
      <c r="A1561" s="3"/>
      <c r="B1561" s="3"/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</row>
    <row r="1562">
      <c r="A1562" s="3"/>
      <c r="B1562" s="3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</row>
    <row r="1563">
      <c r="A1563" s="3"/>
      <c r="B1563" s="3"/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</row>
    <row r="1564">
      <c r="A1564" s="3"/>
      <c r="B1564" s="3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</row>
    <row r="1565">
      <c r="A1565" s="3"/>
      <c r="B1565" s="3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</row>
    <row r="1566">
      <c r="A1566" s="3"/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</row>
    <row r="1567">
      <c r="A1567" s="3"/>
      <c r="B1567" s="3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</row>
    <row r="1568">
      <c r="A1568" s="3"/>
      <c r="B1568" s="3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</row>
    <row r="1569">
      <c r="A1569" s="3"/>
      <c r="B1569" s="3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</row>
    <row r="1570">
      <c r="A1570" s="3"/>
      <c r="B1570" s="3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</row>
    <row r="1571">
      <c r="A1571" s="3"/>
      <c r="B1571" s="3"/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</row>
    <row r="1572">
      <c r="A1572" s="3"/>
      <c r="B1572" s="3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</row>
    <row r="1573">
      <c r="A1573" s="3"/>
      <c r="B1573" s="3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</row>
    <row r="1574">
      <c r="A1574" s="3"/>
      <c r="B1574" s="3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</row>
    <row r="1575">
      <c r="A1575" s="3"/>
      <c r="B1575" s="3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</row>
    <row r="1576">
      <c r="A1576" s="3"/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</row>
    <row r="1577">
      <c r="A1577" s="3"/>
      <c r="B1577" s="3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</row>
    <row r="1578">
      <c r="A1578" s="3"/>
      <c r="B1578" s="3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</row>
    <row r="1579">
      <c r="A1579" s="3"/>
      <c r="B1579" s="3"/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</row>
    <row r="1580">
      <c r="A1580" s="3"/>
      <c r="B1580" s="3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</row>
    <row r="1581">
      <c r="A1581" s="3"/>
      <c r="B1581" s="3"/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</row>
    <row r="1582">
      <c r="A1582" s="3"/>
      <c r="B1582" s="3"/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</row>
    <row r="1583">
      <c r="A1583" s="3"/>
      <c r="B1583" s="3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</row>
    <row r="1584">
      <c r="A1584" s="3"/>
      <c r="B1584" s="3"/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</row>
    <row r="1585">
      <c r="A1585" s="3"/>
      <c r="B1585" s="3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</row>
    <row r="1586">
      <c r="A1586" s="3"/>
      <c r="B1586" s="3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</row>
    <row r="1587">
      <c r="A1587" s="3"/>
      <c r="B1587" s="3"/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</row>
    <row r="1588">
      <c r="A1588" s="3"/>
      <c r="B1588" s="3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</row>
    <row r="1589">
      <c r="A1589" s="3"/>
      <c r="B1589" s="3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</row>
    <row r="1590">
      <c r="A1590" s="3"/>
      <c r="B1590" s="3"/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</row>
    <row r="1591">
      <c r="A1591" s="3"/>
      <c r="B1591" s="3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</row>
    <row r="1592">
      <c r="A1592" s="3"/>
      <c r="B1592" s="3"/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</row>
    <row r="1593">
      <c r="A1593" s="3"/>
      <c r="B1593" s="3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</row>
    <row r="1594">
      <c r="A1594" s="3"/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</row>
    <row r="1595">
      <c r="A1595" s="3"/>
      <c r="B1595" s="3"/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</row>
    <row r="1596">
      <c r="A1596" s="3"/>
      <c r="B1596" s="3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</row>
    <row r="1597">
      <c r="A1597" s="3"/>
      <c r="B1597" s="3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</row>
    <row r="1598">
      <c r="A1598" s="3"/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</row>
    <row r="1599">
      <c r="A1599" s="3"/>
      <c r="B1599" s="3"/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</row>
    <row r="1600">
      <c r="A1600" s="3"/>
      <c r="B1600" s="3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</row>
    <row r="1601">
      <c r="A1601" s="3"/>
      <c r="B1601" s="3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</row>
    <row r="1602">
      <c r="A1602" s="3"/>
      <c r="B1602" s="3"/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</row>
    <row r="1603">
      <c r="A1603" s="3"/>
      <c r="B1603" s="3"/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</row>
    <row r="1604">
      <c r="A1604" s="3"/>
      <c r="B1604" s="3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</row>
    <row r="1605">
      <c r="A1605" s="3"/>
      <c r="B1605" s="3"/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</row>
    <row r="1606">
      <c r="A1606" s="3"/>
      <c r="B1606" s="3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</row>
    <row r="1607">
      <c r="A1607" s="3"/>
      <c r="B1607" s="3"/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</row>
    <row r="1608">
      <c r="A1608" s="3"/>
      <c r="B1608" s="3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</row>
    <row r="1609">
      <c r="A1609" s="3"/>
      <c r="B1609" s="3"/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</row>
    <row r="1610">
      <c r="A1610" s="3"/>
      <c r="B1610" s="3"/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</row>
    <row r="1611">
      <c r="A1611" s="3"/>
      <c r="B1611" s="3"/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</row>
    <row r="1612">
      <c r="A1612" s="3"/>
      <c r="B1612" s="3"/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</row>
    <row r="1613">
      <c r="A1613" s="3"/>
      <c r="B1613" s="3"/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</row>
    <row r="1614">
      <c r="A1614" s="3"/>
      <c r="B1614" s="3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</row>
    <row r="1615">
      <c r="A1615" s="3"/>
      <c r="B1615" s="3"/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</row>
    <row r="1616">
      <c r="A1616" s="3"/>
      <c r="B1616" s="3"/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</row>
    <row r="1617">
      <c r="A1617" s="3"/>
      <c r="B1617" s="3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</row>
    <row r="1618">
      <c r="A1618" s="3"/>
      <c r="B1618" s="3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</row>
    <row r="1619">
      <c r="A1619" s="3"/>
      <c r="B1619" s="3"/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</row>
    <row r="1620">
      <c r="A1620" s="3"/>
      <c r="B1620" s="3"/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</row>
    <row r="1621">
      <c r="A1621" s="3"/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</row>
    <row r="1622">
      <c r="A1622" s="3"/>
      <c r="B1622" s="3"/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</row>
    <row r="1623">
      <c r="A1623" s="3"/>
      <c r="B1623" s="3"/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</row>
    <row r="1624">
      <c r="A1624" s="3"/>
      <c r="B1624" s="3"/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</row>
    <row r="1625">
      <c r="A1625" s="3"/>
      <c r="B1625" s="3"/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</row>
    <row r="1626">
      <c r="A1626" s="3"/>
      <c r="B1626" s="3"/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</row>
    <row r="1627">
      <c r="A1627" s="3"/>
      <c r="B1627" s="3"/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</row>
    <row r="1628">
      <c r="A1628" s="3"/>
      <c r="B1628" s="3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</row>
    <row r="1629">
      <c r="A1629" s="3"/>
      <c r="B1629" s="3"/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</row>
    <row r="1630">
      <c r="A1630" s="3"/>
      <c r="B1630" s="3"/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</row>
    <row r="1631">
      <c r="A1631" s="3"/>
      <c r="B1631" s="3"/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</row>
    <row r="1632">
      <c r="A1632" s="3"/>
      <c r="B1632" s="3"/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</row>
    <row r="1633">
      <c r="A1633" s="3"/>
      <c r="B1633" s="3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</row>
    <row r="1634">
      <c r="A1634" s="3"/>
      <c r="B1634" s="3"/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</row>
    <row r="1635">
      <c r="A1635" s="3"/>
      <c r="B1635" s="3"/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</row>
    <row r="1636">
      <c r="A1636" s="3"/>
      <c r="B1636" s="3"/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</row>
    <row r="1637">
      <c r="A1637" s="3"/>
      <c r="B1637" s="3"/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</row>
    <row r="1638">
      <c r="A1638" s="3"/>
      <c r="B1638" s="3"/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</row>
    <row r="1639">
      <c r="A1639" s="3"/>
      <c r="B1639" s="3"/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</row>
    <row r="1640">
      <c r="A1640" s="3"/>
      <c r="B1640" s="3"/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</row>
    <row r="1641">
      <c r="A1641" s="3"/>
      <c r="B1641" s="3"/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</row>
    <row r="1642">
      <c r="A1642" s="3"/>
      <c r="B1642" s="3"/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</row>
    <row r="1643">
      <c r="A1643" s="3"/>
      <c r="B1643" s="3"/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</row>
    <row r="1644">
      <c r="A1644" s="3"/>
      <c r="B1644" s="3"/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</row>
    <row r="1645">
      <c r="A1645" s="3"/>
      <c r="B1645" s="3"/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</row>
    <row r="1646">
      <c r="A1646" s="3"/>
      <c r="B1646" s="3"/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</row>
    <row r="1647">
      <c r="A1647" s="3"/>
      <c r="B1647" s="3"/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</row>
    <row r="1648">
      <c r="A1648" s="3"/>
      <c r="B1648" s="3"/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</row>
    <row r="1649">
      <c r="A1649" s="3"/>
      <c r="B1649" s="3"/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</row>
    <row r="1650">
      <c r="A1650" s="3"/>
      <c r="B1650" s="3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</row>
    <row r="1651">
      <c r="A1651" s="3"/>
      <c r="B1651" s="3"/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</row>
    <row r="1652">
      <c r="A1652" s="3"/>
      <c r="B1652" s="3"/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</row>
    <row r="1653">
      <c r="A1653" s="3"/>
      <c r="B1653" s="3"/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</row>
    <row r="1654">
      <c r="A1654" s="3"/>
      <c r="B1654" s="3"/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</row>
    <row r="1655">
      <c r="A1655" s="3"/>
      <c r="B1655" s="3"/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</row>
    <row r="1656">
      <c r="A1656" s="3"/>
      <c r="B1656" s="3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</row>
    <row r="1657">
      <c r="A1657" s="3"/>
      <c r="B1657" s="3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</row>
    <row r="1658">
      <c r="A1658" s="3"/>
      <c r="B1658" s="3"/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</row>
    <row r="1659">
      <c r="A1659" s="3"/>
      <c r="B1659" s="3"/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</row>
    <row r="1660">
      <c r="A1660" s="3"/>
      <c r="B1660" s="3"/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</row>
    <row r="1661">
      <c r="A1661" s="3"/>
      <c r="B1661" s="3"/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</row>
    <row r="1662">
      <c r="A1662" s="3"/>
      <c r="B1662" s="3"/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</row>
    <row r="1663">
      <c r="A1663" s="3"/>
      <c r="B1663" s="3"/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</row>
    <row r="1664">
      <c r="A1664" s="3"/>
      <c r="B1664" s="3"/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</row>
    <row r="1665">
      <c r="A1665" s="3"/>
      <c r="B1665" s="3"/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</row>
    <row r="1666">
      <c r="A1666" s="3"/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</row>
    <row r="1667">
      <c r="A1667" s="3"/>
      <c r="B1667" s="3"/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</row>
    <row r="1668">
      <c r="A1668" s="3"/>
      <c r="B1668" s="3"/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</row>
    <row r="1669">
      <c r="A1669" s="3"/>
      <c r="B1669" s="3"/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</row>
    <row r="1670">
      <c r="A1670" s="3"/>
      <c r="B1670" s="3"/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</row>
    <row r="1671">
      <c r="A1671" s="3"/>
      <c r="B1671" s="3"/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</row>
    <row r="1672">
      <c r="A1672" s="3"/>
      <c r="B1672" s="3"/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</row>
    <row r="1673">
      <c r="A1673" s="3"/>
      <c r="B1673" s="3"/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</row>
    <row r="1674">
      <c r="A1674" s="3"/>
      <c r="B1674" s="3"/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</row>
    <row r="1675">
      <c r="A1675" s="3"/>
      <c r="B1675" s="3"/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</row>
    <row r="1676">
      <c r="A1676" s="3"/>
      <c r="B1676" s="3"/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</row>
    <row r="1677">
      <c r="A1677" s="3"/>
      <c r="B1677" s="3"/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</row>
    <row r="1678">
      <c r="A1678" s="3"/>
      <c r="B1678" s="3"/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</row>
    <row r="1679">
      <c r="A1679" s="3"/>
      <c r="B1679" s="3"/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</row>
    <row r="1680">
      <c r="A1680" s="3"/>
      <c r="B1680" s="3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</row>
    <row r="1681">
      <c r="A1681" s="3"/>
      <c r="B1681" s="3"/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</row>
    <row r="1682">
      <c r="A1682" s="3"/>
      <c r="B1682" s="3"/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</row>
    <row r="1683">
      <c r="A1683" s="3"/>
      <c r="B1683" s="3"/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</row>
    <row r="1684">
      <c r="A1684" s="3"/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</row>
    <row r="1685">
      <c r="A1685" s="3"/>
      <c r="B1685" s="3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</row>
    <row r="1686">
      <c r="A1686" s="3"/>
      <c r="B1686" s="3"/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</row>
    <row r="1687">
      <c r="A1687" s="3"/>
      <c r="B1687" s="3"/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</row>
    <row r="1688">
      <c r="A1688" s="3"/>
      <c r="B1688" s="3"/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</row>
    <row r="1689">
      <c r="A1689" s="3"/>
      <c r="B1689" s="3"/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</row>
    <row r="1690">
      <c r="A1690" s="3"/>
      <c r="B1690" s="3"/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</row>
    <row r="1691">
      <c r="A1691" s="3"/>
      <c r="B1691" s="3"/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</row>
    <row r="1692">
      <c r="A1692" s="3"/>
      <c r="B1692" s="3"/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</row>
    <row r="1693">
      <c r="A1693" s="3"/>
      <c r="B1693" s="3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</row>
    <row r="1694">
      <c r="A1694" s="3"/>
      <c r="B1694" s="3"/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</row>
    <row r="1695">
      <c r="A1695" s="3"/>
      <c r="B1695" s="3"/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</row>
    <row r="1696">
      <c r="A1696" s="3"/>
      <c r="B1696" s="3"/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</row>
    <row r="1697">
      <c r="A1697" s="3"/>
      <c r="B1697" s="3"/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</row>
    <row r="1698">
      <c r="A1698" s="3"/>
      <c r="B1698" s="3"/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</row>
    <row r="1699">
      <c r="A1699" s="3"/>
      <c r="B1699" s="3"/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</row>
    <row r="1700">
      <c r="A1700" s="3"/>
      <c r="B1700" s="3"/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</row>
    <row r="1701">
      <c r="A1701" s="3"/>
      <c r="B1701" s="3"/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</row>
    <row r="1702">
      <c r="A1702" s="3"/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</row>
    <row r="1703">
      <c r="A1703" s="3"/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</row>
    <row r="1704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</row>
    <row r="1705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</row>
    <row r="1706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</row>
    <row r="1707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</row>
    <row r="1708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</row>
    <row r="1709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</row>
    <row r="1710">
      <c r="A1710" s="3"/>
      <c r="B1710" s="3"/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</row>
    <row r="1711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</row>
    <row r="1712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</row>
    <row r="1713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</row>
    <row r="1714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</row>
    <row r="1715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</row>
    <row r="1716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</row>
    <row r="1717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</row>
    <row r="1718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</row>
    <row r="1719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</row>
    <row r="1720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</row>
    <row r="1721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</row>
    <row r="1722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</row>
    <row r="1723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</row>
    <row r="1724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</row>
    <row r="1725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</row>
    <row r="1726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</row>
    <row r="1727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</row>
    <row r="1728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</row>
    <row r="1729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</row>
    <row r="1730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</row>
    <row r="1731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</row>
    <row r="1732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</row>
    <row r="1733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</row>
    <row r="1734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</row>
    <row r="1735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</row>
    <row r="1736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</row>
    <row r="1737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</row>
    <row r="1738">
      <c r="A1738" s="3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</row>
    <row r="1739">
      <c r="A1739" s="3"/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</row>
    <row r="1740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</row>
    <row r="1741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</row>
    <row r="1742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</row>
    <row r="1743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</row>
    <row r="1744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</row>
    <row r="1745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</row>
    <row r="1746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</row>
    <row r="1747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</row>
    <row r="1748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</row>
    <row r="1749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</row>
    <row r="1750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</row>
    <row r="1751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</row>
    <row r="1752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</row>
    <row r="1753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</row>
    <row r="1754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</row>
    <row r="1755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</row>
    <row r="1756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</row>
    <row r="1757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</row>
    <row r="1758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</row>
    <row r="1759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</row>
    <row r="1760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</row>
    <row r="1761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</row>
    <row r="1762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</row>
    <row r="1763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</row>
    <row r="1764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</row>
    <row r="1765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</row>
    <row r="1766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</row>
    <row r="1767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</row>
    <row r="1768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</row>
    <row r="1769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</row>
    <row r="1770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</row>
    <row r="1771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</row>
    <row r="1772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</row>
    <row r="1773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</row>
    <row r="1774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</row>
    <row r="1775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</row>
    <row r="1776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</row>
    <row r="1777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</row>
    <row r="1778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</row>
    <row r="1779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</row>
    <row r="1780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</row>
    <row r="1781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</row>
    <row r="1782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</row>
    <row r="1783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</row>
    <row r="1784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</row>
    <row r="1785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</row>
    <row r="1786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</row>
    <row r="1787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</row>
    <row r="1788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</row>
    <row r="1789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</row>
    <row r="1790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</row>
    <row r="1791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</row>
    <row r="1792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</row>
    <row r="1793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</row>
    <row r="1794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</row>
    <row r="1795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</row>
    <row r="1796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</row>
    <row r="1797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</row>
    <row r="1798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</row>
    <row r="1799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</row>
    <row r="1800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</row>
    <row r="1801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</row>
    <row r="1802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</row>
    <row r="1803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</row>
    <row r="1804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</row>
    <row r="1805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</row>
    <row r="1806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</row>
    <row r="1807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</row>
    <row r="1808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</row>
    <row r="1809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</row>
    <row r="1810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</row>
    <row r="1811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</row>
    <row r="1812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</row>
    <row r="1813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</row>
    <row r="1814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</row>
    <row r="1815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</row>
    <row r="1816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</row>
    <row r="1817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</row>
    <row r="1818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</row>
    <row r="1819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</row>
    <row r="1820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</row>
    <row r="1821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</row>
    <row r="1822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</row>
    <row r="1823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</row>
    <row r="1824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</row>
    <row r="1825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</row>
    <row r="1826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</row>
    <row r="1827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</row>
    <row r="1828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</row>
    <row r="1829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</row>
    <row r="1830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</row>
    <row r="1831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</row>
    <row r="1832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</row>
    <row r="1833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</row>
    <row r="1834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</row>
    <row r="1835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</row>
    <row r="1836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</row>
    <row r="1837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</row>
    <row r="1838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</row>
    <row r="1839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</row>
    <row r="1840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</row>
    <row r="1841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</row>
    <row r="1842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</row>
    <row r="1843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</row>
    <row r="1844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</row>
    <row r="1845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</row>
    <row r="1846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</row>
    <row r="1847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</row>
    <row r="1848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</row>
    <row r="1849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</row>
    <row r="1850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</row>
    <row r="1851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</row>
    <row r="1852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</row>
    <row r="1853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</row>
    <row r="1854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</row>
    <row r="1855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</row>
    <row r="1856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</row>
    <row r="1857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</row>
    <row r="1858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</row>
    <row r="1859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</row>
    <row r="1860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</row>
    <row r="1861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</row>
    <row r="1862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</row>
    <row r="1863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</row>
    <row r="1864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</row>
    <row r="1865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</row>
    <row r="1866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</row>
    <row r="1867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</row>
    <row r="1868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</row>
    <row r="1869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</row>
    <row r="1870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</row>
    <row r="1871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</row>
    <row r="1872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</row>
    <row r="1873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</row>
    <row r="1874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</row>
    <row r="1875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</row>
    <row r="1876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</row>
    <row r="1877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</row>
    <row r="1878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</row>
    <row r="1879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</row>
    <row r="1880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</row>
    <row r="1881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</row>
    <row r="1882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</row>
    <row r="1883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</row>
    <row r="1884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</row>
    <row r="1885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</row>
    <row r="1886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</row>
    <row r="1887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</row>
    <row r="1888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</row>
    <row r="1889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</row>
    <row r="1890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</row>
    <row r="1891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</row>
    <row r="1892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</row>
    <row r="1893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</row>
    <row r="1894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</row>
    <row r="1895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</row>
    <row r="1896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</row>
    <row r="1897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</row>
    <row r="1898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</row>
    <row r="1899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</row>
    <row r="1900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</row>
    <row r="1901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</row>
    <row r="1902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</row>
    <row r="1903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</row>
    <row r="1904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</row>
    <row r="1905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</row>
    <row r="1906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</row>
    <row r="1907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</row>
    <row r="1908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</row>
    <row r="1909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</row>
    <row r="1910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</row>
    <row r="1911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</row>
    <row r="1912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</row>
    <row r="1913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</row>
    <row r="1914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</row>
    <row r="1915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</row>
    <row r="1916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</row>
    <row r="1917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</row>
    <row r="1918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</row>
    <row r="1919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</row>
    <row r="1920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</row>
    <row r="1921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</row>
    <row r="1922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</row>
    <row r="1923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</row>
    <row r="1924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</row>
    <row r="1925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</row>
    <row r="1926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</row>
    <row r="1927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</row>
    <row r="1928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</row>
    <row r="1929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</row>
    <row r="1930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</row>
    <row r="1931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</row>
    <row r="1932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</row>
    <row r="1933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</row>
    <row r="1934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</row>
    <row r="1935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</row>
    <row r="1936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</row>
    <row r="1937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</row>
    <row r="1938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</row>
    <row r="1939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</row>
    <row r="1940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</row>
    <row r="1941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</row>
    <row r="1942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</row>
    <row r="1943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</row>
    <row r="1944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</row>
    <row r="1945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</row>
    <row r="1946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</row>
    <row r="1947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</row>
    <row r="1948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</row>
    <row r="1949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</row>
    <row r="1950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</row>
    <row r="1951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</row>
    <row r="1952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</row>
    <row r="1953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</row>
    <row r="1954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</row>
    <row r="1955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</row>
    <row r="1956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</row>
    <row r="1957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</row>
    <row r="1958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</row>
    <row r="1959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</row>
    <row r="1960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</row>
    <row r="1961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</row>
    <row r="1962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</row>
    <row r="1963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</row>
    <row r="1964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</row>
    <row r="1965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</row>
    <row r="1966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</row>
    <row r="1967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</row>
    <row r="1968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</row>
    <row r="1969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</row>
    <row r="1970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</row>
    <row r="1971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</row>
    <row r="1972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</row>
    <row r="1973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</row>
    <row r="1974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</row>
    <row r="1975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</row>
    <row r="1976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</row>
    <row r="1977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</row>
    <row r="1978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</row>
    <row r="1979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</row>
    <row r="1980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</row>
    <row r="1981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</row>
    <row r="1982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</row>
    <row r="1983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</row>
    <row r="1984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</row>
    <row r="1985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</row>
    <row r="1986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</row>
    <row r="1987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</row>
    <row r="1988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</row>
    <row r="1989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</row>
    <row r="1990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</row>
    <row r="1991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</row>
    <row r="1992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</row>
    <row r="1993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</row>
    <row r="1994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</row>
    <row r="1995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</row>
    <row r="1996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</row>
    <row r="1997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</row>
    <row r="1998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</row>
    <row r="1999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</row>
    <row r="2000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</row>
    <row r="2001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</row>
    <row r="2002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</row>
    <row r="2003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</row>
    <row r="2004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</row>
    <row r="2005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</row>
    <row r="2006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</row>
    <row r="2007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</row>
    <row r="2008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</row>
    <row r="2009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</row>
    <row r="2010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</row>
    <row r="2011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</row>
    <row r="2012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</row>
    <row r="2013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</row>
    <row r="2014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</row>
    <row r="2015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</row>
    <row r="2016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</row>
    <row r="2017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</row>
    <row r="2018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</row>
    <row r="2019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</row>
    <row r="2020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</row>
    <row r="2021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</row>
    <row r="2022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</row>
    <row r="2023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</row>
    <row r="2024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</row>
    <row r="2025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</row>
    <row r="2026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</row>
    <row r="2027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</row>
    <row r="2028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</row>
    <row r="2029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</row>
    <row r="2030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</row>
    <row r="2031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</row>
    <row r="2032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</row>
    <row r="2033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</row>
    <row r="2034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</row>
    <row r="2035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</row>
    <row r="2036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</row>
    <row r="2037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</row>
    <row r="2038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</row>
    <row r="2039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</row>
    <row r="2040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</row>
    <row r="2041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</row>
    <row r="2042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</row>
    <row r="2043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</row>
    <row r="2044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</row>
    <row r="2045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</row>
    <row r="2046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</row>
    <row r="2047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</row>
    <row r="2048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</row>
    <row r="2049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</row>
    <row r="2050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</row>
    <row r="2051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</row>
    <row r="2052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</row>
    <row r="2053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</row>
    <row r="2054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</row>
    <row r="2055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</row>
    <row r="2056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</row>
    <row r="2057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</row>
    <row r="2058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</row>
    <row r="2059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</row>
    <row r="2060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</row>
    <row r="2061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</row>
    <row r="2062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</row>
    <row r="2063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</row>
    <row r="2064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</row>
    <row r="2065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</row>
    <row r="2066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</row>
    <row r="2067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</row>
    <row r="2068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</row>
    <row r="2069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</row>
    <row r="2070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</row>
    <row r="2071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</row>
    <row r="2072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</row>
    <row r="2073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</row>
    <row r="2074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</row>
    <row r="2075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</row>
    <row r="2076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</row>
    <row r="2077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</row>
    <row r="2078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</row>
    <row r="2079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</row>
    <row r="2080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</row>
    <row r="2081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</row>
    <row r="2082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</row>
    <row r="2083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</row>
    <row r="2084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</row>
    <row r="2085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</row>
    <row r="2086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</row>
    <row r="2087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</row>
    <row r="2088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</row>
    <row r="2089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</row>
    <row r="2090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</row>
    <row r="2091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</row>
    <row r="2092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</row>
    <row r="2093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</row>
    <row r="2094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</row>
    <row r="2095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</row>
    <row r="2096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</row>
    <row r="2097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</row>
    <row r="2098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</row>
    <row r="2099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</row>
    <row r="2100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</row>
    <row r="2101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</row>
    <row r="2102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</row>
    <row r="2103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</row>
    <row r="2104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</row>
    <row r="2105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</row>
    <row r="2106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</row>
    <row r="2107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</row>
    <row r="2108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</row>
    <row r="2109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</row>
    <row r="2110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</row>
    <row r="2111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</row>
    <row r="2112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</row>
    <row r="2113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</row>
    <row r="2114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</row>
    <row r="2115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</row>
    <row r="2116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</row>
    <row r="2117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</row>
    <row r="2118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</row>
    <row r="2119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</row>
    <row r="2120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</row>
    <row r="2121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</row>
    <row r="2122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</row>
    <row r="2123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</row>
    <row r="2124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</row>
    <row r="2125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</row>
    <row r="2126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</row>
    <row r="2127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</row>
    <row r="2128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</row>
    <row r="2129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</row>
    <row r="2130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</row>
    <row r="2131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</row>
    <row r="2132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</row>
    <row r="2133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</row>
    <row r="2134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</row>
    <row r="2135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</row>
    <row r="2136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</row>
    <row r="2137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</row>
    <row r="2138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</row>
    <row r="2139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</row>
    <row r="2140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</row>
    <row r="2141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</row>
    <row r="2142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</row>
    <row r="2143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</row>
    <row r="2144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</row>
    <row r="2145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</row>
    <row r="2146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</row>
    <row r="2147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</row>
    <row r="2148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</row>
    <row r="2149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</row>
    <row r="2150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</row>
    <row r="2151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</row>
    <row r="2152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</row>
    <row r="2153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</row>
    <row r="2154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</row>
    <row r="2155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</row>
    <row r="2156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</row>
    <row r="2157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</row>
    <row r="2158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</row>
    <row r="2159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</row>
    <row r="2160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</row>
    <row r="2161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</row>
    <row r="2162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</row>
    <row r="2163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</row>
    <row r="2164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</row>
    <row r="2165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</row>
    <row r="2166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</row>
    <row r="2167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</row>
    <row r="2168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</row>
    <row r="2169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</row>
    <row r="2170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</row>
    <row r="2171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</row>
    <row r="2172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</row>
    <row r="2173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</row>
    <row r="2174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</row>
    <row r="2175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</row>
    <row r="2176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</row>
    <row r="2177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</row>
    <row r="2178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</row>
    <row r="2179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</row>
    <row r="2180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</row>
    <row r="2181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</row>
    <row r="2182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</row>
    <row r="2183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</row>
    <row r="2184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</row>
    <row r="2185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</row>
    <row r="2186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</row>
    <row r="2187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</row>
    <row r="2188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</row>
    <row r="2189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</row>
    <row r="2190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</row>
    <row r="2191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</row>
    <row r="2192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</row>
    <row r="2193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</row>
    <row r="2194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</row>
    <row r="2195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</row>
    <row r="2196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</row>
    <row r="2197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</row>
    <row r="2198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</row>
    <row r="2199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</row>
    <row r="2200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</row>
    <row r="2201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</row>
    <row r="2202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</row>
    <row r="2203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</row>
    <row r="2204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</row>
    <row r="2205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</row>
    <row r="2206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</row>
    <row r="2207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</row>
    <row r="2208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</row>
    <row r="2209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</row>
    <row r="2210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</row>
    <row r="2211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</row>
    <row r="2212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</row>
    <row r="2213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</row>
    <row r="2214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</row>
    <row r="2215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</row>
    <row r="2216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</row>
    <row r="2217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</row>
    <row r="2218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</row>
    <row r="2219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</row>
    <row r="2220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</row>
    <row r="2221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</row>
    <row r="2222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</row>
    <row r="2223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</row>
    <row r="2224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</row>
    <row r="2225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</row>
    <row r="2226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</row>
    <row r="2227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</row>
    <row r="2228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</row>
    <row r="2229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</row>
    <row r="2230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</row>
    <row r="2231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</row>
    <row r="2232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</row>
    <row r="2233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</row>
    <row r="2234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</row>
    <row r="2235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</row>
    <row r="2236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</row>
    <row r="2237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</row>
    <row r="2238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</row>
    <row r="2239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</row>
    <row r="2240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</row>
    <row r="2241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</row>
    <row r="2242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</row>
    <row r="2243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</row>
    <row r="2244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</row>
    <row r="2245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</row>
    <row r="2246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</row>
    <row r="2247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</row>
    <row r="2248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</row>
    <row r="2249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</row>
    <row r="2250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</row>
    <row r="2251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</row>
    <row r="2252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</row>
    <row r="2253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</row>
    <row r="2254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</row>
    <row r="2255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</row>
    <row r="2256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</row>
    <row r="2257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</row>
    <row r="2258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</row>
    <row r="2259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</row>
    <row r="2260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</row>
    <row r="2261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</row>
    <row r="2262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</row>
    <row r="2263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</row>
    <row r="2264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</row>
    <row r="2265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</row>
    <row r="2266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</row>
    <row r="2267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</row>
    <row r="2268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</row>
    <row r="2269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</row>
    <row r="2270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</row>
    <row r="2271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</row>
    <row r="2272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</row>
    <row r="2273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</row>
    <row r="2274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</row>
    <row r="2275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</row>
    <row r="2276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</row>
    <row r="2277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</row>
    <row r="2278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</row>
    <row r="2279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</row>
    <row r="2280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</row>
    <row r="2281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</row>
    <row r="2282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</row>
    <row r="2283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</row>
    <row r="2284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</row>
    <row r="2285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</row>
    <row r="2286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</row>
    <row r="2287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</row>
    <row r="2288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</row>
    <row r="2289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</row>
    <row r="2290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</row>
    <row r="2291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</row>
    <row r="2292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</row>
    <row r="2293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</row>
    <row r="2294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</row>
    <row r="2295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</row>
    <row r="2296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</row>
    <row r="2297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</row>
    <row r="2298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</row>
    <row r="2299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</row>
    <row r="2300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</row>
    <row r="2301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</row>
    <row r="2302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</row>
    <row r="2303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</row>
    <row r="2304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</row>
    <row r="2305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</row>
    <row r="2306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</row>
    <row r="2307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</row>
    <row r="2308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</row>
    <row r="2309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</row>
    <row r="2310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</row>
    <row r="2311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</row>
    <row r="2312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</row>
    <row r="2313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</row>
    <row r="2314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</row>
    <row r="2315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</row>
    <row r="2316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</row>
    <row r="2317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</row>
    <row r="2318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</row>
    <row r="2319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</row>
    <row r="2320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</row>
    <row r="2321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</row>
    <row r="2322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</row>
    <row r="2323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</row>
    <row r="2324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</row>
    <row r="2325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</row>
    <row r="2326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</row>
    <row r="2327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</row>
    <row r="2328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</row>
    <row r="2329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</row>
    <row r="2330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</row>
    <row r="2331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</row>
    <row r="2332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</row>
    <row r="2333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</row>
    <row r="2334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</row>
    <row r="2335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</row>
    <row r="2336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</row>
    <row r="2337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</row>
    <row r="2338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</row>
    <row r="2339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</row>
    <row r="2340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</row>
    <row r="2341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</row>
    <row r="2342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</row>
    <row r="2343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</row>
    <row r="2344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</row>
    <row r="2345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</row>
    <row r="2346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</row>
    <row r="2347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</row>
    <row r="2348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</row>
    <row r="2349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</row>
    <row r="2350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</row>
    <row r="2351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</row>
    <row r="2352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</row>
    <row r="2353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</row>
    <row r="2354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</row>
    <row r="2355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</row>
    <row r="2356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</row>
    <row r="2357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</row>
    <row r="2358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</row>
    <row r="2359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</row>
    <row r="2360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</row>
    <row r="2361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</row>
    <row r="2362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</row>
    <row r="2363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</row>
    <row r="2364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</row>
    <row r="2365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</row>
    <row r="2366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</row>
    <row r="2367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</row>
    <row r="2368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</row>
    <row r="2369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</row>
    <row r="2370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</row>
    <row r="2371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</row>
    <row r="2372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</row>
    <row r="2373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</row>
    <row r="2374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</row>
    <row r="2375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</row>
    <row r="2376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</row>
    <row r="2377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</row>
    <row r="2378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</row>
    <row r="2379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</row>
    <row r="2380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</row>
    <row r="2381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</row>
    <row r="2382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</row>
    <row r="2383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</row>
    <row r="2384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</row>
    <row r="2385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</row>
    <row r="2386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</row>
    <row r="2387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</row>
    <row r="2388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</row>
    <row r="2389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</row>
    <row r="2390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</row>
    <row r="2391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</row>
    <row r="2392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</row>
    <row r="2393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</row>
    <row r="2394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</row>
    <row r="2395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</row>
    <row r="2396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</row>
    <row r="2397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</row>
    <row r="2398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</row>
    <row r="2399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</row>
    <row r="2400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</row>
    <row r="2401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</row>
    <row r="2402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</row>
    <row r="2403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</row>
    <row r="2404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</row>
    <row r="2405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</row>
    <row r="2406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</row>
    <row r="2407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</row>
    <row r="2408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</row>
    <row r="2409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</row>
    <row r="2410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</row>
    <row r="2411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</row>
    <row r="2412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</row>
    <row r="2413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</row>
    <row r="2414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</row>
    <row r="2415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</row>
    <row r="2416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</row>
    <row r="2417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</row>
    <row r="2418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</row>
    <row r="2419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</row>
    <row r="2420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</row>
    <row r="2421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</row>
    <row r="2422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</row>
    <row r="2423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</row>
    <row r="2424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</row>
    <row r="2425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</row>
    <row r="2426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</row>
    <row r="2427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</row>
    <row r="2428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</row>
    <row r="2429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</row>
    <row r="2430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</row>
    <row r="2431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</row>
    <row r="2432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</row>
    <row r="2433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</row>
    <row r="2434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</row>
    <row r="2435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</row>
    <row r="2436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</row>
    <row r="2437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</row>
    <row r="2438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</row>
    <row r="2439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</row>
    <row r="2440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</row>
    <row r="2441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</row>
    <row r="2442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</row>
    <row r="2443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</row>
    <row r="2444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</row>
    <row r="2445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</row>
    <row r="2446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</row>
    <row r="2447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</row>
    <row r="2448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</row>
    <row r="2449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</row>
    <row r="2450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</row>
    <row r="2451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</row>
    <row r="2452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</row>
    <row r="2453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</row>
    <row r="2454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</row>
    <row r="2455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</row>
    <row r="2456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</row>
    <row r="2457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</row>
    <row r="2458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</row>
    <row r="2459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</row>
    <row r="2460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</row>
    <row r="2461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</row>
    <row r="2462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</row>
    <row r="2463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</row>
    <row r="2464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</row>
    <row r="2465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</row>
    <row r="2466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</row>
    <row r="2467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</row>
    <row r="2468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</row>
    <row r="2469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</row>
    <row r="2470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</row>
    <row r="2471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</row>
    <row r="2472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</row>
    <row r="2473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</row>
    <row r="2474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</row>
    <row r="2475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</row>
    <row r="2476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</row>
    <row r="2477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</row>
    <row r="2478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</row>
    <row r="2479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</row>
    <row r="2480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</row>
    <row r="2481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</row>
    <row r="2482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</row>
    <row r="2483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</row>
    <row r="2484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</row>
    <row r="2485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</row>
    <row r="2486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</row>
    <row r="2487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</row>
    <row r="2488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</row>
    <row r="2489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</row>
    <row r="2490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</row>
    <row r="2491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</row>
    <row r="2492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</row>
    <row r="2493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</row>
    <row r="2494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</row>
    <row r="2495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</row>
    <row r="2496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</row>
    <row r="2497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</row>
    <row r="2498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</row>
    <row r="2499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</row>
    <row r="2500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</row>
    <row r="2501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</row>
    <row r="2502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</row>
    <row r="2503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</row>
    <row r="2504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</row>
    <row r="2505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</row>
    <row r="2506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</row>
    <row r="2507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</row>
    <row r="2508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</row>
    <row r="2509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</row>
    <row r="2510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</row>
    <row r="2511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</row>
    <row r="2512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</row>
    <row r="2513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</row>
    <row r="2514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</row>
    <row r="2515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</row>
    <row r="2516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</row>
    <row r="2517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</row>
    <row r="2518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</row>
    <row r="2519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</row>
    <row r="2520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</row>
    <row r="2521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</row>
    <row r="2522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</row>
    <row r="2523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</row>
    <row r="2524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</row>
    <row r="2525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</row>
    <row r="2526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</row>
    <row r="2527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</row>
    <row r="2528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</row>
    <row r="2529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</row>
    <row r="2530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</row>
    <row r="2531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</row>
    <row r="2532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</row>
    <row r="2533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</row>
    <row r="2534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</row>
    <row r="2535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</row>
    <row r="2536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</row>
    <row r="2537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</row>
    <row r="2538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</row>
    <row r="2539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</row>
    <row r="2540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</row>
    <row r="2541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</row>
    <row r="2542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</row>
    <row r="2543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</row>
    <row r="2544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</row>
    <row r="2545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</row>
    <row r="2546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</row>
    <row r="2547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</row>
    <row r="2548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</row>
    <row r="2549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</row>
    <row r="2550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</row>
    <row r="2551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</row>
    <row r="2552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</row>
    <row r="2553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</row>
    <row r="2554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</row>
    <row r="2555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</row>
    <row r="2556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</row>
    <row r="2557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</row>
    <row r="2558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</row>
    <row r="2559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</row>
    <row r="2560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</row>
    <row r="2561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</row>
    <row r="2562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</row>
    <row r="2563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</row>
    <row r="2564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</row>
    <row r="2565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</row>
    <row r="2566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</row>
    <row r="2567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</row>
    <row r="2568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</row>
    <row r="2569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</row>
    <row r="2570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</row>
    <row r="2571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</row>
    <row r="2572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</row>
    <row r="2573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</row>
    <row r="2574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</row>
    <row r="2575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</row>
    <row r="2576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</row>
    <row r="2577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</row>
    <row r="2578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</row>
    <row r="2579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</row>
    <row r="2580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</row>
    <row r="2581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</row>
    <row r="2582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</row>
    <row r="2583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</row>
    <row r="2584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</row>
    <row r="2585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</row>
    <row r="2586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</row>
    <row r="2587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</row>
    <row r="2588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</row>
    <row r="2589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</row>
    <row r="2590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</row>
    <row r="2591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</row>
    <row r="2592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</row>
    <row r="2593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</row>
    <row r="2594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</row>
    <row r="2595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</row>
    <row r="2596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</row>
    <row r="2597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</row>
    <row r="2598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</row>
    <row r="2599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</row>
    <row r="2600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</row>
    <row r="2601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</row>
    <row r="2602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</row>
    <row r="2603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</row>
    <row r="2604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</row>
    <row r="2605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</row>
    <row r="2606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</row>
    <row r="2607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</row>
    <row r="2608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</row>
    <row r="2609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</row>
    <row r="2610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</row>
    <row r="2611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</row>
    <row r="2612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</row>
    <row r="2613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</row>
    <row r="2614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</row>
    <row r="2615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</row>
    <row r="2616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</row>
    <row r="2617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</row>
    <row r="2618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</row>
    <row r="2619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</row>
    <row r="2620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</row>
    <row r="2621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</row>
    <row r="2622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</row>
    <row r="2623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</row>
    <row r="2624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</row>
    <row r="2625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</row>
    <row r="2626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</row>
    <row r="2627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</row>
    <row r="2628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</row>
    <row r="2629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</row>
    <row r="2630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</row>
    <row r="2631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</row>
    <row r="2632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</row>
    <row r="2633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</row>
    <row r="2634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</row>
    <row r="2635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</row>
    <row r="2636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</row>
    <row r="2637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</row>
    <row r="2638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</row>
    <row r="2639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</row>
    <row r="2640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</row>
    <row r="2641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</row>
    <row r="2642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</row>
    <row r="2643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</row>
    <row r="2644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</row>
    <row r="2645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</row>
    <row r="2646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</row>
    <row r="2647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</row>
    <row r="2648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</row>
    <row r="2649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</row>
    <row r="2650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</row>
    <row r="2651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</row>
    <row r="2652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</row>
    <row r="2653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</row>
    <row r="2654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</row>
    <row r="2655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</row>
    <row r="2656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</row>
    <row r="2657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</row>
    <row r="2658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</row>
    <row r="2659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</row>
    <row r="2660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</row>
    <row r="2661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</row>
    <row r="2662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</row>
    <row r="2663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</row>
    <row r="2664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</row>
    <row r="2665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</row>
    <row r="2666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</row>
    <row r="2667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</row>
    <row r="2668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</row>
    <row r="2669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</row>
    <row r="2670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</row>
    <row r="2671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</row>
    <row r="2672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</row>
    <row r="2673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</row>
    <row r="2674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</row>
    <row r="2675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</row>
    <row r="2676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</row>
    <row r="2677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</row>
    <row r="2678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</row>
    <row r="2679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</row>
    <row r="2680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</row>
    <row r="2681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</row>
    <row r="2682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</row>
    <row r="2683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</row>
    <row r="2684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</row>
    <row r="2685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</row>
    <row r="2686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</row>
    <row r="2687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</row>
    <row r="2688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</row>
    <row r="2689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</row>
    <row r="2690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</row>
    <row r="2691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</row>
    <row r="2692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</row>
    <row r="2693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</row>
    <row r="2694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</row>
    <row r="2695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</row>
    <row r="2696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</row>
    <row r="2697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</row>
    <row r="2698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</row>
    <row r="2699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</row>
    <row r="2700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</row>
    <row r="2701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</row>
    <row r="2702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</row>
    <row r="2703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</row>
    <row r="2704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</row>
    <row r="2705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</row>
    <row r="2706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</row>
    <row r="2707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</row>
    <row r="2708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</row>
    <row r="2709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</row>
    <row r="2710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</row>
    <row r="2711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</row>
    <row r="2712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</row>
    <row r="2713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</row>
    <row r="2714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</row>
    <row r="2715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</row>
    <row r="2716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</row>
    <row r="2717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</row>
    <row r="2718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</row>
    <row r="2719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</row>
    <row r="2720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</row>
    <row r="2721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</row>
    <row r="2722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</row>
    <row r="2723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</row>
    <row r="2724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</row>
    <row r="2725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</row>
    <row r="2726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</row>
    <row r="2727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</row>
    <row r="2728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</row>
    <row r="2729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</row>
    <row r="2730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</row>
    <row r="2731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</row>
    <row r="2732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</row>
    <row r="2733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</row>
    <row r="2734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</row>
    <row r="2735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</row>
    <row r="2736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</row>
    <row r="2737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</row>
    <row r="2738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</row>
    <row r="2739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</row>
    <row r="2740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</row>
    <row r="2741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</row>
    <row r="2742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</row>
    <row r="2743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</row>
    <row r="2744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</row>
    <row r="2745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</row>
    <row r="2746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</row>
    <row r="2747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</row>
    <row r="2748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</row>
    <row r="2749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</row>
    <row r="2750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</row>
    <row r="2751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</row>
    <row r="2752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</row>
    <row r="2753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</row>
    <row r="2754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</row>
    <row r="2755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</row>
    <row r="2756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</row>
    <row r="2757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</row>
    <row r="2758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</row>
    <row r="2759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</row>
    <row r="2760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</row>
    <row r="2761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</row>
    <row r="2762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</row>
    <row r="2763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</row>
    <row r="2764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</row>
    <row r="2765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</row>
    <row r="2766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</row>
    <row r="2767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</row>
    <row r="2768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</row>
    <row r="2769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</row>
    <row r="2770">
      <c r="A2770" s="3"/>
      <c r="B2770" s="3"/>
      <c r="C2770" s="3"/>
      <c r="D2770" s="3"/>
      <c r="E2770" s="3"/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</row>
    <row r="2771">
      <c r="A2771" s="3"/>
      <c r="B2771" s="3"/>
      <c r="C2771" s="3"/>
      <c r="D2771" s="3"/>
      <c r="E2771" s="3"/>
      <c r="F2771" s="3"/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</row>
    <row r="2772">
      <c r="A2772" s="3"/>
      <c r="B2772" s="3"/>
      <c r="C2772" s="3"/>
      <c r="D2772" s="3"/>
      <c r="E2772" s="3"/>
      <c r="F2772" s="3"/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</row>
    <row r="2773">
      <c r="A2773" s="3"/>
      <c r="B2773" s="3"/>
      <c r="C2773" s="3"/>
      <c r="D2773" s="3"/>
      <c r="E2773" s="3"/>
      <c r="F2773" s="3"/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</row>
    <row r="2774">
      <c r="A2774" s="3"/>
      <c r="B2774" s="3"/>
      <c r="C2774" s="3"/>
      <c r="D2774" s="3"/>
      <c r="E2774" s="3"/>
      <c r="F2774" s="3"/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</row>
    <row r="2775">
      <c r="A2775" s="3"/>
      <c r="B2775" s="3"/>
      <c r="C2775" s="3"/>
      <c r="D2775" s="3"/>
      <c r="E2775" s="3"/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</row>
    <row r="2776">
      <c r="A2776" s="3"/>
      <c r="B2776" s="3"/>
      <c r="C2776" s="3"/>
      <c r="D2776" s="3"/>
      <c r="E2776" s="3"/>
      <c r="F2776" s="3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</row>
    <row r="2777">
      <c r="A2777" s="3"/>
      <c r="B2777" s="3"/>
      <c r="C2777" s="3"/>
      <c r="D2777" s="3"/>
      <c r="E2777" s="3"/>
      <c r="F2777" s="3"/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</row>
    <row r="2778">
      <c r="A2778" s="3"/>
      <c r="B2778" s="3"/>
      <c r="C2778" s="3"/>
      <c r="D2778" s="3"/>
      <c r="E2778" s="3"/>
      <c r="F2778" s="3"/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</row>
    <row r="2779">
      <c r="A2779" s="3"/>
      <c r="B2779" s="3"/>
      <c r="C2779" s="3"/>
      <c r="D2779" s="3"/>
      <c r="E2779" s="3"/>
      <c r="F2779" s="3"/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</row>
    <row r="2780">
      <c r="A2780" s="3"/>
      <c r="B2780" s="3"/>
      <c r="C2780" s="3"/>
      <c r="D2780" s="3"/>
      <c r="E2780" s="3"/>
      <c r="F2780" s="3"/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</row>
    <row r="2781">
      <c r="A2781" s="3"/>
      <c r="B2781" s="3"/>
      <c r="C2781" s="3"/>
      <c r="D2781" s="3"/>
      <c r="E2781" s="3"/>
      <c r="F2781" s="3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</row>
    <row r="2782">
      <c r="A2782" s="3"/>
      <c r="B2782" s="3"/>
      <c r="C2782" s="3"/>
      <c r="D2782" s="3"/>
      <c r="E2782" s="3"/>
      <c r="F2782" s="3"/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</row>
    <row r="2783">
      <c r="A2783" s="3"/>
      <c r="B2783" s="3"/>
      <c r="C2783" s="3"/>
      <c r="D2783" s="3"/>
      <c r="E2783" s="3"/>
      <c r="F2783" s="3"/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</row>
    <row r="2784">
      <c r="A2784" s="3"/>
      <c r="B2784" s="3"/>
      <c r="C2784" s="3"/>
      <c r="D2784" s="3"/>
      <c r="E2784" s="3"/>
      <c r="F2784" s="3"/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</row>
    <row r="2785">
      <c r="A2785" s="3"/>
      <c r="B2785" s="3"/>
      <c r="C2785" s="3"/>
      <c r="D2785" s="3"/>
      <c r="E2785" s="3"/>
      <c r="F2785" s="3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</row>
    <row r="2786">
      <c r="A2786" s="3"/>
      <c r="B2786" s="3"/>
      <c r="C2786" s="3"/>
      <c r="D2786" s="3"/>
      <c r="E2786" s="3"/>
      <c r="F2786" s="3"/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</row>
    <row r="2787">
      <c r="A2787" s="3"/>
      <c r="B2787" s="3"/>
      <c r="C2787" s="3"/>
      <c r="D2787" s="3"/>
      <c r="E2787" s="3"/>
      <c r="F2787" s="3"/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</row>
    <row r="2788">
      <c r="A2788" s="3"/>
      <c r="B2788" s="3"/>
      <c r="C2788" s="3"/>
      <c r="D2788" s="3"/>
      <c r="E2788" s="3"/>
      <c r="F2788" s="3"/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</row>
    <row r="2789">
      <c r="A2789" s="3"/>
      <c r="B2789" s="3"/>
      <c r="C2789" s="3"/>
      <c r="D2789" s="3"/>
      <c r="E2789" s="3"/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</row>
    <row r="2790">
      <c r="A2790" s="3"/>
      <c r="B2790" s="3"/>
      <c r="C2790" s="3"/>
      <c r="D2790" s="3"/>
      <c r="E2790" s="3"/>
      <c r="F2790" s="3"/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</row>
    <row r="2791">
      <c r="A2791" s="3"/>
      <c r="B2791" s="3"/>
      <c r="C2791" s="3"/>
      <c r="D2791" s="3"/>
      <c r="E2791" s="3"/>
      <c r="F2791" s="3"/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</row>
    <row r="2792">
      <c r="A2792" s="3"/>
      <c r="B2792" s="3"/>
      <c r="C2792" s="3"/>
      <c r="D2792" s="3"/>
      <c r="E2792" s="3"/>
      <c r="F2792" s="3"/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</row>
    <row r="2793">
      <c r="A2793" s="3"/>
      <c r="B2793" s="3"/>
      <c r="C2793" s="3"/>
      <c r="D2793" s="3"/>
      <c r="E2793" s="3"/>
      <c r="F2793" s="3"/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</row>
    <row r="2794">
      <c r="A2794" s="3"/>
      <c r="B2794" s="3"/>
      <c r="C2794" s="3"/>
      <c r="D2794" s="3"/>
      <c r="E2794" s="3"/>
      <c r="F2794" s="3"/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</row>
    <row r="2795">
      <c r="A2795" s="3"/>
      <c r="B2795" s="3"/>
      <c r="C2795" s="3"/>
      <c r="D2795" s="3"/>
      <c r="E2795" s="3"/>
      <c r="F2795" s="3"/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</row>
    <row r="2796">
      <c r="A2796" s="3"/>
      <c r="B2796" s="3"/>
      <c r="C2796" s="3"/>
      <c r="D2796" s="3"/>
      <c r="E2796" s="3"/>
      <c r="F2796" s="3"/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</row>
    <row r="2797">
      <c r="A2797" s="3"/>
      <c r="B2797" s="3"/>
      <c r="C2797" s="3"/>
      <c r="D2797" s="3"/>
      <c r="E2797" s="3"/>
      <c r="F2797" s="3"/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</row>
    <row r="2798">
      <c r="A2798" s="3"/>
      <c r="B2798" s="3"/>
      <c r="C2798" s="3"/>
      <c r="D2798" s="3"/>
      <c r="E2798" s="3"/>
      <c r="F2798" s="3"/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</row>
    <row r="2799">
      <c r="A2799" s="3"/>
      <c r="B2799" s="3"/>
      <c r="C2799" s="3"/>
      <c r="D2799" s="3"/>
      <c r="E2799" s="3"/>
      <c r="F2799" s="3"/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</row>
    <row r="2800">
      <c r="A2800" s="3"/>
      <c r="B2800" s="3"/>
      <c r="C2800" s="3"/>
      <c r="D2800" s="3"/>
      <c r="E2800" s="3"/>
      <c r="F2800" s="3"/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</row>
    <row r="2801">
      <c r="A2801" s="3"/>
      <c r="B2801" s="3"/>
      <c r="C2801" s="3"/>
      <c r="D2801" s="3"/>
      <c r="E2801" s="3"/>
      <c r="F2801" s="3"/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</row>
    <row r="2802">
      <c r="A2802" s="3"/>
      <c r="B2802" s="3"/>
      <c r="C2802" s="3"/>
      <c r="D2802" s="3"/>
      <c r="E2802" s="3"/>
      <c r="F2802" s="3"/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</row>
    <row r="2803">
      <c r="A2803" s="3"/>
      <c r="B2803" s="3"/>
      <c r="C2803" s="3"/>
      <c r="D2803" s="3"/>
      <c r="E2803" s="3"/>
      <c r="F2803" s="3"/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</row>
    <row r="2804">
      <c r="A2804" s="3"/>
      <c r="B2804" s="3"/>
      <c r="C2804" s="3"/>
      <c r="D2804" s="3"/>
      <c r="E2804" s="3"/>
      <c r="F2804" s="3"/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</row>
    <row r="2805">
      <c r="A2805" s="3"/>
      <c r="B2805" s="3"/>
      <c r="C2805" s="3"/>
      <c r="D2805" s="3"/>
      <c r="E2805" s="3"/>
      <c r="F2805" s="3"/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</row>
    <row r="2806">
      <c r="A2806" s="3"/>
      <c r="B2806" s="3"/>
      <c r="C2806" s="3"/>
      <c r="D2806" s="3"/>
      <c r="E2806" s="3"/>
      <c r="F2806" s="3"/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</row>
    <row r="2807">
      <c r="A2807" s="3"/>
      <c r="B2807" s="3"/>
      <c r="C2807" s="3"/>
      <c r="D2807" s="3"/>
      <c r="E2807" s="3"/>
      <c r="F2807" s="3"/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</row>
    <row r="2808">
      <c r="A2808" s="3"/>
      <c r="B2808" s="3"/>
      <c r="C2808" s="3"/>
      <c r="D2808" s="3"/>
      <c r="E2808" s="3"/>
      <c r="F2808" s="3"/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</row>
    <row r="2809">
      <c r="A2809" s="3"/>
      <c r="B2809" s="3"/>
      <c r="C2809" s="3"/>
      <c r="D2809" s="3"/>
      <c r="E2809" s="3"/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</row>
    <row r="2810">
      <c r="A2810" s="3"/>
      <c r="B2810" s="3"/>
      <c r="C2810" s="3"/>
      <c r="D2810" s="3"/>
      <c r="E2810" s="3"/>
      <c r="F2810" s="3"/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</row>
    <row r="2811">
      <c r="A2811" s="3"/>
      <c r="B2811" s="3"/>
      <c r="C2811" s="3"/>
      <c r="D2811" s="3"/>
      <c r="E2811" s="3"/>
      <c r="F2811" s="3"/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</row>
    <row r="2812">
      <c r="A2812" s="3"/>
      <c r="B2812" s="3"/>
      <c r="C2812" s="3"/>
      <c r="D2812" s="3"/>
      <c r="E2812" s="3"/>
      <c r="F2812" s="3"/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</row>
    <row r="2813">
      <c r="A2813" s="3"/>
      <c r="B2813" s="3"/>
      <c r="C2813" s="3"/>
      <c r="D2813" s="3"/>
      <c r="E2813" s="3"/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</row>
    <row r="2814">
      <c r="A2814" s="3"/>
      <c r="B2814" s="3"/>
      <c r="C2814" s="3"/>
      <c r="D2814" s="3"/>
      <c r="E2814" s="3"/>
      <c r="F2814" s="3"/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</row>
    <row r="2815">
      <c r="A2815" s="3"/>
      <c r="B2815" s="3"/>
      <c r="C2815" s="3"/>
      <c r="D2815" s="3"/>
      <c r="E2815" s="3"/>
      <c r="F2815" s="3"/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</row>
    <row r="2816">
      <c r="A2816" s="3"/>
      <c r="B2816" s="3"/>
      <c r="C2816" s="3"/>
      <c r="D2816" s="3"/>
      <c r="E2816" s="3"/>
      <c r="F2816" s="3"/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</row>
    <row r="2817">
      <c r="A2817" s="3"/>
      <c r="B2817" s="3"/>
      <c r="C2817" s="3"/>
      <c r="D2817" s="3"/>
      <c r="E2817" s="3"/>
      <c r="F2817" s="3"/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</row>
    <row r="2818">
      <c r="A2818" s="3"/>
      <c r="B2818" s="3"/>
      <c r="C2818" s="3"/>
      <c r="D2818" s="3"/>
      <c r="E2818" s="3"/>
      <c r="F2818" s="3"/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</row>
    <row r="2819">
      <c r="A2819" s="3"/>
      <c r="B2819" s="3"/>
      <c r="C2819" s="3"/>
      <c r="D2819" s="3"/>
      <c r="E2819" s="3"/>
      <c r="F2819" s="3"/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</row>
    <row r="2820">
      <c r="A2820" s="3"/>
      <c r="B2820" s="3"/>
      <c r="C2820" s="3"/>
      <c r="D2820" s="3"/>
      <c r="E2820" s="3"/>
      <c r="F2820" s="3"/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</row>
    <row r="2821">
      <c r="A2821" s="3"/>
      <c r="B2821" s="3"/>
      <c r="C2821" s="3"/>
      <c r="D2821" s="3"/>
      <c r="E2821" s="3"/>
      <c r="F2821" s="3"/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</row>
    <row r="2822">
      <c r="A2822" s="3"/>
      <c r="B2822" s="3"/>
      <c r="C2822" s="3"/>
      <c r="D2822" s="3"/>
      <c r="E2822" s="3"/>
      <c r="F2822" s="3"/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</row>
    <row r="2823">
      <c r="A2823" s="3"/>
      <c r="B2823" s="3"/>
      <c r="C2823" s="3"/>
      <c r="D2823" s="3"/>
      <c r="E2823" s="3"/>
      <c r="F2823" s="3"/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</row>
    <row r="2824">
      <c r="A2824" s="3"/>
      <c r="B2824" s="3"/>
      <c r="C2824" s="3"/>
      <c r="D2824" s="3"/>
      <c r="E2824" s="3"/>
      <c r="F2824" s="3"/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</row>
    <row r="2825">
      <c r="A2825" s="3"/>
      <c r="B2825" s="3"/>
      <c r="C2825" s="3"/>
      <c r="D2825" s="3"/>
      <c r="E2825" s="3"/>
      <c r="F2825" s="3"/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</row>
    <row r="2826">
      <c r="A2826" s="3"/>
      <c r="B2826" s="3"/>
      <c r="C2826" s="3"/>
      <c r="D2826" s="3"/>
      <c r="E2826" s="3"/>
      <c r="F2826" s="3"/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</row>
    <row r="2827">
      <c r="A2827" s="3"/>
      <c r="B2827" s="3"/>
      <c r="C2827" s="3"/>
      <c r="D2827" s="3"/>
      <c r="E2827" s="3"/>
      <c r="F2827" s="3"/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</row>
    <row r="2828">
      <c r="A2828" s="3"/>
      <c r="B2828" s="3"/>
      <c r="C2828" s="3"/>
      <c r="D2828" s="3"/>
      <c r="E2828" s="3"/>
      <c r="F2828" s="3"/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</row>
    <row r="2829">
      <c r="A2829" s="3"/>
      <c r="B2829" s="3"/>
      <c r="C2829" s="3"/>
      <c r="D2829" s="3"/>
      <c r="E2829" s="3"/>
      <c r="F2829" s="3"/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</row>
    <row r="2830">
      <c r="A2830" s="3"/>
      <c r="B2830" s="3"/>
      <c r="C2830" s="3"/>
      <c r="D2830" s="3"/>
      <c r="E2830" s="3"/>
      <c r="F2830" s="3"/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</row>
    <row r="2831">
      <c r="A2831" s="3"/>
      <c r="B2831" s="3"/>
      <c r="C2831" s="3"/>
      <c r="D2831" s="3"/>
      <c r="E2831" s="3"/>
      <c r="F2831" s="3"/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</row>
    <row r="2832">
      <c r="A2832" s="3"/>
      <c r="B2832" s="3"/>
      <c r="C2832" s="3"/>
      <c r="D2832" s="3"/>
      <c r="E2832" s="3"/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</row>
    <row r="2833">
      <c r="A2833" s="3"/>
      <c r="B2833" s="3"/>
      <c r="C2833" s="3"/>
      <c r="D2833" s="3"/>
      <c r="E2833" s="3"/>
      <c r="F2833" s="3"/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</row>
    <row r="2834">
      <c r="A2834" s="3"/>
      <c r="B2834" s="3"/>
      <c r="C2834" s="3"/>
      <c r="D2834" s="3"/>
      <c r="E2834" s="3"/>
      <c r="F2834" s="3"/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</row>
    <row r="2835">
      <c r="A2835" s="3"/>
      <c r="B2835" s="3"/>
      <c r="C2835" s="3"/>
      <c r="D2835" s="3"/>
      <c r="E2835" s="3"/>
      <c r="F2835" s="3"/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</row>
    <row r="2836">
      <c r="A2836" s="3"/>
      <c r="B2836" s="3"/>
      <c r="C2836" s="3"/>
      <c r="D2836" s="3"/>
      <c r="E2836" s="3"/>
      <c r="F2836" s="3"/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</row>
    <row r="2837">
      <c r="A2837" s="3"/>
      <c r="B2837" s="3"/>
      <c r="C2837" s="3"/>
      <c r="D2837" s="3"/>
      <c r="E2837" s="3"/>
      <c r="F2837" s="3"/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</row>
    <row r="2838">
      <c r="A2838" s="3"/>
      <c r="B2838" s="3"/>
      <c r="C2838" s="3"/>
      <c r="D2838" s="3"/>
      <c r="E2838" s="3"/>
      <c r="F2838" s="3"/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</row>
    <row r="2839">
      <c r="A2839" s="3"/>
      <c r="B2839" s="3"/>
      <c r="C2839" s="3"/>
      <c r="D2839" s="3"/>
      <c r="E2839" s="3"/>
      <c r="F2839" s="3"/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</row>
    <row r="2840">
      <c r="A2840" s="3"/>
      <c r="B2840" s="3"/>
      <c r="C2840" s="3"/>
      <c r="D2840" s="3"/>
      <c r="E2840" s="3"/>
      <c r="F2840" s="3"/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</row>
    <row r="2841">
      <c r="A2841" s="3"/>
      <c r="B2841" s="3"/>
      <c r="C2841" s="3"/>
      <c r="D2841" s="3"/>
      <c r="E2841" s="3"/>
      <c r="F2841" s="3"/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</row>
    <row r="2842">
      <c r="A2842" s="3"/>
      <c r="B2842" s="3"/>
      <c r="C2842" s="3"/>
      <c r="D2842" s="3"/>
      <c r="E2842" s="3"/>
      <c r="F2842" s="3"/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</row>
    <row r="2843">
      <c r="A2843" s="3"/>
      <c r="B2843" s="3"/>
      <c r="C2843" s="3"/>
      <c r="D2843" s="3"/>
      <c r="E2843" s="3"/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</row>
    <row r="2844">
      <c r="A2844" s="3"/>
      <c r="B2844" s="3"/>
      <c r="C2844" s="3"/>
      <c r="D2844" s="3"/>
      <c r="E2844" s="3"/>
      <c r="F2844" s="3"/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</row>
    <row r="2845">
      <c r="A2845" s="3"/>
      <c r="B2845" s="3"/>
      <c r="C2845" s="3"/>
      <c r="D2845" s="3"/>
      <c r="E2845" s="3"/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</row>
    <row r="2846">
      <c r="A2846" s="3"/>
      <c r="B2846" s="3"/>
      <c r="C2846" s="3"/>
      <c r="D2846" s="3"/>
      <c r="E2846" s="3"/>
      <c r="F2846" s="3"/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</row>
    <row r="2847">
      <c r="A2847" s="3"/>
      <c r="B2847" s="3"/>
      <c r="C2847" s="3"/>
      <c r="D2847" s="3"/>
      <c r="E2847" s="3"/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</row>
    <row r="2848">
      <c r="A2848" s="3"/>
      <c r="B2848" s="3"/>
      <c r="C2848" s="3"/>
      <c r="D2848" s="3"/>
      <c r="E2848" s="3"/>
      <c r="F2848" s="3"/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</row>
    <row r="2849">
      <c r="A2849" s="3"/>
      <c r="B2849" s="3"/>
      <c r="C2849" s="3"/>
      <c r="D2849" s="3"/>
      <c r="E2849" s="3"/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</row>
    <row r="2850">
      <c r="A2850" s="3"/>
      <c r="B2850" s="3"/>
      <c r="C2850" s="3"/>
      <c r="D2850" s="3"/>
      <c r="E2850" s="3"/>
      <c r="F2850" s="3"/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</row>
    <row r="2851">
      <c r="A2851" s="3"/>
      <c r="B2851" s="3"/>
      <c r="C2851" s="3"/>
      <c r="D2851" s="3"/>
      <c r="E2851" s="3"/>
      <c r="F2851" s="3"/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</row>
    <row r="2852">
      <c r="A2852" s="3"/>
      <c r="B2852" s="3"/>
      <c r="C2852" s="3"/>
      <c r="D2852" s="3"/>
      <c r="E2852" s="3"/>
      <c r="F2852" s="3"/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</row>
    <row r="2853">
      <c r="A2853" s="3"/>
      <c r="B2853" s="3"/>
      <c r="C2853" s="3"/>
      <c r="D2853" s="3"/>
      <c r="E2853" s="3"/>
      <c r="F2853" s="3"/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</row>
    <row r="2854">
      <c r="A2854" s="3"/>
      <c r="B2854" s="3"/>
      <c r="C2854" s="3"/>
      <c r="D2854" s="3"/>
      <c r="E2854" s="3"/>
      <c r="F2854" s="3"/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</row>
    <row r="2855">
      <c r="A2855" s="3"/>
      <c r="B2855" s="3"/>
      <c r="C2855" s="3"/>
      <c r="D2855" s="3"/>
      <c r="E2855" s="3"/>
      <c r="F2855" s="3"/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</row>
    <row r="2856">
      <c r="A2856" s="3"/>
      <c r="B2856" s="3"/>
      <c r="C2856" s="3"/>
      <c r="D2856" s="3"/>
      <c r="E2856" s="3"/>
      <c r="F2856" s="3"/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</row>
    <row r="2857">
      <c r="A2857" s="3"/>
      <c r="B2857" s="3"/>
      <c r="C2857" s="3"/>
      <c r="D2857" s="3"/>
      <c r="E2857" s="3"/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</row>
    <row r="2858">
      <c r="A2858" s="3"/>
      <c r="B2858" s="3"/>
      <c r="C2858" s="3"/>
      <c r="D2858" s="3"/>
      <c r="E2858" s="3"/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</row>
    <row r="2859">
      <c r="A2859" s="3"/>
      <c r="B2859" s="3"/>
      <c r="C2859" s="3"/>
      <c r="D2859" s="3"/>
      <c r="E2859" s="3"/>
      <c r="F2859" s="3"/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</row>
    <row r="2860">
      <c r="A2860" s="3"/>
      <c r="B2860" s="3"/>
      <c r="C2860" s="3"/>
      <c r="D2860" s="3"/>
      <c r="E2860" s="3"/>
      <c r="F2860" s="3"/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</row>
    <row r="2861">
      <c r="A2861" s="3"/>
      <c r="B2861" s="3"/>
      <c r="C2861" s="3"/>
      <c r="D2861" s="3"/>
      <c r="E2861" s="3"/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</row>
    <row r="2862">
      <c r="A2862" s="3"/>
      <c r="B2862" s="3"/>
      <c r="C2862" s="3"/>
      <c r="D2862" s="3"/>
      <c r="E2862" s="3"/>
      <c r="F2862" s="3"/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</row>
    <row r="2863">
      <c r="A2863" s="3"/>
      <c r="B2863" s="3"/>
      <c r="C2863" s="3"/>
      <c r="D2863" s="3"/>
      <c r="E2863" s="3"/>
      <c r="F2863" s="3"/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</row>
    <row r="2864">
      <c r="A2864" s="3"/>
      <c r="B2864" s="3"/>
      <c r="C2864" s="3"/>
      <c r="D2864" s="3"/>
      <c r="E2864" s="3"/>
      <c r="F2864" s="3"/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</row>
    <row r="2865">
      <c r="A2865" s="3"/>
      <c r="B2865" s="3"/>
      <c r="C2865" s="3"/>
      <c r="D2865" s="3"/>
      <c r="E2865" s="3"/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</row>
    <row r="2866">
      <c r="A2866" s="3"/>
      <c r="B2866" s="3"/>
      <c r="C2866" s="3"/>
      <c r="D2866" s="3"/>
      <c r="E2866" s="3"/>
      <c r="F2866" s="3"/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</row>
    <row r="2867">
      <c r="A2867" s="3"/>
      <c r="B2867" s="3"/>
      <c r="C2867" s="3"/>
      <c r="D2867" s="3"/>
      <c r="E2867" s="3"/>
      <c r="F2867" s="3"/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</row>
    <row r="2868">
      <c r="A2868" s="3"/>
      <c r="B2868" s="3"/>
      <c r="C2868" s="3"/>
      <c r="D2868" s="3"/>
      <c r="E2868" s="3"/>
      <c r="F2868" s="3"/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</row>
    <row r="2869">
      <c r="A2869" s="3"/>
      <c r="B2869" s="3"/>
      <c r="C2869" s="3"/>
      <c r="D2869" s="3"/>
      <c r="E2869" s="3"/>
      <c r="F2869" s="3"/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</row>
    <row r="2870">
      <c r="A2870" s="3"/>
      <c r="B2870" s="3"/>
      <c r="C2870" s="3"/>
      <c r="D2870" s="3"/>
      <c r="E2870" s="3"/>
      <c r="F2870" s="3"/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</row>
    <row r="2871">
      <c r="A2871" s="3"/>
      <c r="B2871" s="3"/>
      <c r="C2871" s="3"/>
      <c r="D2871" s="3"/>
      <c r="E2871" s="3"/>
      <c r="F2871" s="3"/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</row>
    <row r="2872">
      <c r="A2872" s="3"/>
      <c r="B2872" s="3"/>
      <c r="C2872" s="3"/>
      <c r="D2872" s="3"/>
      <c r="E2872" s="3"/>
      <c r="F2872" s="3"/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</row>
    <row r="2873">
      <c r="A2873" s="3"/>
      <c r="B2873" s="3"/>
      <c r="C2873" s="3"/>
      <c r="D2873" s="3"/>
      <c r="E2873" s="3"/>
      <c r="F2873" s="3"/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</row>
    <row r="2874">
      <c r="A2874" s="3"/>
      <c r="B2874" s="3"/>
      <c r="C2874" s="3"/>
      <c r="D2874" s="3"/>
      <c r="E2874" s="3"/>
      <c r="F2874" s="3"/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</row>
    <row r="2875">
      <c r="A2875" s="3"/>
      <c r="B2875" s="3"/>
      <c r="C2875" s="3"/>
      <c r="D2875" s="3"/>
      <c r="E2875" s="3"/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</row>
    <row r="2876">
      <c r="A2876" s="3"/>
      <c r="B2876" s="3"/>
      <c r="C2876" s="3"/>
      <c r="D2876" s="3"/>
      <c r="E2876" s="3"/>
      <c r="F2876" s="3"/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</row>
    <row r="2877">
      <c r="A2877" s="3"/>
      <c r="B2877" s="3"/>
      <c r="C2877" s="3"/>
      <c r="D2877" s="3"/>
      <c r="E2877" s="3"/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</row>
    <row r="2878">
      <c r="A2878" s="3"/>
      <c r="B2878" s="3"/>
      <c r="C2878" s="3"/>
      <c r="D2878" s="3"/>
      <c r="E2878" s="3"/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</row>
    <row r="2879">
      <c r="A2879" s="3"/>
      <c r="B2879" s="3"/>
      <c r="C2879" s="3"/>
      <c r="D2879" s="3"/>
      <c r="E2879" s="3"/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</row>
    <row r="2880">
      <c r="A2880" s="3"/>
      <c r="B2880" s="3"/>
      <c r="C2880" s="3"/>
      <c r="D2880" s="3"/>
      <c r="E2880" s="3"/>
      <c r="F2880" s="3"/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</row>
    <row r="2881">
      <c r="A2881" s="3"/>
      <c r="B2881" s="3"/>
      <c r="C2881" s="3"/>
      <c r="D2881" s="3"/>
      <c r="E2881" s="3"/>
      <c r="F2881" s="3"/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</row>
    <row r="2882">
      <c r="A2882" s="3"/>
      <c r="B2882" s="3"/>
      <c r="C2882" s="3"/>
      <c r="D2882" s="3"/>
      <c r="E2882" s="3"/>
      <c r="F2882" s="3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</row>
    <row r="2883">
      <c r="A2883" s="3"/>
      <c r="B2883" s="3"/>
      <c r="C2883" s="3"/>
      <c r="D2883" s="3"/>
      <c r="E2883" s="3"/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</row>
    <row r="2884">
      <c r="A2884" s="3"/>
      <c r="B2884" s="3"/>
      <c r="C2884" s="3"/>
      <c r="D2884" s="3"/>
      <c r="E2884" s="3"/>
      <c r="F2884" s="3"/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</row>
    <row r="2885">
      <c r="A2885" s="3"/>
      <c r="B2885" s="3"/>
      <c r="C2885" s="3"/>
      <c r="D2885" s="3"/>
      <c r="E2885" s="3"/>
      <c r="F2885" s="3"/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</row>
    <row r="2886">
      <c r="A2886" s="3"/>
      <c r="B2886" s="3"/>
      <c r="C2886" s="3"/>
      <c r="D2886" s="3"/>
      <c r="E2886" s="3"/>
      <c r="F2886" s="3"/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</row>
    <row r="2887">
      <c r="A2887" s="3"/>
      <c r="B2887" s="3"/>
      <c r="C2887" s="3"/>
      <c r="D2887" s="3"/>
      <c r="E2887" s="3"/>
      <c r="F2887" s="3"/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</row>
    <row r="2888">
      <c r="A2888" s="3"/>
      <c r="B2888" s="3"/>
      <c r="C2888" s="3"/>
      <c r="D2888" s="3"/>
      <c r="E2888" s="3"/>
      <c r="F2888" s="3"/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</row>
    <row r="2889">
      <c r="A2889" s="3"/>
      <c r="B2889" s="3"/>
      <c r="C2889" s="3"/>
      <c r="D2889" s="3"/>
      <c r="E2889" s="3"/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</row>
    <row r="2890">
      <c r="A2890" s="3"/>
      <c r="B2890" s="3"/>
      <c r="C2890" s="3"/>
      <c r="D2890" s="3"/>
      <c r="E2890" s="3"/>
      <c r="F2890" s="3"/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</row>
    <row r="2891">
      <c r="A2891" s="3"/>
      <c r="B2891" s="3"/>
      <c r="C2891" s="3"/>
      <c r="D2891" s="3"/>
      <c r="E2891" s="3"/>
      <c r="F2891" s="3"/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</row>
    <row r="2892">
      <c r="A2892" s="3"/>
      <c r="B2892" s="3"/>
      <c r="C2892" s="3"/>
      <c r="D2892" s="3"/>
      <c r="E2892" s="3"/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</row>
    <row r="2893">
      <c r="A2893" s="3"/>
      <c r="B2893" s="3"/>
      <c r="C2893" s="3"/>
      <c r="D2893" s="3"/>
      <c r="E2893" s="3"/>
      <c r="F2893" s="3"/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</row>
    <row r="2894">
      <c r="A2894" s="3"/>
      <c r="B2894" s="3"/>
      <c r="C2894" s="3"/>
      <c r="D2894" s="3"/>
      <c r="E2894" s="3"/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</row>
    <row r="2895">
      <c r="A2895" s="3"/>
      <c r="B2895" s="3"/>
      <c r="C2895" s="3"/>
      <c r="D2895" s="3"/>
      <c r="E2895" s="3"/>
      <c r="F2895" s="3"/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</row>
    <row r="2896">
      <c r="A2896" s="3"/>
      <c r="B2896" s="3"/>
      <c r="C2896" s="3"/>
      <c r="D2896" s="3"/>
      <c r="E2896" s="3"/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</row>
    <row r="2897">
      <c r="A2897" s="3"/>
      <c r="B2897" s="3"/>
      <c r="C2897" s="3"/>
      <c r="D2897" s="3"/>
      <c r="E2897" s="3"/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</row>
    <row r="2898">
      <c r="A2898" s="3"/>
      <c r="B2898" s="3"/>
      <c r="C2898" s="3"/>
      <c r="D2898" s="3"/>
      <c r="E2898" s="3"/>
      <c r="F2898" s="3"/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</row>
    <row r="2899">
      <c r="A2899" s="3"/>
      <c r="B2899" s="3"/>
      <c r="C2899" s="3"/>
      <c r="D2899" s="3"/>
      <c r="E2899" s="3"/>
      <c r="F2899" s="3"/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</row>
    <row r="2900">
      <c r="A2900" s="3"/>
      <c r="B2900" s="3"/>
      <c r="C2900" s="3"/>
      <c r="D2900" s="3"/>
      <c r="E2900" s="3"/>
      <c r="F2900" s="3"/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</row>
    <row r="2901">
      <c r="A2901" s="3"/>
      <c r="B2901" s="3"/>
      <c r="C2901" s="3"/>
      <c r="D2901" s="3"/>
      <c r="E2901" s="3"/>
      <c r="F2901" s="3"/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</row>
    <row r="2902">
      <c r="A2902" s="3"/>
      <c r="B2902" s="3"/>
      <c r="C2902" s="3"/>
      <c r="D2902" s="3"/>
      <c r="E2902" s="3"/>
      <c r="F2902" s="3"/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</row>
    <row r="2903">
      <c r="A2903" s="3"/>
      <c r="B2903" s="3"/>
      <c r="C2903" s="3"/>
      <c r="D2903" s="3"/>
      <c r="E2903" s="3"/>
      <c r="F2903" s="3"/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</row>
    <row r="2904">
      <c r="A2904" s="3"/>
      <c r="B2904" s="3"/>
      <c r="C2904" s="3"/>
      <c r="D2904" s="3"/>
      <c r="E2904" s="3"/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</row>
    <row r="2905">
      <c r="A2905" s="3"/>
      <c r="B2905" s="3"/>
      <c r="C2905" s="3"/>
      <c r="D2905" s="3"/>
      <c r="E2905" s="3"/>
      <c r="F2905" s="3"/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</row>
    <row r="2906">
      <c r="A2906" s="3"/>
      <c r="B2906" s="3"/>
      <c r="C2906" s="3"/>
      <c r="D2906" s="3"/>
      <c r="E2906" s="3"/>
      <c r="F2906" s="3"/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</row>
    <row r="2907">
      <c r="A2907" s="3"/>
      <c r="B2907" s="3"/>
      <c r="C2907" s="3"/>
      <c r="D2907" s="3"/>
      <c r="E2907" s="3"/>
      <c r="F2907" s="3"/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</row>
    <row r="2908">
      <c r="A2908" s="3"/>
      <c r="B2908" s="3"/>
      <c r="C2908" s="3"/>
      <c r="D2908" s="3"/>
      <c r="E2908" s="3"/>
      <c r="F2908" s="3"/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</row>
    <row r="2909">
      <c r="A2909" s="3"/>
      <c r="B2909" s="3"/>
      <c r="C2909" s="3"/>
      <c r="D2909" s="3"/>
      <c r="E2909" s="3"/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</row>
    <row r="2910">
      <c r="A2910" s="3"/>
      <c r="B2910" s="3"/>
      <c r="C2910" s="3"/>
      <c r="D2910" s="3"/>
      <c r="E2910" s="3"/>
      <c r="F2910" s="3"/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</row>
    <row r="2911">
      <c r="A2911" s="3"/>
      <c r="B2911" s="3"/>
      <c r="C2911" s="3"/>
      <c r="D2911" s="3"/>
      <c r="E2911" s="3"/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</row>
    <row r="2912">
      <c r="A2912" s="3"/>
      <c r="B2912" s="3"/>
      <c r="C2912" s="3"/>
      <c r="D2912" s="3"/>
      <c r="E2912" s="3"/>
      <c r="F2912" s="3"/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</row>
    <row r="2913">
      <c r="A2913" s="3"/>
      <c r="B2913" s="3"/>
      <c r="C2913" s="3"/>
      <c r="D2913" s="3"/>
      <c r="E2913" s="3"/>
      <c r="F2913" s="3"/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</row>
    <row r="2914">
      <c r="A2914" s="3"/>
      <c r="B2914" s="3"/>
      <c r="C2914" s="3"/>
      <c r="D2914" s="3"/>
      <c r="E2914" s="3"/>
      <c r="F2914" s="3"/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</row>
    <row r="2915">
      <c r="A2915" s="3"/>
      <c r="B2915" s="3"/>
      <c r="C2915" s="3"/>
      <c r="D2915" s="3"/>
      <c r="E2915" s="3"/>
      <c r="F2915" s="3"/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</row>
    <row r="2916">
      <c r="A2916" s="3"/>
      <c r="B2916" s="3"/>
      <c r="C2916" s="3"/>
      <c r="D2916" s="3"/>
      <c r="E2916" s="3"/>
      <c r="F2916" s="3"/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</row>
    <row r="2917">
      <c r="A2917" s="3"/>
      <c r="B2917" s="3"/>
      <c r="C2917" s="3"/>
      <c r="D2917" s="3"/>
      <c r="E2917" s="3"/>
      <c r="F2917" s="3"/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</row>
    <row r="2918">
      <c r="A2918" s="3"/>
      <c r="B2918" s="3"/>
      <c r="C2918" s="3"/>
      <c r="D2918" s="3"/>
      <c r="E2918" s="3"/>
      <c r="F2918" s="3"/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</row>
    <row r="2919">
      <c r="A2919" s="3"/>
      <c r="B2919" s="3"/>
      <c r="C2919" s="3"/>
      <c r="D2919" s="3"/>
      <c r="E2919" s="3"/>
      <c r="F2919" s="3"/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</row>
    <row r="2920">
      <c r="A2920" s="3"/>
      <c r="B2920" s="3"/>
      <c r="C2920" s="3"/>
      <c r="D2920" s="3"/>
      <c r="E2920" s="3"/>
      <c r="F2920" s="3"/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</row>
    <row r="2921">
      <c r="A2921" s="3"/>
      <c r="B2921" s="3"/>
      <c r="C2921" s="3"/>
      <c r="D2921" s="3"/>
      <c r="E2921" s="3"/>
      <c r="F2921" s="3"/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</row>
    <row r="2922">
      <c r="A2922" s="3"/>
      <c r="B2922" s="3"/>
      <c r="C2922" s="3"/>
      <c r="D2922" s="3"/>
      <c r="E2922" s="3"/>
      <c r="F2922" s="3"/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</row>
    <row r="2923">
      <c r="A2923" s="3"/>
      <c r="B2923" s="3"/>
      <c r="C2923" s="3"/>
      <c r="D2923" s="3"/>
      <c r="E2923" s="3"/>
      <c r="F2923" s="3"/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</row>
    <row r="2924">
      <c r="A2924" s="3"/>
      <c r="B2924" s="3"/>
      <c r="C2924" s="3"/>
      <c r="D2924" s="3"/>
      <c r="E2924" s="3"/>
      <c r="F2924" s="3"/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</row>
    <row r="2925">
      <c r="A2925" s="3"/>
      <c r="B2925" s="3"/>
      <c r="C2925" s="3"/>
      <c r="D2925" s="3"/>
      <c r="E2925" s="3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</row>
    <row r="2926">
      <c r="A2926" s="3"/>
      <c r="B2926" s="3"/>
      <c r="C2926" s="3"/>
      <c r="D2926" s="3"/>
      <c r="E2926" s="3"/>
      <c r="F2926" s="3"/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</row>
    <row r="2927">
      <c r="A2927" s="3"/>
      <c r="B2927" s="3"/>
      <c r="C2927" s="3"/>
      <c r="D2927" s="3"/>
      <c r="E2927" s="3"/>
      <c r="F2927" s="3"/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</row>
    <row r="2928">
      <c r="A2928" s="3"/>
      <c r="B2928" s="3"/>
      <c r="C2928" s="3"/>
      <c r="D2928" s="3"/>
      <c r="E2928" s="3"/>
      <c r="F2928" s="3"/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</row>
    <row r="2929">
      <c r="A2929" s="3"/>
      <c r="B2929" s="3"/>
      <c r="C2929" s="3"/>
      <c r="D2929" s="3"/>
      <c r="E2929" s="3"/>
      <c r="F2929" s="3"/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</row>
    <row r="2930">
      <c r="A2930" s="3"/>
      <c r="B2930" s="3"/>
      <c r="C2930" s="3"/>
      <c r="D2930" s="3"/>
      <c r="E2930" s="3"/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</row>
    <row r="2931">
      <c r="A2931" s="3"/>
      <c r="B2931" s="3"/>
      <c r="C2931" s="3"/>
      <c r="D2931" s="3"/>
      <c r="E2931" s="3"/>
      <c r="F2931" s="3"/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</row>
    <row r="2932">
      <c r="A2932" s="3"/>
      <c r="B2932" s="3"/>
      <c r="C2932" s="3"/>
      <c r="D2932" s="3"/>
      <c r="E2932" s="3"/>
      <c r="F2932" s="3"/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</row>
    <row r="2933">
      <c r="A2933" s="3"/>
      <c r="B2933" s="3"/>
      <c r="C2933" s="3"/>
      <c r="D2933" s="3"/>
      <c r="E2933" s="3"/>
      <c r="F2933" s="3"/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</row>
    <row r="2934">
      <c r="A2934" s="3"/>
      <c r="B2934" s="3"/>
      <c r="C2934" s="3"/>
      <c r="D2934" s="3"/>
      <c r="E2934" s="3"/>
      <c r="F2934" s="3"/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</row>
    <row r="2935">
      <c r="A2935" s="3"/>
      <c r="B2935" s="3"/>
      <c r="C2935" s="3"/>
      <c r="D2935" s="3"/>
      <c r="E2935" s="3"/>
      <c r="F2935" s="3"/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</row>
    <row r="2936">
      <c r="A2936" s="3"/>
      <c r="B2936" s="3"/>
      <c r="C2936" s="3"/>
      <c r="D2936" s="3"/>
      <c r="E2936" s="3"/>
      <c r="F2936" s="3"/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</row>
    <row r="2937">
      <c r="A2937" s="3"/>
      <c r="B2937" s="3"/>
      <c r="C2937" s="3"/>
      <c r="D2937" s="3"/>
      <c r="E2937" s="3"/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</row>
    <row r="2938">
      <c r="A2938" s="3"/>
      <c r="B2938" s="3"/>
      <c r="C2938" s="3"/>
      <c r="D2938" s="3"/>
      <c r="E2938" s="3"/>
      <c r="F2938" s="3"/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</row>
    <row r="2939">
      <c r="A2939" s="3"/>
      <c r="B2939" s="3"/>
      <c r="C2939" s="3"/>
      <c r="D2939" s="3"/>
      <c r="E2939" s="3"/>
      <c r="F2939" s="3"/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</row>
    <row r="2940">
      <c r="A2940" s="3"/>
      <c r="B2940" s="3"/>
      <c r="C2940" s="3"/>
      <c r="D2940" s="3"/>
      <c r="E2940" s="3"/>
      <c r="F2940" s="3"/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</row>
    <row r="2941">
      <c r="A2941" s="3"/>
      <c r="B2941" s="3"/>
      <c r="C2941" s="3"/>
      <c r="D2941" s="3"/>
      <c r="E2941" s="3"/>
      <c r="F2941" s="3"/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</row>
    <row r="2942">
      <c r="A2942" s="3"/>
      <c r="B2942" s="3"/>
      <c r="C2942" s="3"/>
      <c r="D2942" s="3"/>
      <c r="E2942" s="3"/>
      <c r="F2942" s="3"/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</row>
    <row r="2943">
      <c r="A2943" s="3"/>
      <c r="B2943" s="3"/>
      <c r="C2943" s="3"/>
      <c r="D2943" s="3"/>
      <c r="E2943" s="3"/>
      <c r="F2943" s="3"/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</row>
    <row r="2944">
      <c r="A2944" s="3"/>
      <c r="B2944" s="3"/>
      <c r="C2944" s="3"/>
      <c r="D2944" s="3"/>
      <c r="E2944" s="3"/>
      <c r="F2944" s="3"/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</row>
    <row r="2945">
      <c r="A2945" s="3"/>
      <c r="B2945" s="3"/>
      <c r="C2945" s="3"/>
      <c r="D2945" s="3"/>
      <c r="E2945" s="3"/>
      <c r="F2945" s="3"/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</row>
    <row r="2946">
      <c r="A2946" s="3"/>
      <c r="B2946" s="3"/>
      <c r="C2946" s="3"/>
      <c r="D2946" s="3"/>
      <c r="E2946" s="3"/>
      <c r="F2946" s="3"/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</row>
    <row r="2947">
      <c r="A2947" s="3"/>
      <c r="B2947" s="3"/>
      <c r="C2947" s="3"/>
      <c r="D2947" s="3"/>
      <c r="E2947" s="3"/>
      <c r="F2947" s="3"/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</row>
    <row r="2948">
      <c r="A2948" s="3"/>
      <c r="B2948" s="3"/>
      <c r="C2948" s="3"/>
      <c r="D2948" s="3"/>
      <c r="E2948" s="3"/>
      <c r="F2948" s="3"/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</row>
    <row r="2949">
      <c r="A2949" s="3"/>
      <c r="B2949" s="3"/>
      <c r="C2949" s="3"/>
      <c r="D2949" s="3"/>
      <c r="E2949" s="3"/>
      <c r="F2949" s="3"/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</row>
    <row r="2950">
      <c r="A2950" s="3"/>
      <c r="B2950" s="3"/>
      <c r="C2950" s="3"/>
      <c r="D2950" s="3"/>
      <c r="E2950" s="3"/>
      <c r="F2950" s="3"/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</row>
    <row r="2951">
      <c r="A2951" s="3"/>
      <c r="B2951" s="3"/>
      <c r="C2951" s="3"/>
      <c r="D2951" s="3"/>
      <c r="E2951" s="3"/>
      <c r="F2951" s="3"/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</row>
    <row r="2952">
      <c r="A2952" s="3"/>
      <c r="B2952" s="3"/>
      <c r="C2952" s="3"/>
      <c r="D2952" s="3"/>
      <c r="E2952" s="3"/>
      <c r="F2952" s="3"/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</row>
    <row r="2953">
      <c r="A2953" s="3"/>
      <c r="B2953" s="3"/>
      <c r="C2953" s="3"/>
      <c r="D2953" s="3"/>
      <c r="E2953" s="3"/>
      <c r="F2953" s="3"/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</row>
    <row r="2954">
      <c r="A2954" s="3"/>
      <c r="B2954" s="3"/>
      <c r="C2954" s="3"/>
      <c r="D2954" s="3"/>
      <c r="E2954" s="3"/>
      <c r="F2954" s="3"/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</row>
    <row r="2955">
      <c r="A2955" s="3"/>
      <c r="B2955" s="3"/>
      <c r="C2955" s="3"/>
      <c r="D2955" s="3"/>
      <c r="E2955" s="3"/>
      <c r="F2955" s="3"/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</row>
    <row r="2956">
      <c r="A2956" s="3"/>
      <c r="B2956" s="3"/>
      <c r="C2956" s="3"/>
      <c r="D2956" s="3"/>
      <c r="E2956" s="3"/>
      <c r="F2956" s="3"/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</row>
    <row r="2957">
      <c r="A2957" s="3"/>
      <c r="B2957" s="3"/>
      <c r="C2957" s="3"/>
      <c r="D2957" s="3"/>
      <c r="E2957" s="3"/>
      <c r="F2957" s="3"/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</row>
    <row r="2958">
      <c r="A2958" s="3"/>
      <c r="B2958" s="3"/>
      <c r="C2958" s="3"/>
      <c r="D2958" s="3"/>
      <c r="E2958" s="3"/>
      <c r="F2958" s="3"/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</row>
    <row r="2959">
      <c r="A2959" s="3"/>
      <c r="B2959" s="3"/>
      <c r="C2959" s="3"/>
      <c r="D2959" s="3"/>
      <c r="E2959" s="3"/>
      <c r="F2959" s="3"/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</row>
    <row r="2960">
      <c r="A2960" s="3"/>
      <c r="B2960" s="3"/>
      <c r="C2960" s="3"/>
      <c r="D2960" s="3"/>
      <c r="E2960" s="3"/>
      <c r="F2960" s="3"/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</row>
    <row r="2961">
      <c r="A2961" s="3"/>
      <c r="B2961" s="3"/>
      <c r="C2961" s="3"/>
      <c r="D2961" s="3"/>
      <c r="E2961" s="3"/>
      <c r="F2961" s="3"/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</row>
    <row r="2962">
      <c r="A2962" s="3"/>
      <c r="B2962" s="3"/>
      <c r="C2962" s="3"/>
      <c r="D2962" s="3"/>
      <c r="E2962" s="3"/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</row>
    <row r="2963">
      <c r="A2963" s="3"/>
      <c r="B2963" s="3"/>
      <c r="C2963" s="3"/>
      <c r="D2963" s="3"/>
      <c r="E2963" s="3"/>
      <c r="F2963" s="3"/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</row>
    <row r="2964">
      <c r="A2964" s="3"/>
      <c r="B2964" s="3"/>
      <c r="C2964" s="3"/>
      <c r="D2964" s="3"/>
      <c r="E2964" s="3"/>
      <c r="F2964" s="3"/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</row>
    <row r="2965">
      <c r="A2965" s="3"/>
      <c r="B2965" s="3"/>
      <c r="C2965" s="3"/>
      <c r="D2965" s="3"/>
      <c r="E2965" s="3"/>
      <c r="F2965" s="3"/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</row>
    <row r="2966">
      <c r="A2966" s="3"/>
      <c r="B2966" s="3"/>
      <c r="C2966" s="3"/>
      <c r="D2966" s="3"/>
      <c r="E2966" s="3"/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</row>
    <row r="2967">
      <c r="A2967" s="3"/>
      <c r="B2967" s="3"/>
      <c r="C2967" s="3"/>
      <c r="D2967" s="3"/>
      <c r="E2967" s="3"/>
      <c r="F2967" s="3"/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</row>
    <row r="2968">
      <c r="A2968" s="3"/>
      <c r="B2968" s="3"/>
      <c r="C2968" s="3"/>
      <c r="D2968" s="3"/>
      <c r="E2968" s="3"/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</row>
    <row r="2969">
      <c r="A2969" s="3"/>
      <c r="B2969" s="3"/>
      <c r="C2969" s="3"/>
      <c r="D2969" s="3"/>
      <c r="E2969" s="3"/>
      <c r="F2969" s="3"/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</row>
    <row r="2970">
      <c r="A2970" s="3"/>
      <c r="B2970" s="3"/>
      <c r="C2970" s="3"/>
      <c r="D2970" s="3"/>
      <c r="E2970" s="3"/>
      <c r="F2970" s="3"/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</row>
    <row r="2971">
      <c r="A2971" s="3"/>
      <c r="B2971" s="3"/>
      <c r="C2971" s="3"/>
      <c r="D2971" s="3"/>
      <c r="E2971" s="3"/>
      <c r="F2971" s="3"/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</row>
    <row r="2972">
      <c r="A2972" s="3"/>
      <c r="B2972" s="3"/>
      <c r="C2972" s="3"/>
      <c r="D2972" s="3"/>
      <c r="E2972" s="3"/>
      <c r="F2972" s="3"/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</row>
    <row r="2973">
      <c r="A2973" s="3"/>
      <c r="B2973" s="3"/>
      <c r="C2973" s="3"/>
      <c r="D2973" s="3"/>
      <c r="E2973" s="3"/>
      <c r="F2973" s="3"/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</row>
    <row r="2974">
      <c r="A2974" s="3"/>
      <c r="B2974" s="3"/>
      <c r="C2974" s="3"/>
      <c r="D2974" s="3"/>
      <c r="E2974" s="3"/>
      <c r="F2974" s="3"/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</row>
    <row r="2975">
      <c r="A2975" s="3"/>
      <c r="B2975" s="3"/>
      <c r="C2975" s="3"/>
      <c r="D2975" s="3"/>
      <c r="E2975" s="3"/>
      <c r="F2975" s="3"/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</row>
    <row r="2976">
      <c r="A2976" s="3"/>
      <c r="B2976" s="3"/>
      <c r="C2976" s="3"/>
      <c r="D2976" s="3"/>
      <c r="E2976" s="3"/>
      <c r="F2976" s="3"/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</row>
    <row r="2977">
      <c r="A2977" s="3"/>
      <c r="B2977" s="3"/>
      <c r="C2977" s="3"/>
      <c r="D2977" s="3"/>
      <c r="E2977" s="3"/>
      <c r="F2977" s="3"/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</row>
    <row r="2978">
      <c r="A2978" s="3"/>
      <c r="B2978" s="3"/>
      <c r="C2978" s="3"/>
      <c r="D2978" s="3"/>
      <c r="E2978" s="3"/>
      <c r="F2978" s="3"/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</row>
    <row r="2979">
      <c r="A2979" s="3"/>
      <c r="B2979" s="3"/>
      <c r="C2979" s="3"/>
      <c r="D2979" s="3"/>
      <c r="E2979" s="3"/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</row>
    <row r="2980">
      <c r="A2980" s="3"/>
      <c r="B2980" s="3"/>
      <c r="C2980" s="3"/>
      <c r="D2980" s="3"/>
      <c r="E2980" s="3"/>
      <c r="F2980" s="3"/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</row>
    <row r="2981">
      <c r="A2981" s="3"/>
      <c r="B2981" s="3"/>
      <c r="C2981" s="3"/>
      <c r="D2981" s="3"/>
      <c r="E2981" s="3"/>
      <c r="F2981" s="3"/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</row>
    <row r="2982">
      <c r="A2982" s="3"/>
      <c r="B2982" s="3"/>
      <c r="C2982" s="3"/>
      <c r="D2982" s="3"/>
      <c r="E2982" s="3"/>
      <c r="F2982" s="3"/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</row>
    <row r="2983">
      <c r="A2983" s="3"/>
      <c r="B2983" s="3"/>
      <c r="C2983" s="3"/>
      <c r="D2983" s="3"/>
      <c r="E2983" s="3"/>
      <c r="F2983" s="3"/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</row>
    <row r="2984">
      <c r="A2984" s="3"/>
      <c r="B2984" s="3"/>
      <c r="C2984" s="3"/>
      <c r="D2984" s="3"/>
      <c r="E2984" s="3"/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</row>
    <row r="2985">
      <c r="A2985" s="3"/>
      <c r="B2985" s="3"/>
      <c r="C2985" s="3"/>
      <c r="D2985" s="3"/>
      <c r="E2985" s="3"/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</row>
    <row r="2986">
      <c r="A2986" s="3"/>
      <c r="B2986" s="3"/>
      <c r="C2986" s="3"/>
      <c r="D2986" s="3"/>
      <c r="E2986" s="3"/>
      <c r="F2986" s="3"/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</row>
    <row r="2987">
      <c r="A2987" s="3"/>
      <c r="B2987" s="3"/>
      <c r="C2987" s="3"/>
      <c r="D2987" s="3"/>
      <c r="E2987" s="3"/>
      <c r="F2987" s="3"/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</row>
    <row r="2988">
      <c r="A2988" s="3"/>
      <c r="B2988" s="3"/>
      <c r="C2988" s="3"/>
      <c r="D2988" s="3"/>
      <c r="E2988" s="3"/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</row>
    <row r="2989">
      <c r="A2989" s="3"/>
      <c r="B2989" s="3"/>
      <c r="C2989" s="3"/>
      <c r="D2989" s="3"/>
      <c r="E2989" s="3"/>
      <c r="F2989" s="3"/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</row>
    <row r="2990">
      <c r="A2990" s="3"/>
      <c r="B2990" s="3"/>
      <c r="C2990" s="3"/>
      <c r="D2990" s="3"/>
      <c r="E2990" s="3"/>
      <c r="F2990" s="3"/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</row>
    <row r="2991">
      <c r="A2991" s="3"/>
      <c r="B2991" s="3"/>
      <c r="C2991" s="3"/>
      <c r="D2991" s="3"/>
      <c r="E2991" s="3"/>
      <c r="F2991" s="3"/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</row>
    <row r="2992">
      <c r="A2992" s="3"/>
      <c r="B2992" s="3"/>
      <c r="C2992" s="3"/>
      <c r="D2992" s="3"/>
      <c r="E2992" s="3"/>
      <c r="F2992" s="3"/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</row>
    <row r="2993">
      <c r="A2993" s="3"/>
      <c r="B2993" s="3"/>
      <c r="C2993" s="3"/>
      <c r="D2993" s="3"/>
      <c r="E2993" s="3"/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</row>
    <row r="2994">
      <c r="A2994" s="3"/>
      <c r="B2994" s="3"/>
      <c r="C2994" s="3"/>
      <c r="D2994" s="3"/>
      <c r="E2994" s="3"/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</row>
    <row r="2995">
      <c r="A2995" s="3"/>
      <c r="B2995" s="3"/>
      <c r="C2995" s="3"/>
      <c r="D2995" s="3"/>
      <c r="E2995" s="3"/>
      <c r="F2995" s="3"/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</row>
    <row r="2996">
      <c r="A2996" s="3"/>
      <c r="B2996" s="3"/>
      <c r="C2996" s="3"/>
      <c r="D2996" s="3"/>
      <c r="E2996" s="3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</row>
    <row r="2997">
      <c r="A2997" s="3"/>
      <c r="B2997" s="3"/>
      <c r="C2997" s="3"/>
      <c r="D2997" s="3"/>
      <c r="E2997" s="3"/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</row>
    <row r="2998">
      <c r="A2998" s="3"/>
      <c r="B2998" s="3"/>
      <c r="C2998" s="3"/>
      <c r="D2998" s="3"/>
      <c r="E2998" s="3"/>
      <c r="F2998" s="3"/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</row>
    <row r="2999">
      <c r="A2999" s="3"/>
      <c r="B2999" s="3"/>
      <c r="C2999" s="3"/>
      <c r="D2999" s="3"/>
      <c r="E2999" s="3"/>
      <c r="F2999" s="3"/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</row>
    <row r="3000">
      <c r="A3000" s="3"/>
      <c r="B3000" s="3"/>
      <c r="C3000" s="3"/>
      <c r="D3000" s="3"/>
      <c r="E3000" s="3"/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</row>
    <row r="3001">
      <c r="A3001" s="3"/>
      <c r="B3001" s="3"/>
      <c r="C3001" s="3"/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</row>
    <row r="3002">
      <c r="A3002" s="3"/>
      <c r="B3002" s="3"/>
      <c r="C3002" s="3"/>
      <c r="D3002" s="3"/>
      <c r="E3002" s="3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</row>
    <row r="3003">
      <c r="A3003" s="3"/>
      <c r="B3003" s="3"/>
      <c r="C3003" s="3"/>
      <c r="D3003" s="3"/>
      <c r="E3003" s="3"/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</row>
    <row r="3004">
      <c r="A3004" s="3"/>
      <c r="B3004" s="3"/>
      <c r="C3004" s="3"/>
      <c r="D3004" s="3"/>
      <c r="E3004" s="3"/>
      <c r="F3004" s="3"/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</row>
    <row r="3005">
      <c r="A3005" s="3"/>
      <c r="B3005" s="3"/>
      <c r="C3005" s="3"/>
      <c r="D3005" s="3"/>
      <c r="E3005" s="3"/>
      <c r="F3005" s="3"/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</row>
    <row r="3006">
      <c r="A3006" s="3"/>
      <c r="B3006" s="3"/>
      <c r="C3006" s="3"/>
      <c r="D3006" s="3"/>
      <c r="E3006" s="3"/>
      <c r="F3006" s="3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</row>
    <row r="3007">
      <c r="A3007" s="3"/>
      <c r="B3007" s="3"/>
      <c r="C3007" s="3"/>
      <c r="D3007" s="3"/>
      <c r="E3007" s="3"/>
      <c r="F3007" s="3"/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</row>
    <row r="3008">
      <c r="A3008" s="3"/>
      <c r="B3008" s="3"/>
      <c r="C3008" s="3"/>
      <c r="D3008" s="3"/>
      <c r="E3008" s="3"/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</row>
    <row r="3009">
      <c r="A3009" s="3"/>
      <c r="B3009" s="3"/>
      <c r="C3009" s="3"/>
      <c r="D3009" s="3"/>
      <c r="E3009" s="3"/>
      <c r="F3009" s="3"/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</row>
    <row r="3010">
      <c r="A3010" s="3"/>
      <c r="B3010" s="3"/>
      <c r="C3010" s="3"/>
      <c r="D3010" s="3"/>
      <c r="E3010" s="3"/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</row>
    <row r="3011">
      <c r="A3011" s="3"/>
      <c r="B3011" s="3"/>
      <c r="C3011" s="3"/>
      <c r="D3011" s="3"/>
      <c r="E3011" s="3"/>
      <c r="F3011" s="3"/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</row>
    <row r="3012">
      <c r="A3012" s="3"/>
      <c r="B3012" s="3"/>
      <c r="C3012" s="3"/>
      <c r="D3012" s="3"/>
      <c r="E3012" s="3"/>
      <c r="F3012" s="3"/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</row>
    <row r="3013">
      <c r="A3013" s="3"/>
      <c r="B3013" s="3"/>
      <c r="C3013" s="3"/>
      <c r="D3013" s="3"/>
      <c r="E3013" s="3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</row>
    <row r="3014">
      <c r="A3014" s="3"/>
      <c r="B3014" s="3"/>
      <c r="C3014" s="3"/>
      <c r="D3014" s="3"/>
      <c r="E3014" s="3"/>
      <c r="F3014" s="3"/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</row>
    <row r="3015">
      <c r="A3015" s="3"/>
      <c r="B3015" s="3"/>
      <c r="C3015" s="3"/>
      <c r="D3015" s="3"/>
      <c r="E3015" s="3"/>
      <c r="F3015" s="3"/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</row>
    <row r="3016">
      <c r="A3016" s="3"/>
      <c r="B3016" s="3"/>
      <c r="C3016" s="3"/>
      <c r="D3016" s="3"/>
      <c r="E3016" s="3"/>
      <c r="F3016" s="3"/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</row>
    <row r="3017">
      <c r="A3017" s="3"/>
      <c r="B3017" s="3"/>
      <c r="C3017" s="3"/>
      <c r="D3017" s="3"/>
      <c r="E3017" s="3"/>
      <c r="F3017" s="3"/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</row>
    <row r="3018">
      <c r="A3018" s="3"/>
      <c r="B3018" s="3"/>
      <c r="C3018" s="3"/>
      <c r="D3018" s="3"/>
      <c r="E3018" s="3"/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</row>
    <row r="3019">
      <c r="A3019" s="3"/>
      <c r="B3019" s="3"/>
      <c r="C3019" s="3"/>
      <c r="D3019" s="3"/>
      <c r="E3019" s="3"/>
      <c r="F3019" s="3"/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</row>
    <row r="3020">
      <c r="A3020" s="3"/>
      <c r="B3020" s="3"/>
      <c r="C3020" s="3"/>
      <c r="D3020" s="3"/>
      <c r="E3020" s="3"/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</row>
    <row r="3021">
      <c r="A3021" s="3"/>
      <c r="B3021" s="3"/>
      <c r="C3021" s="3"/>
      <c r="D3021" s="3"/>
      <c r="E3021" s="3"/>
      <c r="F3021" s="3"/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</row>
    <row r="3022">
      <c r="A3022" s="3"/>
      <c r="B3022" s="3"/>
      <c r="C3022" s="3"/>
      <c r="D3022" s="3"/>
      <c r="E3022" s="3"/>
      <c r="F3022" s="3"/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</row>
    <row r="3023">
      <c r="A3023" s="3"/>
      <c r="B3023" s="3"/>
      <c r="C3023" s="3"/>
      <c r="D3023" s="3"/>
      <c r="E3023" s="3"/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</row>
    <row r="3024">
      <c r="A3024" s="3"/>
      <c r="B3024" s="3"/>
      <c r="C3024" s="3"/>
      <c r="D3024" s="3"/>
      <c r="E3024" s="3"/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</row>
    <row r="3025">
      <c r="A3025" s="3"/>
      <c r="B3025" s="3"/>
      <c r="C3025" s="3"/>
      <c r="D3025" s="3"/>
      <c r="E3025" s="3"/>
      <c r="F3025" s="3"/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</row>
    <row r="3026">
      <c r="A3026" s="3"/>
      <c r="B3026" s="3"/>
      <c r="C3026" s="3"/>
      <c r="D3026" s="3"/>
      <c r="E3026" s="3"/>
      <c r="F3026" s="3"/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</row>
    <row r="3027">
      <c r="A3027" s="3"/>
      <c r="B3027" s="3"/>
      <c r="C3027" s="3"/>
      <c r="D3027" s="3"/>
      <c r="E3027" s="3"/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</row>
    <row r="3028">
      <c r="A3028" s="3"/>
      <c r="B3028" s="3"/>
      <c r="C3028" s="3"/>
      <c r="D3028" s="3"/>
      <c r="E3028" s="3"/>
      <c r="F3028" s="3"/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</row>
    <row r="3029">
      <c r="A3029" s="3"/>
      <c r="B3029" s="3"/>
      <c r="C3029" s="3"/>
      <c r="D3029" s="3"/>
      <c r="E3029" s="3"/>
      <c r="F3029" s="3"/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</row>
    <row r="3030">
      <c r="A3030" s="3"/>
      <c r="B3030" s="3"/>
      <c r="C3030" s="3"/>
      <c r="D3030" s="3"/>
      <c r="E3030" s="3"/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</row>
    <row r="3031">
      <c r="A3031" s="3"/>
      <c r="B3031" s="3"/>
      <c r="C3031" s="3"/>
      <c r="D3031" s="3"/>
      <c r="E3031" s="3"/>
      <c r="F3031" s="3"/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</row>
    <row r="3032">
      <c r="A3032" s="3"/>
      <c r="B3032" s="3"/>
      <c r="C3032" s="3"/>
      <c r="D3032" s="3"/>
      <c r="E3032" s="3"/>
      <c r="F3032" s="3"/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</row>
    <row r="3033">
      <c r="A3033" s="3"/>
      <c r="B3033" s="3"/>
      <c r="C3033" s="3"/>
      <c r="D3033" s="3"/>
      <c r="E3033" s="3"/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</row>
    <row r="3034">
      <c r="A3034" s="3"/>
      <c r="B3034" s="3"/>
      <c r="C3034" s="3"/>
      <c r="D3034" s="3"/>
      <c r="E3034" s="3"/>
      <c r="F3034" s="3"/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</row>
    <row r="3035">
      <c r="A3035" s="3"/>
      <c r="B3035" s="3"/>
      <c r="C3035" s="3"/>
      <c r="D3035" s="3"/>
      <c r="E3035" s="3"/>
      <c r="F3035" s="3"/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</row>
    <row r="3036">
      <c r="A3036" s="3"/>
      <c r="B3036" s="3"/>
      <c r="C3036" s="3"/>
      <c r="D3036" s="3"/>
      <c r="E3036" s="3"/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</row>
    <row r="3037">
      <c r="A3037" s="3"/>
      <c r="B3037" s="3"/>
      <c r="C3037" s="3"/>
      <c r="D3037" s="3"/>
      <c r="E3037" s="3"/>
      <c r="F3037" s="3"/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</row>
    <row r="3038">
      <c r="A3038" s="3"/>
      <c r="B3038" s="3"/>
      <c r="C3038" s="3"/>
      <c r="D3038" s="3"/>
      <c r="E3038" s="3"/>
      <c r="F3038" s="3"/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</row>
    <row r="3039">
      <c r="A3039" s="3"/>
      <c r="B3039" s="3"/>
      <c r="C3039" s="3"/>
      <c r="D3039" s="3"/>
      <c r="E3039" s="3"/>
      <c r="F3039" s="3"/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</row>
    <row r="3040">
      <c r="A3040" s="3"/>
      <c r="B3040" s="3"/>
      <c r="C3040" s="3"/>
      <c r="D3040" s="3"/>
      <c r="E3040" s="3"/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</row>
    <row r="3041">
      <c r="A3041" s="3"/>
      <c r="B3041" s="3"/>
      <c r="C3041" s="3"/>
      <c r="D3041" s="3"/>
      <c r="E3041" s="3"/>
      <c r="F3041" s="3"/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</row>
    <row r="3042">
      <c r="A3042" s="3"/>
      <c r="B3042" s="3"/>
      <c r="C3042" s="3"/>
      <c r="D3042" s="3"/>
      <c r="E3042" s="3"/>
      <c r="F3042" s="3"/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</row>
    <row r="3043">
      <c r="A3043" s="3"/>
      <c r="B3043" s="3"/>
      <c r="C3043" s="3"/>
      <c r="D3043" s="3"/>
      <c r="E3043" s="3"/>
      <c r="F3043" s="3"/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</row>
    <row r="3044">
      <c r="A3044" s="3"/>
      <c r="B3044" s="3"/>
      <c r="C3044" s="3"/>
      <c r="D3044" s="3"/>
      <c r="E3044" s="3"/>
      <c r="F3044" s="3"/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</row>
    <row r="3045">
      <c r="A3045" s="3"/>
      <c r="B3045" s="3"/>
      <c r="C3045" s="3"/>
      <c r="D3045" s="3"/>
      <c r="E3045" s="3"/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</row>
    <row r="3046">
      <c r="A3046" s="3"/>
      <c r="B3046" s="3"/>
      <c r="C3046" s="3"/>
      <c r="D3046" s="3"/>
      <c r="E3046" s="3"/>
      <c r="F3046" s="3"/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</row>
    <row r="3047">
      <c r="A3047" s="3"/>
      <c r="B3047" s="3"/>
      <c r="C3047" s="3"/>
      <c r="D3047" s="3"/>
      <c r="E3047" s="3"/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</row>
    <row r="3048">
      <c r="A3048" s="3"/>
      <c r="B3048" s="3"/>
      <c r="C3048" s="3"/>
      <c r="D3048" s="3"/>
      <c r="E3048" s="3"/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</row>
    <row r="3049">
      <c r="A3049" s="3"/>
      <c r="B3049" s="3"/>
      <c r="C3049" s="3"/>
      <c r="D3049" s="3"/>
      <c r="E3049" s="3"/>
      <c r="F3049" s="3"/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</row>
    <row r="3050">
      <c r="A3050" s="3"/>
      <c r="B3050" s="3"/>
      <c r="C3050" s="3"/>
      <c r="D3050" s="3"/>
      <c r="E3050" s="3"/>
      <c r="F3050" s="3"/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</row>
    <row r="3051">
      <c r="A3051" s="3"/>
      <c r="B3051" s="3"/>
      <c r="C3051" s="3"/>
      <c r="D3051" s="3"/>
      <c r="E3051" s="3"/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</row>
    <row r="3052">
      <c r="A3052" s="3"/>
      <c r="B3052" s="3"/>
      <c r="C3052" s="3"/>
      <c r="D3052" s="3"/>
      <c r="E3052" s="3"/>
      <c r="F3052" s="3"/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</row>
    <row r="3053">
      <c r="A3053" s="3"/>
      <c r="B3053" s="3"/>
      <c r="C3053" s="3"/>
      <c r="D3053" s="3"/>
      <c r="E3053" s="3"/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</row>
    <row r="3054">
      <c r="A3054" s="3"/>
      <c r="B3054" s="3"/>
      <c r="C3054" s="3"/>
      <c r="D3054" s="3"/>
      <c r="E3054" s="3"/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</row>
    <row r="3055">
      <c r="A3055" s="3"/>
      <c r="B3055" s="3"/>
      <c r="C3055" s="3"/>
      <c r="D3055" s="3"/>
      <c r="E3055" s="3"/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</row>
    <row r="3056">
      <c r="A3056" s="3"/>
      <c r="B3056" s="3"/>
      <c r="C3056" s="3"/>
      <c r="D3056" s="3"/>
      <c r="E3056" s="3"/>
      <c r="F3056" s="3"/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</row>
    <row r="3057">
      <c r="A3057" s="3"/>
      <c r="B3057" s="3"/>
      <c r="C3057" s="3"/>
      <c r="D3057" s="3"/>
      <c r="E3057" s="3"/>
      <c r="F3057" s="3"/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</row>
    <row r="3058">
      <c r="A3058" s="3"/>
      <c r="B3058" s="3"/>
      <c r="C3058" s="3"/>
      <c r="D3058" s="3"/>
      <c r="E3058" s="3"/>
      <c r="F3058" s="3"/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</row>
    <row r="3059">
      <c r="A3059" s="3"/>
      <c r="B3059" s="3"/>
      <c r="C3059" s="3"/>
      <c r="D3059" s="3"/>
      <c r="E3059" s="3"/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</row>
    <row r="3060">
      <c r="A3060" s="3"/>
      <c r="B3060" s="3"/>
      <c r="C3060" s="3"/>
      <c r="D3060" s="3"/>
      <c r="E3060" s="3"/>
      <c r="F3060" s="3"/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</row>
    <row r="3061">
      <c r="A3061" s="3"/>
      <c r="B3061" s="3"/>
      <c r="C3061" s="3"/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</row>
    <row r="3062">
      <c r="A3062" s="3"/>
      <c r="B3062" s="3"/>
      <c r="C3062" s="3"/>
      <c r="D3062" s="3"/>
      <c r="E3062" s="3"/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</row>
    <row r="3063">
      <c r="A3063" s="3"/>
      <c r="B3063" s="3"/>
      <c r="C3063" s="3"/>
      <c r="D3063" s="3"/>
      <c r="E3063" s="3"/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</row>
    <row r="3064">
      <c r="A3064" s="3"/>
      <c r="B3064" s="3"/>
      <c r="C3064" s="3"/>
      <c r="D3064" s="3"/>
      <c r="E3064" s="3"/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</row>
    <row r="3065">
      <c r="A3065" s="3"/>
      <c r="B3065" s="3"/>
      <c r="C3065" s="3"/>
      <c r="D3065" s="3"/>
      <c r="E3065" s="3"/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</row>
    <row r="3066">
      <c r="A3066" s="3"/>
      <c r="B3066" s="3"/>
      <c r="C3066" s="3"/>
      <c r="D3066" s="3"/>
      <c r="E3066" s="3"/>
      <c r="F3066" s="3"/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</row>
    <row r="3067">
      <c r="A3067" s="3"/>
      <c r="B3067" s="3"/>
      <c r="C3067" s="3"/>
      <c r="D3067" s="3"/>
      <c r="E3067" s="3"/>
      <c r="F3067" s="3"/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</row>
    <row r="3068">
      <c r="A3068" s="3"/>
      <c r="B3068" s="3"/>
      <c r="C3068" s="3"/>
      <c r="D3068" s="3"/>
      <c r="E3068" s="3"/>
      <c r="F3068" s="3"/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</row>
    <row r="3069">
      <c r="A3069" s="3"/>
      <c r="B3069" s="3"/>
      <c r="C3069" s="3"/>
      <c r="D3069" s="3"/>
      <c r="E3069" s="3"/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</row>
    <row r="3070">
      <c r="A3070" s="3"/>
      <c r="B3070" s="3"/>
      <c r="C3070" s="3"/>
      <c r="D3070" s="3"/>
      <c r="E3070" s="3"/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</row>
    <row r="3071">
      <c r="A3071" s="3"/>
      <c r="B3071" s="3"/>
      <c r="C3071" s="3"/>
      <c r="D3071" s="3"/>
      <c r="E3071" s="3"/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</row>
    <row r="3072">
      <c r="A3072" s="3"/>
      <c r="B3072" s="3"/>
      <c r="C3072" s="3"/>
      <c r="D3072" s="3"/>
      <c r="E3072" s="3"/>
      <c r="F3072" s="3"/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</row>
    <row r="3073">
      <c r="A3073" s="3"/>
      <c r="B3073" s="3"/>
      <c r="C3073" s="3"/>
      <c r="D3073" s="3"/>
      <c r="E3073" s="3"/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</row>
    <row r="3074">
      <c r="A3074" s="3"/>
      <c r="B3074" s="3"/>
      <c r="C3074" s="3"/>
      <c r="D3074" s="3"/>
      <c r="E3074" s="3"/>
      <c r="F3074" s="3"/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</row>
    <row r="3075">
      <c r="A3075" s="3"/>
      <c r="B3075" s="3"/>
      <c r="C3075" s="3"/>
      <c r="D3075" s="3"/>
      <c r="E3075" s="3"/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</row>
    <row r="3076">
      <c r="A3076" s="3"/>
      <c r="B3076" s="3"/>
      <c r="C3076" s="3"/>
      <c r="D3076" s="3"/>
      <c r="E3076" s="3"/>
      <c r="F3076" s="3"/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</row>
    <row r="3077">
      <c r="A3077" s="3"/>
      <c r="B3077" s="3"/>
      <c r="C3077" s="3"/>
      <c r="D3077" s="3"/>
      <c r="E3077" s="3"/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</row>
    <row r="3078">
      <c r="A3078" s="3"/>
      <c r="B3078" s="3"/>
      <c r="C3078" s="3"/>
      <c r="D3078" s="3"/>
      <c r="E3078" s="3"/>
      <c r="F3078" s="3"/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</row>
    <row r="3079">
      <c r="A3079" s="3"/>
      <c r="B3079" s="3"/>
      <c r="C3079" s="3"/>
      <c r="D3079" s="3"/>
      <c r="E3079" s="3"/>
      <c r="F3079" s="3"/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</row>
    <row r="3080">
      <c r="A3080" s="3"/>
      <c r="B3080" s="3"/>
      <c r="C3080" s="3"/>
      <c r="D3080" s="3"/>
      <c r="E3080" s="3"/>
      <c r="F3080" s="3"/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</row>
    <row r="3081">
      <c r="A3081" s="3"/>
      <c r="B3081" s="3"/>
      <c r="C3081" s="3"/>
      <c r="D3081" s="3"/>
      <c r="E3081" s="3"/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</row>
    <row r="3082">
      <c r="A3082" s="3"/>
      <c r="B3082" s="3"/>
      <c r="C3082" s="3"/>
      <c r="D3082" s="3"/>
      <c r="E3082" s="3"/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</row>
    <row r="3083">
      <c r="A3083" s="3"/>
      <c r="B3083" s="3"/>
      <c r="C3083" s="3"/>
      <c r="D3083" s="3"/>
      <c r="E3083" s="3"/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</row>
    <row r="3084">
      <c r="A3084" s="3"/>
      <c r="B3084" s="3"/>
      <c r="C3084" s="3"/>
      <c r="D3084" s="3"/>
      <c r="E3084" s="3"/>
      <c r="F3084" s="3"/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</row>
    <row r="3085">
      <c r="A3085" s="3"/>
      <c r="B3085" s="3"/>
      <c r="C3085" s="3"/>
      <c r="D3085" s="3"/>
      <c r="E3085" s="3"/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</row>
    <row r="3086">
      <c r="A3086" s="3"/>
      <c r="B3086" s="3"/>
      <c r="C3086" s="3"/>
      <c r="D3086" s="3"/>
      <c r="E3086" s="3"/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</row>
    <row r="3087">
      <c r="A3087" s="3"/>
      <c r="B3087" s="3"/>
      <c r="C3087" s="3"/>
      <c r="D3087" s="3"/>
      <c r="E3087" s="3"/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</row>
    <row r="3088">
      <c r="A3088" s="3"/>
      <c r="B3088" s="3"/>
      <c r="C3088" s="3"/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</row>
    <row r="3089">
      <c r="A3089" s="3"/>
      <c r="B3089" s="3"/>
      <c r="C3089" s="3"/>
      <c r="D3089" s="3"/>
      <c r="E3089" s="3"/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</row>
    <row r="3090">
      <c r="A3090" s="3"/>
      <c r="B3090" s="3"/>
      <c r="C3090" s="3"/>
      <c r="D3090" s="3"/>
      <c r="E3090" s="3"/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</row>
    <row r="3091">
      <c r="A3091" s="3"/>
      <c r="B3091" s="3"/>
      <c r="C3091" s="3"/>
      <c r="D3091" s="3"/>
      <c r="E3091" s="3"/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</row>
    <row r="3092">
      <c r="A3092" s="3"/>
      <c r="B3092" s="3"/>
      <c r="C3092" s="3"/>
      <c r="D3092" s="3"/>
      <c r="E3092" s="3"/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</row>
    <row r="3093">
      <c r="A3093" s="3"/>
      <c r="B3093" s="3"/>
      <c r="C3093" s="3"/>
      <c r="D3093" s="3"/>
      <c r="E3093" s="3"/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</row>
    <row r="3094">
      <c r="A3094" s="3"/>
      <c r="B3094" s="3"/>
      <c r="C3094" s="3"/>
      <c r="D3094" s="3"/>
      <c r="E3094" s="3"/>
      <c r="F3094" s="3"/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</row>
    <row r="3095">
      <c r="A3095" s="3"/>
      <c r="B3095" s="3"/>
      <c r="C3095" s="3"/>
      <c r="D3095" s="3"/>
      <c r="E3095" s="3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</row>
    <row r="3096">
      <c r="A3096" s="3"/>
      <c r="B3096" s="3"/>
      <c r="C3096" s="3"/>
      <c r="D3096" s="3"/>
      <c r="E3096" s="3"/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</row>
    <row r="3097">
      <c r="A3097" s="3"/>
      <c r="B3097" s="3"/>
      <c r="C3097" s="3"/>
      <c r="D3097" s="3"/>
      <c r="E3097" s="3"/>
      <c r="F3097" s="3"/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</row>
    <row r="3098">
      <c r="A3098" s="3"/>
      <c r="B3098" s="3"/>
      <c r="C3098" s="3"/>
      <c r="D3098" s="3"/>
      <c r="E3098" s="3"/>
      <c r="F3098" s="3"/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</row>
    <row r="3099">
      <c r="A3099" s="3"/>
      <c r="B3099" s="3"/>
      <c r="C3099" s="3"/>
      <c r="D3099" s="3"/>
      <c r="E3099" s="3"/>
      <c r="F3099" s="3"/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</row>
    <row r="3100">
      <c r="A3100" s="3"/>
      <c r="B3100" s="3"/>
      <c r="C3100" s="3"/>
      <c r="D3100" s="3"/>
      <c r="E3100" s="3"/>
      <c r="F3100" s="3"/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</row>
    <row r="3101">
      <c r="A3101" s="3"/>
      <c r="B3101" s="3"/>
      <c r="C3101" s="3"/>
      <c r="D3101" s="3"/>
      <c r="E3101" s="3"/>
      <c r="F3101" s="3"/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</row>
    <row r="3102">
      <c r="A3102" s="3"/>
      <c r="B3102" s="3"/>
      <c r="C3102" s="3"/>
      <c r="D3102" s="3"/>
      <c r="E3102" s="3"/>
      <c r="F3102" s="3"/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</row>
    <row r="3103">
      <c r="A3103" s="3"/>
      <c r="B3103" s="3"/>
      <c r="C3103" s="3"/>
      <c r="D3103" s="3"/>
      <c r="E3103" s="3"/>
      <c r="F3103" s="3"/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</row>
    <row r="3104">
      <c r="A3104" s="3"/>
      <c r="B3104" s="3"/>
      <c r="C3104" s="3"/>
      <c r="D3104" s="3"/>
      <c r="E3104" s="3"/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</row>
    <row r="3105">
      <c r="A3105" s="3"/>
      <c r="B3105" s="3"/>
      <c r="C3105" s="3"/>
      <c r="D3105" s="3"/>
      <c r="E3105" s="3"/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</row>
    <row r="3106">
      <c r="A3106" s="3"/>
      <c r="B3106" s="3"/>
      <c r="C3106" s="3"/>
      <c r="D3106" s="3"/>
      <c r="E3106" s="3"/>
      <c r="F3106" s="3"/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</row>
    <row r="3107">
      <c r="A3107" s="3"/>
      <c r="B3107" s="3"/>
      <c r="C3107" s="3"/>
      <c r="D3107" s="3"/>
      <c r="E3107" s="3"/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</row>
    <row r="3108">
      <c r="A3108" s="3"/>
      <c r="B3108" s="3"/>
      <c r="C3108" s="3"/>
      <c r="D3108" s="3"/>
      <c r="E3108" s="3"/>
      <c r="F3108" s="3"/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</row>
    <row r="3109">
      <c r="A3109" s="3"/>
      <c r="B3109" s="3"/>
      <c r="C3109" s="3"/>
      <c r="D3109" s="3"/>
      <c r="E3109" s="3"/>
      <c r="F3109" s="3"/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</row>
    <row r="3110">
      <c r="A3110" s="3"/>
      <c r="B3110" s="3"/>
      <c r="C3110" s="3"/>
      <c r="D3110" s="3"/>
      <c r="E3110" s="3"/>
      <c r="F3110" s="3"/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</row>
    <row r="3111">
      <c r="A3111" s="3"/>
      <c r="B3111" s="3"/>
      <c r="C3111" s="3"/>
      <c r="D3111" s="3"/>
      <c r="E3111" s="3"/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</row>
    <row r="3112">
      <c r="A3112" s="3"/>
      <c r="B3112" s="3"/>
      <c r="C3112" s="3"/>
      <c r="D3112" s="3"/>
      <c r="E3112" s="3"/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</row>
    <row r="3113">
      <c r="A3113" s="3"/>
      <c r="B3113" s="3"/>
      <c r="C3113" s="3"/>
      <c r="D3113" s="3"/>
      <c r="E3113" s="3"/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</row>
    <row r="3114">
      <c r="A3114" s="3"/>
      <c r="B3114" s="3"/>
      <c r="C3114" s="3"/>
      <c r="D3114" s="3"/>
      <c r="E3114" s="3"/>
      <c r="F3114" s="3"/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</row>
    <row r="3115">
      <c r="A3115" s="3"/>
      <c r="B3115" s="3"/>
      <c r="C3115" s="3"/>
      <c r="D3115" s="3"/>
      <c r="E3115" s="3"/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</row>
    <row r="3116">
      <c r="A3116" s="3"/>
      <c r="B3116" s="3"/>
      <c r="C3116" s="3"/>
      <c r="D3116" s="3"/>
      <c r="E3116" s="3"/>
      <c r="F3116" s="3"/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</row>
    <row r="3117">
      <c r="A3117" s="3"/>
      <c r="B3117" s="3"/>
      <c r="C3117" s="3"/>
      <c r="D3117" s="3"/>
      <c r="E3117" s="3"/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</row>
    <row r="3118">
      <c r="A3118" s="3"/>
      <c r="B3118" s="3"/>
      <c r="C3118" s="3"/>
      <c r="D3118" s="3"/>
      <c r="E3118" s="3"/>
      <c r="F3118" s="3"/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</row>
    <row r="3119">
      <c r="A3119" s="3"/>
      <c r="B3119" s="3"/>
      <c r="C3119" s="3"/>
      <c r="D3119" s="3"/>
      <c r="E3119" s="3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</row>
    <row r="3120">
      <c r="A3120" s="3"/>
      <c r="B3120" s="3"/>
      <c r="C3120" s="3"/>
      <c r="D3120" s="3"/>
      <c r="E3120" s="3"/>
      <c r="F3120" s="3"/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</row>
    <row r="3121">
      <c r="A3121" s="3"/>
      <c r="B3121" s="3"/>
      <c r="C3121" s="3"/>
      <c r="D3121" s="3"/>
      <c r="E3121" s="3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</row>
    <row r="3122">
      <c r="A3122" s="3"/>
      <c r="B3122" s="3"/>
      <c r="C3122" s="3"/>
      <c r="D3122" s="3"/>
      <c r="E3122" s="3"/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</row>
    <row r="3123">
      <c r="A3123" s="3"/>
      <c r="B3123" s="3"/>
      <c r="C3123" s="3"/>
      <c r="D3123" s="3"/>
      <c r="E3123" s="3"/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</row>
    <row r="3124">
      <c r="A3124" s="3"/>
      <c r="B3124" s="3"/>
      <c r="C3124" s="3"/>
      <c r="D3124" s="3"/>
      <c r="E3124" s="3"/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</row>
    <row r="3125">
      <c r="A3125" s="3"/>
      <c r="B3125" s="3"/>
      <c r="C3125" s="3"/>
      <c r="D3125" s="3"/>
      <c r="E3125" s="3"/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</row>
    <row r="3126">
      <c r="A3126" s="3"/>
      <c r="B3126" s="3"/>
      <c r="C3126" s="3"/>
      <c r="D3126" s="3"/>
      <c r="E3126" s="3"/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</row>
    <row r="3127">
      <c r="A3127" s="3"/>
      <c r="B3127" s="3"/>
      <c r="C3127" s="3"/>
      <c r="D3127" s="3"/>
      <c r="E3127" s="3"/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</row>
    <row r="3128">
      <c r="A3128" s="3"/>
      <c r="B3128" s="3"/>
      <c r="C3128" s="3"/>
      <c r="D3128" s="3"/>
      <c r="E3128" s="3"/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</row>
    <row r="3129">
      <c r="A3129" s="3"/>
      <c r="B3129" s="3"/>
      <c r="C3129" s="3"/>
      <c r="D3129" s="3"/>
      <c r="E3129" s="3"/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</row>
    <row r="3130">
      <c r="A3130" s="3"/>
      <c r="B3130" s="3"/>
      <c r="C3130" s="3"/>
      <c r="D3130" s="3"/>
      <c r="E3130" s="3"/>
      <c r="F3130" s="3"/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</row>
    <row r="3131">
      <c r="A3131" s="3"/>
      <c r="B3131" s="3"/>
      <c r="C3131" s="3"/>
      <c r="D3131" s="3"/>
      <c r="E3131" s="3"/>
      <c r="F3131" s="3"/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</row>
    <row r="3132">
      <c r="A3132" s="3"/>
      <c r="B3132" s="3"/>
      <c r="C3132" s="3"/>
      <c r="D3132" s="3"/>
      <c r="E3132" s="3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</row>
    <row r="3133">
      <c r="A3133" s="3"/>
      <c r="B3133" s="3"/>
      <c r="C3133" s="3"/>
      <c r="D3133" s="3"/>
      <c r="E3133" s="3"/>
      <c r="F3133" s="3"/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</row>
    <row r="3134">
      <c r="A3134" s="3"/>
      <c r="B3134" s="3"/>
      <c r="C3134" s="3"/>
      <c r="D3134" s="3"/>
      <c r="E3134" s="3"/>
      <c r="F3134" s="3"/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</row>
    <row r="3135">
      <c r="A3135" s="3"/>
      <c r="B3135" s="3"/>
      <c r="C3135" s="3"/>
      <c r="D3135" s="3"/>
      <c r="E3135" s="3"/>
      <c r="F3135" s="3"/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</row>
    <row r="3136">
      <c r="A3136" s="3"/>
      <c r="B3136" s="3"/>
      <c r="C3136" s="3"/>
      <c r="D3136" s="3"/>
      <c r="E3136" s="3"/>
      <c r="F3136" s="3"/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</row>
    <row r="3137">
      <c r="A3137" s="3"/>
      <c r="B3137" s="3"/>
      <c r="C3137" s="3"/>
      <c r="D3137" s="3"/>
      <c r="E3137" s="3"/>
      <c r="F3137" s="3"/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</row>
    <row r="3138">
      <c r="A3138" s="3"/>
      <c r="B3138" s="3"/>
      <c r="C3138" s="3"/>
      <c r="D3138" s="3"/>
      <c r="E3138" s="3"/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</row>
    <row r="3139">
      <c r="A3139" s="3"/>
      <c r="B3139" s="3"/>
      <c r="C3139" s="3"/>
      <c r="D3139" s="3"/>
      <c r="E3139" s="3"/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</row>
    <row r="3140">
      <c r="A3140" s="3"/>
      <c r="B3140" s="3"/>
      <c r="C3140" s="3"/>
      <c r="D3140" s="3"/>
      <c r="E3140" s="3"/>
      <c r="F3140" s="3"/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</row>
    <row r="3141">
      <c r="A3141" s="3"/>
      <c r="B3141" s="3"/>
      <c r="C3141" s="3"/>
      <c r="D3141" s="3"/>
      <c r="E3141" s="3"/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</row>
    <row r="3142">
      <c r="A3142" s="3"/>
      <c r="B3142" s="3"/>
      <c r="C3142" s="3"/>
      <c r="D3142" s="3"/>
      <c r="E3142" s="3"/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</row>
    <row r="3143">
      <c r="A3143" s="3"/>
      <c r="B3143" s="3"/>
      <c r="C3143" s="3"/>
      <c r="D3143" s="3"/>
      <c r="E3143" s="3"/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</row>
    <row r="3144">
      <c r="A3144" s="3"/>
      <c r="B3144" s="3"/>
      <c r="C3144" s="3"/>
      <c r="D3144" s="3"/>
      <c r="E3144" s="3"/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</row>
    <row r="3145">
      <c r="A3145" s="3"/>
      <c r="B3145" s="3"/>
      <c r="C3145" s="3"/>
      <c r="D3145" s="3"/>
      <c r="E3145" s="3"/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</row>
    <row r="3146">
      <c r="A3146" s="3"/>
      <c r="B3146" s="3"/>
      <c r="C3146" s="3"/>
      <c r="D3146" s="3"/>
      <c r="E3146" s="3"/>
      <c r="F3146" s="3"/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</row>
    <row r="3147">
      <c r="A3147" s="3"/>
      <c r="B3147" s="3"/>
      <c r="C3147" s="3"/>
      <c r="D3147" s="3"/>
      <c r="E3147" s="3"/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</row>
    <row r="3148">
      <c r="A3148" s="3"/>
      <c r="B3148" s="3"/>
      <c r="C3148" s="3"/>
      <c r="D3148" s="3"/>
      <c r="E3148" s="3"/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</row>
    <row r="3149">
      <c r="A3149" s="3"/>
      <c r="B3149" s="3"/>
      <c r="C3149" s="3"/>
      <c r="D3149" s="3"/>
      <c r="E3149" s="3"/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</row>
    <row r="3150">
      <c r="A3150" s="3"/>
      <c r="B3150" s="3"/>
      <c r="C3150" s="3"/>
      <c r="D3150" s="3"/>
      <c r="E3150" s="3"/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</row>
    <row r="3151">
      <c r="A3151" s="3"/>
      <c r="B3151" s="3"/>
      <c r="C3151" s="3"/>
      <c r="D3151" s="3"/>
      <c r="E3151" s="3"/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</row>
    <row r="3152">
      <c r="A3152" s="3"/>
      <c r="B3152" s="3"/>
      <c r="C3152" s="3"/>
      <c r="D3152" s="3"/>
      <c r="E3152" s="3"/>
      <c r="F3152" s="3"/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</row>
    <row r="3153">
      <c r="A3153" s="3"/>
      <c r="B3153" s="3"/>
      <c r="C3153" s="3"/>
      <c r="D3153" s="3"/>
      <c r="E3153" s="3"/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</row>
    <row r="3154">
      <c r="A3154" s="3"/>
      <c r="B3154" s="3"/>
      <c r="C3154" s="3"/>
      <c r="D3154" s="3"/>
      <c r="E3154" s="3"/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</row>
    <row r="3155">
      <c r="A3155" s="3"/>
      <c r="B3155" s="3"/>
      <c r="C3155" s="3"/>
      <c r="D3155" s="3"/>
      <c r="E3155" s="3"/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</row>
    <row r="3156">
      <c r="A3156" s="3"/>
      <c r="B3156" s="3"/>
      <c r="C3156" s="3"/>
      <c r="D3156" s="3"/>
      <c r="E3156" s="3"/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</row>
    <row r="3157">
      <c r="A3157" s="3"/>
      <c r="B3157" s="3"/>
      <c r="C3157" s="3"/>
      <c r="D3157" s="3"/>
      <c r="E3157" s="3"/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</row>
    <row r="3158">
      <c r="A3158" s="3"/>
      <c r="B3158" s="3"/>
      <c r="C3158" s="3"/>
      <c r="D3158" s="3"/>
      <c r="E3158" s="3"/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</row>
    <row r="3159">
      <c r="A3159" s="3"/>
      <c r="B3159" s="3"/>
      <c r="C3159" s="3"/>
      <c r="D3159" s="3"/>
      <c r="E3159" s="3"/>
      <c r="F3159" s="3"/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</row>
    <row r="3160">
      <c r="A3160" s="3"/>
      <c r="B3160" s="3"/>
      <c r="C3160" s="3"/>
      <c r="D3160" s="3"/>
      <c r="E3160" s="3"/>
      <c r="F3160" s="3"/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</row>
    <row r="3161">
      <c r="A3161" s="3"/>
      <c r="B3161" s="3"/>
      <c r="C3161" s="3"/>
      <c r="D3161" s="3"/>
      <c r="E3161" s="3"/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</row>
    <row r="3162">
      <c r="A3162" s="3"/>
      <c r="B3162" s="3"/>
      <c r="C3162" s="3"/>
      <c r="D3162" s="3"/>
      <c r="E3162" s="3"/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</row>
    <row r="3163">
      <c r="A3163" s="3"/>
      <c r="B3163" s="3"/>
      <c r="C3163" s="3"/>
      <c r="D3163" s="3"/>
      <c r="E3163" s="3"/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</row>
    <row r="3164">
      <c r="A3164" s="3"/>
      <c r="B3164" s="3"/>
      <c r="C3164" s="3"/>
      <c r="D3164" s="3"/>
      <c r="E3164" s="3"/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</row>
    <row r="3165">
      <c r="A3165" s="3"/>
      <c r="B3165" s="3"/>
      <c r="C3165" s="3"/>
      <c r="D3165" s="3"/>
      <c r="E3165" s="3"/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</row>
    <row r="3166">
      <c r="A3166" s="3"/>
      <c r="B3166" s="3"/>
      <c r="C3166" s="3"/>
      <c r="D3166" s="3"/>
      <c r="E3166" s="3"/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</row>
    <row r="3167">
      <c r="A3167" s="3"/>
      <c r="B3167" s="3"/>
      <c r="C3167" s="3"/>
      <c r="D3167" s="3"/>
      <c r="E3167" s="3"/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</row>
    <row r="3168">
      <c r="A3168" s="3"/>
      <c r="B3168" s="3"/>
      <c r="C3168" s="3"/>
      <c r="D3168" s="3"/>
      <c r="E3168" s="3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</row>
    <row r="3169">
      <c r="A3169" s="3"/>
      <c r="B3169" s="3"/>
      <c r="C3169" s="3"/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</row>
    <row r="3170">
      <c r="A3170" s="3"/>
      <c r="B3170" s="3"/>
      <c r="C3170" s="3"/>
      <c r="D3170" s="3"/>
      <c r="E3170" s="3"/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</row>
    <row r="3171">
      <c r="A3171" s="3"/>
      <c r="B3171" s="3"/>
      <c r="C3171" s="3"/>
      <c r="D3171" s="3"/>
      <c r="E3171" s="3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</row>
    <row r="3172">
      <c r="A3172" s="3"/>
      <c r="B3172" s="3"/>
      <c r="C3172" s="3"/>
      <c r="D3172" s="3"/>
      <c r="E3172" s="3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</row>
    <row r="3173">
      <c r="A3173" s="3"/>
      <c r="B3173" s="3"/>
      <c r="C3173" s="3"/>
      <c r="D3173" s="3"/>
      <c r="E3173" s="3"/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</row>
    <row r="3174">
      <c r="A3174" s="3"/>
      <c r="B3174" s="3"/>
      <c r="C3174" s="3"/>
      <c r="D3174" s="3"/>
      <c r="E3174" s="3"/>
      <c r="F3174" s="3"/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</row>
    <row r="3175">
      <c r="A3175" s="3"/>
      <c r="B3175" s="3"/>
      <c r="C3175" s="3"/>
      <c r="D3175" s="3"/>
      <c r="E3175" s="3"/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</row>
    <row r="3176">
      <c r="A3176" s="3"/>
      <c r="B3176" s="3"/>
      <c r="C3176" s="3"/>
      <c r="D3176" s="3"/>
      <c r="E3176" s="3"/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</row>
    <row r="3177">
      <c r="A3177" s="3"/>
      <c r="B3177" s="3"/>
      <c r="C3177" s="3"/>
      <c r="D3177" s="3"/>
      <c r="E3177" s="3"/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</row>
    <row r="3178">
      <c r="A3178" s="3"/>
      <c r="B3178" s="3"/>
      <c r="C3178" s="3"/>
      <c r="D3178" s="3"/>
      <c r="E3178" s="3"/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</row>
    <row r="3179">
      <c r="A3179" s="3"/>
      <c r="B3179" s="3"/>
      <c r="C3179" s="3"/>
      <c r="D3179" s="3"/>
      <c r="E3179" s="3"/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</row>
    <row r="3180">
      <c r="A3180" s="3"/>
      <c r="B3180" s="3"/>
      <c r="C3180" s="3"/>
      <c r="D3180" s="3"/>
      <c r="E3180" s="3"/>
      <c r="F3180" s="3"/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</row>
    <row r="3181">
      <c r="A3181" s="3"/>
      <c r="B3181" s="3"/>
      <c r="C3181" s="3"/>
      <c r="D3181" s="3"/>
      <c r="E3181" s="3"/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</row>
    <row r="3182">
      <c r="A3182" s="3"/>
      <c r="B3182" s="3"/>
      <c r="C3182" s="3"/>
      <c r="D3182" s="3"/>
      <c r="E3182" s="3"/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</row>
    <row r="3183">
      <c r="A3183" s="3"/>
      <c r="B3183" s="3"/>
      <c r="C3183" s="3"/>
      <c r="D3183" s="3"/>
      <c r="E3183" s="3"/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</row>
    <row r="3184">
      <c r="A3184" s="3"/>
      <c r="B3184" s="3"/>
      <c r="C3184" s="3"/>
      <c r="D3184" s="3"/>
      <c r="E3184" s="3"/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</row>
    <row r="3185">
      <c r="A3185" s="3"/>
      <c r="B3185" s="3"/>
      <c r="C3185" s="3"/>
      <c r="D3185" s="3"/>
      <c r="E3185" s="3"/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</row>
    <row r="3186">
      <c r="A3186" s="3"/>
      <c r="B3186" s="3"/>
      <c r="C3186" s="3"/>
      <c r="D3186" s="3"/>
      <c r="E3186" s="3"/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</row>
    <row r="3187">
      <c r="A3187" s="3"/>
      <c r="B3187" s="3"/>
      <c r="C3187" s="3"/>
      <c r="D3187" s="3"/>
      <c r="E3187" s="3"/>
      <c r="F3187" s="3"/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</row>
    <row r="3188">
      <c r="A3188" s="3"/>
      <c r="B3188" s="3"/>
      <c r="C3188" s="3"/>
      <c r="D3188" s="3"/>
      <c r="E3188" s="3"/>
      <c r="F3188" s="3"/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</row>
    <row r="3189">
      <c r="A3189" s="3"/>
      <c r="B3189" s="3"/>
      <c r="C3189" s="3"/>
      <c r="D3189" s="3"/>
      <c r="E3189" s="3"/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</row>
    <row r="3190">
      <c r="A3190" s="3"/>
      <c r="B3190" s="3"/>
      <c r="C3190" s="3"/>
      <c r="D3190" s="3"/>
      <c r="E3190" s="3"/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</row>
    <row r="3191">
      <c r="A3191" s="3"/>
      <c r="B3191" s="3"/>
      <c r="C3191" s="3"/>
      <c r="D3191" s="3"/>
      <c r="E3191" s="3"/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</row>
    <row r="3192">
      <c r="A3192" s="3"/>
      <c r="B3192" s="3"/>
      <c r="C3192" s="3"/>
      <c r="D3192" s="3"/>
      <c r="E3192" s="3"/>
      <c r="F3192" s="3"/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</row>
    <row r="3193">
      <c r="A3193" s="3"/>
      <c r="B3193" s="3"/>
      <c r="C3193" s="3"/>
      <c r="D3193" s="3"/>
      <c r="E3193" s="3"/>
      <c r="F3193" s="3"/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</row>
    <row r="3194">
      <c r="A3194" s="3"/>
      <c r="B3194" s="3"/>
      <c r="C3194" s="3"/>
      <c r="D3194" s="3"/>
      <c r="E3194" s="3"/>
      <c r="F3194" s="3"/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</row>
    <row r="3195">
      <c r="A3195" s="3"/>
      <c r="B3195" s="3"/>
      <c r="C3195" s="3"/>
      <c r="D3195" s="3"/>
      <c r="E3195" s="3"/>
      <c r="F3195" s="3"/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</row>
    <row r="3196">
      <c r="A3196" s="3"/>
      <c r="B3196" s="3"/>
      <c r="C3196" s="3"/>
      <c r="D3196" s="3"/>
      <c r="E3196" s="3"/>
      <c r="F3196" s="3"/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</row>
    <row r="3197">
      <c r="A3197" s="3"/>
      <c r="B3197" s="3"/>
      <c r="C3197" s="3"/>
      <c r="D3197" s="3"/>
      <c r="E3197" s="3"/>
      <c r="F3197" s="3"/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</row>
    <row r="3198">
      <c r="A3198" s="3"/>
      <c r="B3198" s="3"/>
      <c r="C3198" s="3"/>
      <c r="D3198" s="3"/>
      <c r="E3198" s="3"/>
      <c r="F3198" s="3"/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</row>
    <row r="3199">
      <c r="A3199" s="3"/>
      <c r="B3199" s="3"/>
      <c r="C3199" s="3"/>
      <c r="D3199" s="3"/>
      <c r="E3199" s="3"/>
      <c r="F3199" s="3"/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</row>
    <row r="3200">
      <c r="A3200" s="3"/>
      <c r="B3200" s="3"/>
      <c r="C3200" s="3"/>
      <c r="D3200" s="3"/>
      <c r="E3200" s="3"/>
      <c r="F3200" s="3"/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</row>
    <row r="3201">
      <c r="A3201" s="3"/>
      <c r="B3201" s="3"/>
      <c r="C3201" s="3"/>
      <c r="D3201" s="3"/>
      <c r="E3201" s="3"/>
      <c r="F3201" s="3"/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</row>
    <row r="3202">
      <c r="A3202" s="3"/>
      <c r="B3202" s="3"/>
      <c r="C3202" s="3"/>
      <c r="D3202" s="3"/>
      <c r="E3202" s="3"/>
      <c r="F3202" s="3"/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</row>
    <row r="3203">
      <c r="A3203" s="3"/>
      <c r="B3203" s="3"/>
      <c r="C3203" s="3"/>
      <c r="D3203" s="3"/>
      <c r="E3203" s="3"/>
      <c r="F3203" s="3"/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</row>
    <row r="3204">
      <c r="A3204" s="3"/>
      <c r="B3204" s="3"/>
      <c r="C3204" s="3"/>
      <c r="D3204" s="3"/>
      <c r="E3204" s="3"/>
      <c r="F3204" s="3"/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</row>
    <row r="3205">
      <c r="A3205" s="3"/>
      <c r="B3205" s="3"/>
      <c r="C3205" s="3"/>
      <c r="D3205" s="3"/>
      <c r="E3205" s="3"/>
      <c r="F3205" s="3"/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</row>
    <row r="3206">
      <c r="A3206" s="3"/>
      <c r="B3206" s="3"/>
      <c r="C3206" s="3"/>
      <c r="D3206" s="3"/>
      <c r="E3206" s="3"/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</row>
    <row r="3207">
      <c r="A3207" s="3"/>
      <c r="B3207" s="3"/>
      <c r="C3207" s="3"/>
      <c r="D3207" s="3"/>
      <c r="E3207" s="3"/>
      <c r="F3207" s="3"/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</row>
    <row r="3208">
      <c r="A3208" s="3"/>
      <c r="B3208" s="3"/>
      <c r="C3208" s="3"/>
      <c r="D3208" s="3"/>
      <c r="E3208" s="3"/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</row>
    <row r="3209">
      <c r="A3209" s="3"/>
      <c r="B3209" s="3"/>
      <c r="C3209" s="3"/>
      <c r="D3209" s="3"/>
      <c r="E3209" s="3"/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</row>
    <row r="3210">
      <c r="A3210" s="3"/>
      <c r="B3210" s="3"/>
      <c r="C3210" s="3"/>
      <c r="D3210" s="3"/>
      <c r="E3210" s="3"/>
      <c r="F3210" s="3"/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</row>
    <row r="3211">
      <c r="A3211" s="3"/>
      <c r="B3211" s="3"/>
      <c r="C3211" s="3"/>
      <c r="D3211" s="3"/>
      <c r="E3211" s="3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</row>
    <row r="3212">
      <c r="A3212" s="3"/>
      <c r="B3212" s="3"/>
      <c r="C3212" s="3"/>
      <c r="D3212" s="3"/>
      <c r="E3212" s="3"/>
      <c r="F3212" s="3"/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</row>
    <row r="3213">
      <c r="A3213" s="3"/>
      <c r="B3213" s="3"/>
      <c r="C3213" s="3"/>
      <c r="D3213" s="3"/>
      <c r="E3213" s="3"/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</row>
    <row r="3214">
      <c r="A3214" s="3"/>
      <c r="B3214" s="3"/>
      <c r="C3214" s="3"/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</row>
    <row r="3215">
      <c r="A3215" s="3"/>
      <c r="B3215" s="3"/>
      <c r="C3215" s="3"/>
      <c r="D3215" s="3"/>
      <c r="E3215" s="3"/>
      <c r="F3215" s="3"/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</row>
    <row r="3216">
      <c r="A3216" s="3"/>
      <c r="B3216" s="3"/>
      <c r="C3216" s="3"/>
      <c r="D3216" s="3"/>
      <c r="E3216" s="3"/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</row>
    <row r="3217">
      <c r="A3217" s="3"/>
      <c r="B3217" s="3"/>
      <c r="C3217" s="3"/>
      <c r="D3217" s="3"/>
      <c r="E3217" s="3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</row>
    <row r="3218">
      <c r="A3218" s="3"/>
      <c r="B3218" s="3"/>
      <c r="C3218" s="3"/>
      <c r="D3218" s="3"/>
      <c r="E3218" s="3"/>
      <c r="F3218" s="3"/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</row>
    <row r="3219">
      <c r="A3219" s="3"/>
      <c r="B3219" s="3"/>
      <c r="C3219" s="3"/>
      <c r="D3219" s="3"/>
      <c r="E3219" s="3"/>
      <c r="F3219" s="3"/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</row>
    <row r="3220">
      <c r="A3220" s="3"/>
      <c r="B3220" s="3"/>
      <c r="C3220" s="3"/>
      <c r="D3220" s="3"/>
      <c r="E3220" s="3"/>
      <c r="F3220" s="3"/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</row>
    <row r="3221">
      <c r="A3221" s="3"/>
      <c r="B3221" s="3"/>
      <c r="C3221" s="3"/>
      <c r="D3221" s="3"/>
      <c r="E3221" s="3"/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</row>
    <row r="3222">
      <c r="A3222" s="3"/>
      <c r="B3222" s="3"/>
      <c r="C3222" s="3"/>
      <c r="D3222" s="3"/>
      <c r="E3222" s="3"/>
      <c r="F3222" s="3"/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</row>
    <row r="3223">
      <c r="A3223" s="3"/>
      <c r="B3223" s="3"/>
      <c r="C3223" s="3"/>
      <c r="D3223" s="3"/>
      <c r="E3223" s="3"/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</row>
    <row r="3224">
      <c r="A3224" s="3"/>
      <c r="B3224" s="3"/>
      <c r="C3224" s="3"/>
      <c r="D3224" s="3"/>
      <c r="E3224" s="3"/>
      <c r="F3224" s="3"/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</row>
    <row r="3225">
      <c r="A3225" s="3"/>
      <c r="B3225" s="3"/>
      <c r="C3225" s="3"/>
      <c r="D3225" s="3"/>
      <c r="E3225" s="3"/>
      <c r="F3225" s="3"/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</row>
    <row r="3226">
      <c r="A3226" s="3"/>
      <c r="B3226" s="3"/>
      <c r="C3226" s="3"/>
      <c r="D3226" s="3"/>
      <c r="E3226" s="3"/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</row>
    <row r="3227">
      <c r="A3227" s="3"/>
      <c r="B3227" s="3"/>
      <c r="C3227" s="3"/>
      <c r="D3227" s="3"/>
      <c r="E3227" s="3"/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</row>
    <row r="3228">
      <c r="A3228" s="3"/>
      <c r="B3228" s="3"/>
      <c r="C3228" s="3"/>
      <c r="D3228" s="3"/>
      <c r="E3228" s="3"/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</row>
    <row r="3229">
      <c r="A3229" s="3"/>
      <c r="B3229" s="3"/>
      <c r="C3229" s="3"/>
      <c r="D3229" s="3"/>
      <c r="E3229" s="3"/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</row>
    <row r="3230">
      <c r="A3230" s="3"/>
      <c r="B3230" s="3"/>
      <c r="C3230" s="3"/>
      <c r="D3230" s="3"/>
      <c r="E3230" s="3"/>
      <c r="F3230" s="3"/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</row>
    <row r="3231">
      <c r="A3231" s="3"/>
      <c r="B3231" s="3"/>
      <c r="C3231" s="3"/>
      <c r="D3231" s="3"/>
      <c r="E3231" s="3"/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</row>
    <row r="3232">
      <c r="A3232" s="3"/>
      <c r="B3232" s="3"/>
      <c r="C3232" s="3"/>
      <c r="D3232" s="3"/>
      <c r="E3232" s="3"/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</row>
    <row r="3233">
      <c r="A3233" s="3"/>
      <c r="B3233" s="3"/>
      <c r="C3233" s="3"/>
      <c r="D3233" s="3"/>
      <c r="E3233" s="3"/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</row>
    <row r="3234">
      <c r="A3234" s="3"/>
      <c r="B3234" s="3"/>
      <c r="C3234" s="3"/>
      <c r="D3234" s="3"/>
      <c r="E3234" s="3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</row>
    <row r="3235">
      <c r="A3235" s="3"/>
      <c r="B3235" s="3"/>
      <c r="C3235" s="3"/>
      <c r="D3235" s="3"/>
      <c r="E3235" s="3"/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</row>
    <row r="3236">
      <c r="A3236" s="3"/>
      <c r="B3236" s="3"/>
      <c r="C3236" s="3"/>
      <c r="D3236" s="3"/>
      <c r="E3236" s="3"/>
      <c r="F3236" s="3"/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</row>
    <row r="3237">
      <c r="A3237" s="3"/>
      <c r="B3237" s="3"/>
      <c r="C3237" s="3"/>
      <c r="D3237" s="3"/>
      <c r="E3237" s="3"/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</row>
    <row r="3238">
      <c r="A3238" s="3"/>
      <c r="B3238" s="3"/>
      <c r="C3238" s="3"/>
      <c r="D3238" s="3"/>
      <c r="E3238" s="3"/>
      <c r="F3238" s="3"/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</row>
    <row r="3239">
      <c r="A3239" s="3"/>
      <c r="B3239" s="3"/>
      <c r="C3239" s="3"/>
      <c r="D3239" s="3"/>
      <c r="E3239" s="3"/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</row>
    <row r="3240">
      <c r="A3240" s="3"/>
      <c r="B3240" s="3"/>
      <c r="C3240" s="3"/>
      <c r="D3240" s="3"/>
      <c r="E3240" s="3"/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</row>
    <row r="3241">
      <c r="A3241" s="3"/>
      <c r="B3241" s="3"/>
      <c r="C3241" s="3"/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</row>
    <row r="3242">
      <c r="A3242" s="3"/>
      <c r="B3242" s="3"/>
      <c r="C3242" s="3"/>
      <c r="D3242" s="3"/>
      <c r="E3242" s="3"/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</row>
    <row r="3243">
      <c r="A3243" s="3"/>
      <c r="B3243" s="3"/>
      <c r="C3243" s="3"/>
      <c r="D3243" s="3"/>
      <c r="E3243" s="3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</row>
    <row r="3244">
      <c r="A3244" s="3"/>
      <c r="B3244" s="3"/>
      <c r="C3244" s="3"/>
      <c r="D3244" s="3"/>
      <c r="E3244" s="3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</row>
    <row r="3245">
      <c r="A3245" s="3"/>
      <c r="B3245" s="3"/>
      <c r="C3245" s="3"/>
      <c r="D3245" s="3"/>
      <c r="E3245" s="3"/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</row>
    <row r="3246">
      <c r="A3246" s="3"/>
      <c r="B3246" s="3"/>
      <c r="C3246" s="3"/>
      <c r="D3246" s="3"/>
      <c r="E3246" s="3"/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</row>
    <row r="3247">
      <c r="A3247" s="3"/>
      <c r="B3247" s="3"/>
      <c r="C3247" s="3"/>
      <c r="D3247" s="3"/>
      <c r="E3247" s="3"/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</row>
    <row r="3248">
      <c r="A3248" s="3"/>
      <c r="B3248" s="3"/>
      <c r="C3248" s="3"/>
      <c r="D3248" s="3"/>
      <c r="E3248" s="3"/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</row>
    <row r="3249">
      <c r="A3249" s="3"/>
      <c r="B3249" s="3"/>
      <c r="C3249" s="3"/>
      <c r="D3249" s="3"/>
      <c r="E3249" s="3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</row>
    <row r="3250">
      <c r="A3250" s="3"/>
      <c r="B3250" s="3"/>
      <c r="C3250" s="3"/>
      <c r="D3250" s="3"/>
      <c r="E3250" s="3"/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</row>
    <row r="3251">
      <c r="A3251" s="3"/>
      <c r="B3251" s="3"/>
      <c r="C3251" s="3"/>
      <c r="D3251" s="3"/>
      <c r="E3251" s="3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</row>
    <row r="3252">
      <c r="A3252" s="3"/>
      <c r="B3252" s="3"/>
      <c r="C3252" s="3"/>
      <c r="D3252" s="3"/>
      <c r="E3252" s="3"/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</row>
    <row r="3253">
      <c r="A3253" s="3"/>
      <c r="B3253" s="3"/>
      <c r="C3253" s="3"/>
      <c r="D3253" s="3"/>
      <c r="E3253" s="3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</row>
    <row r="3254">
      <c r="A3254" s="3"/>
      <c r="B3254" s="3"/>
      <c r="C3254" s="3"/>
      <c r="D3254" s="3"/>
      <c r="E3254" s="3"/>
      <c r="F3254" s="3"/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</row>
    <row r="3255">
      <c r="A3255" s="3"/>
      <c r="B3255" s="3"/>
      <c r="C3255" s="3"/>
      <c r="D3255" s="3"/>
      <c r="E3255" s="3"/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</row>
    <row r="3256">
      <c r="A3256" s="3"/>
      <c r="B3256" s="3"/>
      <c r="C3256" s="3"/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</row>
    <row r="3257">
      <c r="A3257" s="3"/>
      <c r="B3257" s="3"/>
      <c r="C3257" s="3"/>
      <c r="D3257" s="3"/>
      <c r="E3257" s="3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</row>
    <row r="3258">
      <c r="A3258" s="3"/>
      <c r="B3258" s="3"/>
      <c r="C3258" s="3"/>
      <c r="D3258" s="3"/>
      <c r="E3258" s="3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</row>
    <row r="3259">
      <c r="A3259" s="3"/>
      <c r="B3259" s="3"/>
      <c r="C3259" s="3"/>
      <c r="D3259" s="3"/>
      <c r="E3259" s="3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</row>
    <row r="3260">
      <c r="A3260" s="3"/>
      <c r="B3260" s="3"/>
      <c r="C3260" s="3"/>
      <c r="D3260" s="3"/>
      <c r="E3260" s="3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</row>
    <row r="3261">
      <c r="A3261" s="3"/>
      <c r="B3261" s="3"/>
      <c r="C3261" s="3"/>
      <c r="D3261" s="3"/>
      <c r="E3261" s="3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</row>
    <row r="3262">
      <c r="A3262" s="3"/>
      <c r="B3262" s="3"/>
      <c r="C3262" s="3"/>
      <c r="D3262" s="3"/>
      <c r="E3262" s="3"/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</row>
    <row r="3263">
      <c r="A3263" s="3"/>
      <c r="B3263" s="3"/>
      <c r="C3263" s="3"/>
      <c r="D3263" s="3"/>
      <c r="E3263" s="3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</row>
    <row r="3264">
      <c r="A3264" s="3"/>
      <c r="B3264" s="3"/>
      <c r="C3264" s="3"/>
      <c r="D3264" s="3"/>
      <c r="E3264" s="3"/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</row>
    <row r="3265">
      <c r="A3265" s="3"/>
      <c r="B3265" s="3"/>
      <c r="C3265" s="3"/>
      <c r="D3265" s="3"/>
      <c r="E3265" s="3"/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</row>
    <row r="3266">
      <c r="A3266" s="3"/>
      <c r="B3266" s="3"/>
      <c r="C3266" s="3"/>
      <c r="D3266" s="3"/>
      <c r="E3266" s="3"/>
      <c r="F3266" s="3"/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</row>
    <row r="3267">
      <c r="A3267" s="3"/>
      <c r="B3267" s="3"/>
      <c r="C3267" s="3"/>
      <c r="D3267" s="3"/>
      <c r="E3267" s="3"/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</row>
    <row r="3268">
      <c r="A3268" s="3"/>
      <c r="B3268" s="3"/>
      <c r="C3268" s="3"/>
      <c r="D3268" s="3"/>
      <c r="E3268" s="3"/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</row>
    <row r="3269">
      <c r="A3269" s="3"/>
      <c r="B3269" s="3"/>
      <c r="C3269" s="3"/>
      <c r="D3269" s="3"/>
      <c r="E3269" s="3"/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</row>
    <row r="3270">
      <c r="A3270" s="3"/>
      <c r="B3270" s="3"/>
      <c r="C3270" s="3"/>
      <c r="D3270" s="3"/>
      <c r="E3270" s="3"/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</row>
    <row r="3271">
      <c r="A3271" s="3"/>
      <c r="B3271" s="3"/>
      <c r="C3271" s="3"/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</row>
    <row r="3272">
      <c r="A3272" s="3"/>
      <c r="B3272" s="3"/>
      <c r="C3272" s="3"/>
      <c r="D3272" s="3"/>
      <c r="E3272" s="3"/>
      <c r="F3272" s="3"/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</row>
    <row r="3273">
      <c r="A3273" s="3"/>
      <c r="B3273" s="3"/>
      <c r="C3273" s="3"/>
      <c r="D3273" s="3"/>
      <c r="E3273" s="3"/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</row>
    <row r="3274">
      <c r="A3274" s="3"/>
      <c r="B3274" s="3"/>
      <c r="C3274" s="3"/>
      <c r="D3274" s="3"/>
      <c r="E3274" s="3"/>
      <c r="F3274" s="3"/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</row>
    <row r="3275">
      <c r="A3275" s="3"/>
      <c r="B3275" s="3"/>
      <c r="C3275" s="3"/>
      <c r="D3275" s="3"/>
      <c r="E3275" s="3"/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</row>
    <row r="3276">
      <c r="A3276" s="3"/>
      <c r="B3276" s="3"/>
      <c r="C3276" s="3"/>
      <c r="D3276" s="3"/>
      <c r="E3276" s="3"/>
      <c r="F3276" s="3"/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</row>
    <row r="3277">
      <c r="A3277" s="3"/>
      <c r="B3277" s="3"/>
      <c r="C3277" s="3"/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</row>
    <row r="3278">
      <c r="A3278" s="3"/>
      <c r="B3278" s="3"/>
      <c r="C3278" s="3"/>
      <c r="D3278" s="3"/>
      <c r="E3278" s="3"/>
      <c r="F3278" s="3"/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</row>
    <row r="3279">
      <c r="A3279" s="3"/>
      <c r="B3279" s="3"/>
      <c r="C3279" s="3"/>
      <c r="D3279" s="3"/>
      <c r="E3279" s="3"/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</row>
    <row r="3280">
      <c r="A3280" s="3"/>
      <c r="B3280" s="3"/>
      <c r="C3280" s="3"/>
      <c r="D3280" s="3"/>
      <c r="E3280" s="3"/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</row>
    <row r="3281">
      <c r="A3281" s="3"/>
      <c r="B3281" s="3"/>
      <c r="C3281" s="3"/>
      <c r="D3281" s="3"/>
      <c r="E3281" s="3"/>
      <c r="F3281" s="3"/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</row>
    <row r="3282">
      <c r="A3282" s="3"/>
      <c r="B3282" s="3"/>
      <c r="C3282" s="3"/>
      <c r="D3282" s="3"/>
      <c r="E3282" s="3"/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</row>
    <row r="3283">
      <c r="A3283" s="3"/>
      <c r="B3283" s="3"/>
      <c r="C3283" s="3"/>
      <c r="D3283" s="3"/>
      <c r="E3283" s="3"/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</row>
    <row r="3284">
      <c r="A3284" s="3"/>
      <c r="B3284" s="3"/>
      <c r="C3284" s="3"/>
      <c r="D3284" s="3"/>
      <c r="E3284" s="3"/>
      <c r="F3284" s="3"/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</row>
    <row r="3285">
      <c r="A3285" s="3"/>
      <c r="B3285" s="3"/>
      <c r="C3285" s="3"/>
      <c r="D3285" s="3"/>
      <c r="E3285" s="3"/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</row>
    <row r="3286">
      <c r="A3286" s="3"/>
      <c r="B3286" s="3"/>
      <c r="C3286" s="3"/>
      <c r="D3286" s="3"/>
      <c r="E3286" s="3"/>
      <c r="F3286" s="3"/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</row>
    <row r="3287">
      <c r="A3287" s="3"/>
      <c r="B3287" s="3"/>
      <c r="C3287" s="3"/>
      <c r="D3287" s="3"/>
      <c r="E3287" s="3"/>
      <c r="F3287" s="3"/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</row>
    <row r="3288">
      <c r="A3288" s="3"/>
      <c r="B3288" s="3"/>
      <c r="C3288" s="3"/>
      <c r="D3288" s="3"/>
      <c r="E3288" s="3"/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</row>
    <row r="3289">
      <c r="A3289" s="3"/>
      <c r="B3289" s="3"/>
      <c r="C3289" s="3"/>
      <c r="D3289" s="3"/>
      <c r="E3289" s="3"/>
      <c r="F3289" s="3"/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</row>
    <row r="3290">
      <c r="A3290" s="3"/>
      <c r="B3290" s="3"/>
      <c r="C3290" s="3"/>
      <c r="D3290" s="3"/>
      <c r="E3290" s="3"/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</row>
    <row r="3291">
      <c r="A3291" s="3"/>
      <c r="B3291" s="3"/>
      <c r="C3291" s="3"/>
      <c r="D3291" s="3"/>
      <c r="E3291" s="3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</row>
    <row r="3292">
      <c r="A3292" s="3"/>
      <c r="B3292" s="3"/>
      <c r="C3292" s="3"/>
      <c r="D3292" s="3"/>
      <c r="E3292" s="3"/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</row>
    <row r="3293">
      <c r="A3293" s="3"/>
      <c r="B3293" s="3"/>
      <c r="C3293" s="3"/>
      <c r="D3293" s="3"/>
      <c r="E3293" s="3"/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</row>
    <row r="3294">
      <c r="A3294" s="3"/>
      <c r="B3294" s="3"/>
      <c r="C3294" s="3"/>
      <c r="D3294" s="3"/>
      <c r="E3294" s="3"/>
      <c r="F3294" s="3"/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</row>
    <row r="3295">
      <c r="A3295" s="3"/>
      <c r="B3295" s="3"/>
      <c r="C3295" s="3"/>
      <c r="D3295" s="3"/>
      <c r="E3295" s="3"/>
      <c r="F3295" s="3"/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</row>
    <row r="3296">
      <c r="A3296" s="3"/>
      <c r="B3296" s="3"/>
      <c r="C3296" s="3"/>
      <c r="D3296" s="3"/>
      <c r="E3296" s="3"/>
      <c r="F3296" s="3"/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</row>
    <row r="3297">
      <c r="A3297" s="3"/>
      <c r="B3297" s="3"/>
      <c r="C3297" s="3"/>
      <c r="D3297" s="3"/>
      <c r="E3297" s="3"/>
      <c r="F3297" s="3"/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</row>
    <row r="3298">
      <c r="A3298" s="3"/>
      <c r="B3298" s="3"/>
      <c r="C3298" s="3"/>
      <c r="D3298" s="3"/>
      <c r="E3298" s="3"/>
      <c r="F3298" s="3"/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</row>
    <row r="3299">
      <c r="A3299" s="3"/>
      <c r="B3299" s="3"/>
      <c r="C3299" s="3"/>
      <c r="D3299" s="3"/>
      <c r="E3299" s="3"/>
      <c r="F3299" s="3"/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</row>
    <row r="3300">
      <c r="A3300" s="3"/>
      <c r="B3300" s="3"/>
      <c r="C3300" s="3"/>
      <c r="D3300" s="3"/>
      <c r="E3300" s="3"/>
      <c r="F3300" s="3"/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</row>
    <row r="3301">
      <c r="A3301" s="3"/>
      <c r="B3301" s="3"/>
      <c r="C3301" s="3"/>
      <c r="D3301" s="3"/>
      <c r="E3301" s="3"/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</row>
    <row r="3302">
      <c r="A3302" s="3"/>
      <c r="B3302" s="3"/>
      <c r="C3302" s="3"/>
      <c r="D3302" s="3"/>
      <c r="E3302" s="3"/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</row>
    <row r="3303">
      <c r="A3303" s="3"/>
      <c r="B3303" s="3"/>
      <c r="C3303" s="3"/>
      <c r="D3303" s="3"/>
      <c r="E3303" s="3"/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</row>
    <row r="3304">
      <c r="A3304" s="3"/>
      <c r="B3304" s="3"/>
      <c r="C3304" s="3"/>
      <c r="D3304" s="3"/>
      <c r="E3304" s="3"/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</row>
    <row r="3305">
      <c r="A3305" s="3"/>
      <c r="B3305" s="3"/>
      <c r="C3305" s="3"/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</row>
    <row r="3306">
      <c r="A3306" s="3"/>
      <c r="B3306" s="3"/>
      <c r="C3306" s="3"/>
      <c r="D3306" s="3"/>
      <c r="E3306" s="3"/>
      <c r="F3306" s="3"/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</row>
    <row r="3307">
      <c r="A3307" s="3"/>
      <c r="B3307" s="3"/>
      <c r="C3307" s="3"/>
      <c r="D3307" s="3"/>
      <c r="E3307" s="3"/>
      <c r="F3307" s="3"/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</row>
    <row r="3308">
      <c r="A3308" s="3"/>
      <c r="B3308" s="3"/>
      <c r="C3308" s="3"/>
      <c r="D3308" s="3"/>
      <c r="E3308" s="3"/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</row>
    <row r="3309">
      <c r="A3309" s="3"/>
      <c r="B3309" s="3"/>
      <c r="C3309" s="3"/>
      <c r="D3309" s="3"/>
      <c r="E3309" s="3"/>
      <c r="F3309" s="3"/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</row>
    <row r="3310">
      <c r="A3310" s="3"/>
      <c r="B3310" s="3"/>
      <c r="C3310" s="3"/>
      <c r="D3310" s="3"/>
      <c r="E3310" s="3"/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</row>
    <row r="3311">
      <c r="A3311" s="3"/>
      <c r="B3311" s="3"/>
      <c r="C3311" s="3"/>
      <c r="D3311" s="3"/>
      <c r="E3311" s="3"/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</row>
    <row r="3312">
      <c r="A3312" s="3"/>
      <c r="B3312" s="3"/>
      <c r="C3312" s="3"/>
      <c r="D3312" s="3"/>
      <c r="E3312" s="3"/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</row>
    <row r="3313">
      <c r="A3313" s="3"/>
      <c r="B3313" s="3"/>
      <c r="C3313" s="3"/>
      <c r="D3313" s="3"/>
      <c r="E3313" s="3"/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</row>
    <row r="3314">
      <c r="A3314" s="3"/>
      <c r="B3314" s="3"/>
      <c r="C3314" s="3"/>
      <c r="D3314" s="3"/>
      <c r="E3314" s="3"/>
      <c r="F3314" s="3"/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</row>
    <row r="3315">
      <c r="A3315" s="3"/>
      <c r="B3315" s="3"/>
      <c r="C3315" s="3"/>
      <c r="D3315" s="3"/>
      <c r="E3315" s="3"/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</row>
    <row r="3316">
      <c r="A3316" s="3"/>
      <c r="B3316" s="3"/>
      <c r="C3316" s="3"/>
      <c r="D3316" s="3"/>
      <c r="E3316" s="3"/>
      <c r="F3316" s="3"/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</row>
    <row r="3317">
      <c r="A3317" s="3"/>
      <c r="B3317" s="3"/>
      <c r="C3317" s="3"/>
      <c r="D3317" s="3"/>
      <c r="E3317" s="3"/>
      <c r="F3317" s="3"/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</row>
    <row r="3318">
      <c r="A3318" s="3"/>
      <c r="B3318" s="3"/>
      <c r="C3318" s="3"/>
      <c r="D3318" s="3"/>
      <c r="E3318" s="3"/>
      <c r="F3318" s="3"/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</row>
    <row r="3319">
      <c r="A3319" s="3"/>
      <c r="B3319" s="3"/>
      <c r="C3319" s="3"/>
      <c r="D3319" s="3"/>
      <c r="E3319" s="3"/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</row>
    <row r="3320">
      <c r="A3320" s="3"/>
      <c r="B3320" s="3"/>
      <c r="C3320" s="3"/>
      <c r="D3320" s="3"/>
      <c r="E3320" s="3"/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</row>
    <row r="3321">
      <c r="A3321" s="3"/>
      <c r="B3321" s="3"/>
      <c r="C3321" s="3"/>
      <c r="D3321" s="3"/>
      <c r="E3321" s="3"/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</row>
    <row r="3322">
      <c r="A3322" s="3"/>
      <c r="B3322" s="3"/>
      <c r="C3322" s="3"/>
      <c r="D3322" s="3"/>
      <c r="E3322" s="3"/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</row>
    <row r="3323">
      <c r="A3323" s="3"/>
      <c r="B3323" s="3"/>
      <c r="C3323" s="3"/>
      <c r="D3323" s="3"/>
      <c r="E3323" s="3"/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</row>
    <row r="3324">
      <c r="A3324" s="3"/>
      <c r="B3324" s="3"/>
      <c r="C3324" s="3"/>
      <c r="D3324" s="3"/>
      <c r="E3324" s="3"/>
      <c r="F3324" s="3"/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</row>
    <row r="3325">
      <c r="A3325" s="3"/>
      <c r="B3325" s="3"/>
      <c r="C3325" s="3"/>
      <c r="D3325" s="3"/>
      <c r="E3325" s="3"/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</row>
    <row r="3326">
      <c r="A3326" s="3"/>
      <c r="B3326" s="3"/>
      <c r="C3326" s="3"/>
      <c r="D3326" s="3"/>
      <c r="E3326" s="3"/>
      <c r="F3326" s="3"/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</row>
    <row r="3327">
      <c r="A3327" s="3"/>
      <c r="B3327" s="3"/>
      <c r="C3327" s="3"/>
      <c r="D3327" s="3"/>
      <c r="E3327" s="3"/>
      <c r="F3327" s="3"/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</row>
    <row r="3328">
      <c r="A3328" s="3"/>
      <c r="B3328" s="3"/>
      <c r="C3328" s="3"/>
      <c r="D3328" s="3"/>
      <c r="E3328" s="3"/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</row>
    <row r="3329">
      <c r="A3329" s="3"/>
      <c r="B3329" s="3"/>
      <c r="C3329" s="3"/>
      <c r="D3329" s="3"/>
      <c r="E3329" s="3"/>
      <c r="F3329" s="3"/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</row>
    <row r="3330">
      <c r="A3330" s="3"/>
      <c r="B3330" s="3"/>
      <c r="C3330" s="3"/>
      <c r="D3330" s="3"/>
      <c r="E3330" s="3"/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</row>
    <row r="3331">
      <c r="A3331" s="3"/>
      <c r="B3331" s="3"/>
      <c r="C3331" s="3"/>
      <c r="D3331" s="3"/>
      <c r="E3331" s="3"/>
      <c r="F3331" s="3"/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</row>
    <row r="3332">
      <c r="A3332" s="3"/>
      <c r="B3332" s="3"/>
      <c r="C3332" s="3"/>
      <c r="D3332" s="3"/>
      <c r="E3332" s="3"/>
      <c r="F3332" s="3"/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</row>
    <row r="3333">
      <c r="A3333" s="3"/>
      <c r="B3333" s="3"/>
      <c r="C3333" s="3"/>
      <c r="D3333" s="3"/>
      <c r="E3333" s="3"/>
      <c r="F3333" s="3"/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</row>
    <row r="3334">
      <c r="A3334" s="3"/>
      <c r="B3334" s="3"/>
      <c r="C3334" s="3"/>
      <c r="D3334" s="3"/>
      <c r="E3334" s="3"/>
      <c r="F3334" s="3"/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</row>
    <row r="3335">
      <c r="A3335" s="3"/>
      <c r="B3335" s="3"/>
      <c r="C3335" s="3"/>
      <c r="D3335" s="3"/>
      <c r="E3335" s="3"/>
      <c r="F3335" s="3"/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</row>
    <row r="3336">
      <c r="A3336" s="3"/>
      <c r="B3336" s="3"/>
      <c r="C3336" s="3"/>
      <c r="D3336" s="3"/>
      <c r="E3336" s="3"/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</row>
    <row r="3337">
      <c r="A3337" s="3"/>
      <c r="B3337" s="3"/>
      <c r="C3337" s="3"/>
      <c r="D3337" s="3"/>
      <c r="E3337" s="3"/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</row>
    <row r="3338">
      <c r="A3338" s="3"/>
      <c r="B3338" s="3"/>
      <c r="C3338" s="3"/>
      <c r="D3338" s="3"/>
      <c r="E3338" s="3"/>
      <c r="F3338" s="3"/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</row>
    <row r="3339">
      <c r="A3339" s="3"/>
      <c r="B3339" s="3"/>
      <c r="C3339" s="3"/>
      <c r="D3339" s="3"/>
      <c r="E3339" s="3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</row>
    <row r="3340">
      <c r="A3340" s="3"/>
      <c r="B3340" s="3"/>
      <c r="C3340" s="3"/>
      <c r="D3340" s="3"/>
      <c r="E3340" s="3"/>
      <c r="F3340" s="3"/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</row>
    <row r="3341">
      <c r="A3341" s="3"/>
      <c r="B3341" s="3"/>
      <c r="C3341" s="3"/>
      <c r="D3341" s="3"/>
      <c r="E3341" s="3"/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</row>
    <row r="3342">
      <c r="A3342" s="3"/>
      <c r="B3342" s="3"/>
      <c r="C3342" s="3"/>
      <c r="D3342" s="3"/>
      <c r="E3342" s="3"/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</row>
    <row r="3343">
      <c r="A3343" s="3"/>
      <c r="B3343" s="3"/>
      <c r="C3343" s="3"/>
      <c r="D3343" s="3"/>
      <c r="E3343" s="3"/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</row>
    <row r="3344">
      <c r="A3344" s="3"/>
      <c r="B3344" s="3"/>
      <c r="C3344" s="3"/>
      <c r="D3344" s="3"/>
      <c r="E3344" s="3"/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</row>
    <row r="3345">
      <c r="A3345" s="3"/>
      <c r="B3345" s="3"/>
      <c r="C3345" s="3"/>
      <c r="D3345" s="3"/>
      <c r="E3345" s="3"/>
      <c r="F3345" s="3"/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</row>
    <row r="3346">
      <c r="A3346" s="3"/>
      <c r="B3346" s="3"/>
      <c r="C3346" s="3"/>
      <c r="D3346" s="3"/>
      <c r="E3346" s="3"/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</row>
    <row r="3347">
      <c r="A3347" s="3"/>
      <c r="B3347" s="3"/>
      <c r="C3347" s="3"/>
      <c r="D3347" s="3"/>
      <c r="E3347" s="3"/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</row>
    <row r="3348">
      <c r="A3348" s="3"/>
      <c r="B3348" s="3"/>
      <c r="C3348" s="3"/>
      <c r="D3348" s="3"/>
      <c r="E3348" s="3"/>
      <c r="F3348" s="3"/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</row>
    <row r="3349">
      <c r="A3349" s="3"/>
      <c r="B3349" s="3"/>
      <c r="C3349" s="3"/>
      <c r="D3349" s="3"/>
      <c r="E3349" s="3"/>
      <c r="F3349" s="3"/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</row>
    <row r="3350">
      <c r="A3350" s="3"/>
      <c r="B3350" s="3"/>
      <c r="C3350" s="3"/>
      <c r="D3350" s="3"/>
      <c r="E3350" s="3"/>
      <c r="F3350" s="3"/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</row>
    <row r="3351">
      <c r="A3351" s="3"/>
      <c r="B3351" s="3"/>
      <c r="C3351" s="3"/>
      <c r="D3351" s="3"/>
      <c r="E3351" s="3"/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</row>
    <row r="3352">
      <c r="A3352" s="3"/>
      <c r="B3352" s="3"/>
      <c r="C3352" s="3"/>
      <c r="D3352" s="3"/>
      <c r="E3352" s="3"/>
      <c r="F3352" s="3"/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</row>
    <row r="3353">
      <c r="A3353" s="3"/>
      <c r="B3353" s="3"/>
      <c r="C3353" s="3"/>
      <c r="D3353" s="3"/>
      <c r="E3353" s="3"/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</row>
    <row r="3354">
      <c r="A3354" s="3"/>
      <c r="B3354" s="3"/>
      <c r="C3354" s="3"/>
      <c r="D3354" s="3"/>
      <c r="E3354" s="3"/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</row>
    <row r="3355">
      <c r="A3355" s="3"/>
      <c r="B3355" s="3"/>
      <c r="C3355" s="3"/>
      <c r="D3355" s="3"/>
      <c r="E3355" s="3"/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</row>
    <row r="3356">
      <c r="A3356" s="3"/>
      <c r="B3356" s="3"/>
      <c r="C3356" s="3"/>
      <c r="D3356" s="3"/>
      <c r="E3356" s="3"/>
      <c r="F3356" s="3"/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</row>
    <row r="3357">
      <c r="A3357" s="3"/>
      <c r="B3357" s="3"/>
      <c r="C3357" s="3"/>
      <c r="D3357" s="3"/>
      <c r="E3357" s="3"/>
      <c r="F3357" s="3"/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</row>
    <row r="3358">
      <c r="A3358" s="3"/>
      <c r="B3358" s="3"/>
      <c r="C3358" s="3"/>
      <c r="D3358" s="3"/>
      <c r="E3358" s="3"/>
      <c r="F3358" s="3"/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</row>
    <row r="3359">
      <c r="A3359" s="3"/>
      <c r="B3359" s="3"/>
      <c r="C3359" s="3"/>
      <c r="D3359" s="3"/>
      <c r="E3359" s="3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</row>
    <row r="3360">
      <c r="A3360" s="3"/>
      <c r="B3360" s="3"/>
      <c r="C3360" s="3"/>
      <c r="D3360" s="3"/>
      <c r="E3360" s="3"/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</row>
    <row r="3361">
      <c r="A3361" s="3"/>
      <c r="B3361" s="3"/>
      <c r="C3361" s="3"/>
      <c r="D3361" s="3"/>
      <c r="E3361" s="3"/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</row>
    <row r="3362">
      <c r="A3362" s="3"/>
      <c r="B3362" s="3"/>
      <c r="C3362" s="3"/>
      <c r="D3362" s="3"/>
      <c r="E3362" s="3"/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</row>
    <row r="3363">
      <c r="A3363" s="3"/>
      <c r="B3363" s="3"/>
      <c r="C3363" s="3"/>
      <c r="D3363" s="3"/>
      <c r="E3363" s="3"/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</row>
    <row r="3364">
      <c r="A3364" s="3"/>
      <c r="B3364" s="3"/>
      <c r="C3364" s="3"/>
      <c r="D3364" s="3"/>
      <c r="E3364" s="3"/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</row>
    <row r="3365">
      <c r="A3365" s="3"/>
      <c r="B3365" s="3"/>
      <c r="C3365" s="3"/>
      <c r="D3365" s="3"/>
      <c r="E3365" s="3"/>
      <c r="F3365" s="3"/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</row>
    <row r="3366">
      <c r="A3366" s="3"/>
      <c r="B3366" s="3"/>
      <c r="C3366" s="3"/>
      <c r="D3366" s="3"/>
      <c r="E3366" s="3"/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</row>
    <row r="3367">
      <c r="A3367" s="3"/>
      <c r="B3367" s="3"/>
      <c r="C3367" s="3"/>
      <c r="D3367" s="3"/>
      <c r="E3367" s="3"/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</row>
    <row r="3368">
      <c r="A3368" s="3"/>
      <c r="B3368" s="3"/>
      <c r="C3368" s="3"/>
      <c r="D3368" s="3"/>
      <c r="E3368" s="3"/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</row>
    <row r="3369">
      <c r="A3369" s="3"/>
      <c r="B3369" s="3"/>
      <c r="C3369" s="3"/>
      <c r="D3369" s="3"/>
      <c r="E3369" s="3"/>
      <c r="F3369" s="3"/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</row>
    <row r="3370">
      <c r="A3370" s="3"/>
      <c r="B3370" s="3"/>
      <c r="C3370" s="3"/>
      <c r="D3370" s="3"/>
      <c r="E3370" s="3"/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</row>
    <row r="3371">
      <c r="A3371" s="3"/>
      <c r="B3371" s="3"/>
      <c r="C3371" s="3"/>
      <c r="D3371" s="3"/>
      <c r="E3371" s="3"/>
      <c r="F3371" s="3"/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</row>
    <row r="3372">
      <c r="A3372" s="3"/>
      <c r="B3372" s="3"/>
      <c r="C3372" s="3"/>
      <c r="D3372" s="3"/>
      <c r="E3372" s="3"/>
      <c r="F3372" s="3"/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</row>
    <row r="3373">
      <c r="A3373" s="3"/>
      <c r="B3373" s="3"/>
      <c r="C3373" s="3"/>
      <c r="D3373" s="3"/>
      <c r="E3373" s="3"/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</row>
    <row r="3374">
      <c r="A3374" s="3"/>
      <c r="B3374" s="3"/>
      <c r="C3374" s="3"/>
      <c r="D3374" s="3"/>
      <c r="E3374" s="3"/>
      <c r="F3374" s="3"/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</row>
    <row r="3375">
      <c r="A3375" s="3"/>
      <c r="B3375" s="3"/>
      <c r="C3375" s="3"/>
      <c r="D3375" s="3"/>
      <c r="E3375" s="3"/>
      <c r="F3375" s="3"/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</row>
    <row r="3376">
      <c r="A3376" s="3"/>
      <c r="B3376" s="3"/>
      <c r="C3376" s="3"/>
      <c r="D3376" s="3"/>
      <c r="E3376" s="3"/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</row>
    <row r="3377">
      <c r="A3377" s="3"/>
      <c r="B3377" s="3"/>
      <c r="C3377" s="3"/>
      <c r="D3377" s="3"/>
      <c r="E3377" s="3"/>
      <c r="F3377" s="3"/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</row>
    <row r="3378">
      <c r="A3378" s="3"/>
      <c r="B3378" s="3"/>
      <c r="C3378" s="3"/>
      <c r="D3378" s="3"/>
      <c r="E3378" s="3"/>
      <c r="F3378" s="3"/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</row>
    <row r="3379">
      <c r="A3379" s="3"/>
      <c r="B3379" s="3"/>
      <c r="C3379" s="3"/>
      <c r="D3379" s="3"/>
      <c r="E3379" s="3"/>
      <c r="F3379" s="3"/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</row>
    <row r="3380">
      <c r="A3380" s="3"/>
      <c r="B3380" s="3"/>
      <c r="C3380" s="3"/>
      <c r="D3380" s="3"/>
      <c r="E3380" s="3"/>
      <c r="F3380" s="3"/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</row>
    <row r="3381">
      <c r="A3381" s="3"/>
      <c r="B3381" s="3"/>
      <c r="C3381" s="3"/>
      <c r="D3381" s="3"/>
      <c r="E3381" s="3"/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</row>
    <row r="3382">
      <c r="A3382" s="3"/>
      <c r="B3382" s="3"/>
      <c r="C3382" s="3"/>
      <c r="D3382" s="3"/>
      <c r="E3382" s="3"/>
      <c r="F3382" s="3"/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</row>
    <row r="3383">
      <c r="A3383" s="3"/>
      <c r="B3383" s="3"/>
      <c r="C3383" s="3"/>
      <c r="D3383" s="3"/>
      <c r="E3383" s="3"/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</row>
    <row r="3384">
      <c r="A3384" s="3"/>
      <c r="B3384" s="3"/>
      <c r="C3384" s="3"/>
      <c r="D3384" s="3"/>
      <c r="E3384" s="3"/>
      <c r="F3384" s="3"/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</row>
    <row r="3385">
      <c r="A3385" s="3"/>
      <c r="B3385" s="3"/>
      <c r="C3385" s="3"/>
      <c r="D3385" s="3"/>
      <c r="E3385" s="3"/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</row>
    <row r="3386">
      <c r="A3386" s="3"/>
      <c r="B3386" s="3"/>
      <c r="C3386" s="3"/>
      <c r="D3386" s="3"/>
      <c r="E3386" s="3"/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</row>
    <row r="3387">
      <c r="A3387" s="3"/>
      <c r="B3387" s="3"/>
      <c r="C3387" s="3"/>
      <c r="D3387" s="3"/>
      <c r="E3387" s="3"/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</row>
    <row r="3388">
      <c r="A3388" s="3"/>
      <c r="B3388" s="3"/>
      <c r="C3388" s="3"/>
      <c r="D3388" s="3"/>
      <c r="E3388" s="3"/>
      <c r="F3388" s="3"/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</row>
    <row r="3389">
      <c r="A3389" s="3"/>
      <c r="B3389" s="3"/>
      <c r="C3389" s="3"/>
      <c r="D3389" s="3"/>
      <c r="E3389" s="3"/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</row>
    <row r="3390">
      <c r="A3390" s="3"/>
      <c r="B3390" s="3"/>
      <c r="C3390" s="3"/>
      <c r="D3390" s="3"/>
      <c r="E3390" s="3"/>
      <c r="F3390" s="3"/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</row>
    <row r="3391">
      <c r="A3391" s="3"/>
      <c r="B3391" s="3"/>
      <c r="C3391" s="3"/>
      <c r="D3391" s="3"/>
      <c r="E3391" s="3"/>
      <c r="F3391" s="3"/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</row>
    <row r="3392">
      <c r="A3392" s="3"/>
      <c r="B3392" s="3"/>
      <c r="C3392" s="3"/>
      <c r="D3392" s="3"/>
      <c r="E3392" s="3"/>
      <c r="F3392" s="3"/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</row>
    <row r="3393">
      <c r="A3393" s="3"/>
      <c r="B3393" s="3"/>
      <c r="C3393" s="3"/>
      <c r="D3393" s="3"/>
      <c r="E3393" s="3"/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</row>
    <row r="3394">
      <c r="A3394" s="3"/>
      <c r="B3394" s="3"/>
      <c r="C3394" s="3"/>
      <c r="D3394" s="3"/>
      <c r="E3394" s="3"/>
      <c r="F3394" s="3"/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</row>
    <row r="3395">
      <c r="A3395" s="3"/>
      <c r="B3395" s="3"/>
      <c r="C3395" s="3"/>
      <c r="D3395" s="3"/>
      <c r="E3395" s="3"/>
      <c r="F3395" s="3"/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</row>
    <row r="3396">
      <c r="A3396" s="3"/>
      <c r="B3396" s="3"/>
      <c r="C3396" s="3"/>
      <c r="D3396" s="3"/>
      <c r="E3396" s="3"/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</row>
    <row r="3397">
      <c r="A3397" s="3"/>
      <c r="B3397" s="3"/>
      <c r="C3397" s="3"/>
      <c r="D3397" s="3"/>
      <c r="E3397" s="3"/>
      <c r="F3397" s="3"/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</row>
    <row r="3398">
      <c r="A3398" s="3"/>
      <c r="B3398" s="3"/>
      <c r="C3398" s="3"/>
      <c r="D3398" s="3"/>
      <c r="E3398" s="3"/>
      <c r="F3398" s="3"/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</row>
    <row r="3399">
      <c r="A3399" s="3"/>
      <c r="B3399" s="3"/>
      <c r="C3399" s="3"/>
      <c r="D3399" s="3"/>
      <c r="E3399" s="3"/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</row>
    <row r="3400">
      <c r="A3400" s="3"/>
      <c r="B3400" s="3"/>
      <c r="C3400" s="3"/>
      <c r="D3400" s="3"/>
      <c r="E3400" s="3"/>
      <c r="F3400" s="3"/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</row>
    <row r="3401">
      <c r="A3401" s="3"/>
      <c r="B3401" s="3"/>
      <c r="C3401" s="3"/>
      <c r="D3401" s="3"/>
      <c r="E3401" s="3"/>
      <c r="F3401" s="3"/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</row>
    <row r="3402">
      <c r="A3402" s="3"/>
      <c r="B3402" s="3"/>
      <c r="C3402" s="3"/>
      <c r="D3402" s="3"/>
      <c r="E3402" s="3"/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</row>
    <row r="3403">
      <c r="A3403" s="3"/>
      <c r="B3403" s="3"/>
      <c r="C3403" s="3"/>
      <c r="D3403" s="3"/>
      <c r="E3403" s="3"/>
      <c r="F3403" s="3"/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</row>
    <row r="3404">
      <c r="A3404" s="3"/>
      <c r="B3404" s="3"/>
      <c r="C3404" s="3"/>
      <c r="D3404" s="3"/>
      <c r="E3404" s="3"/>
      <c r="F3404" s="3"/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</row>
    <row r="3405">
      <c r="A3405" s="3"/>
      <c r="B3405" s="3"/>
      <c r="C3405" s="3"/>
      <c r="D3405" s="3"/>
      <c r="E3405" s="3"/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</row>
    <row r="3406">
      <c r="A3406" s="3"/>
      <c r="B3406" s="3"/>
      <c r="C3406" s="3"/>
      <c r="D3406" s="3"/>
      <c r="E3406" s="3"/>
      <c r="F3406" s="3"/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</row>
    <row r="3407">
      <c r="A3407" s="3"/>
      <c r="B3407" s="3"/>
      <c r="C3407" s="3"/>
      <c r="D3407" s="3"/>
      <c r="E3407" s="3"/>
      <c r="F3407" s="3"/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</row>
    <row r="3408">
      <c r="A3408" s="3"/>
      <c r="B3408" s="3"/>
      <c r="C3408" s="3"/>
      <c r="D3408" s="3"/>
      <c r="E3408" s="3"/>
      <c r="F3408" s="3"/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</row>
    <row r="3409">
      <c r="A3409" s="3"/>
      <c r="B3409" s="3"/>
      <c r="C3409" s="3"/>
      <c r="D3409" s="3"/>
      <c r="E3409" s="3"/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</row>
    <row r="3410">
      <c r="A3410" s="3"/>
      <c r="B3410" s="3"/>
      <c r="C3410" s="3"/>
      <c r="D3410" s="3"/>
      <c r="E3410" s="3"/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</row>
    <row r="3411">
      <c r="A3411" s="3"/>
      <c r="B3411" s="3"/>
      <c r="C3411" s="3"/>
      <c r="D3411" s="3"/>
      <c r="E3411" s="3"/>
      <c r="F3411" s="3"/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</row>
    <row r="3412">
      <c r="A3412" s="3"/>
      <c r="B3412" s="3"/>
      <c r="C3412" s="3"/>
      <c r="D3412" s="3"/>
      <c r="E3412" s="3"/>
      <c r="F3412" s="3"/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</row>
    <row r="3413">
      <c r="A3413" s="3"/>
      <c r="B3413" s="3"/>
      <c r="C3413" s="3"/>
      <c r="D3413" s="3"/>
      <c r="E3413" s="3"/>
      <c r="F3413" s="3"/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</row>
    <row r="3414">
      <c r="A3414" s="3"/>
      <c r="B3414" s="3"/>
      <c r="C3414" s="3"/>
      <c r="D3414" s="3"/>
      <c r="E3414" s="3"/>
      <c r="F3414" s="3"/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</row>
    <row r="3415">
      <c r="A3415" s="3"/>
      <c r="B3415" s="3"/>
      <c r="C3415" s="3"/>
      <c r="D3415" s="3"/>
      <c r="E3415" s="3"/>
      <c r="F3415" s="3"/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</row>
    <row r="3416">
      <c r="A3416" s="3"/>
      <c r="B3416" s="3"/>
      <c r="C3416" s="3"/>
      <c r="D3416" s="3"/>
      <c r="E3416" s="3"/>
      <c r="F3416" s="3"/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</row>
    <row r="3417">
      <c r="A3417" s="3"/>
      <c r="B3417" s="3"/>
      <c r="C3417" s="3"/>
      <c r="D3417" s="3"/>
      <c r="E3417" s="3"/>
      <c r="F3417" s="3"/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</row>
    <row r="3418">
      <c r="A3418" s="3"/>
      <c r="B3418" s="3"/>
      <c r="C3418" s="3"/>
      <c r="D3418" s="3"/>
      <c r="E3418" s="3"/>
      <c r="F3418" s="3"/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</row>
    <row r="3419">
      <c r="A3419" s="3"/>
      <c r="B3419" s="3"/>
      <c r="C3419" s="3"/>
      <c r="D3419" s="3"/>
      <c r="E3419" s="3"/>
      <c r="F3419" s="3"/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</row>
    <row r="3420">
      <c r="A3420" s="3"/>
      <c r="B3420" s="3"/>
      <c r="C3420" s="3"/>
      <c r="D3420" s="3"/>
      <c r="E3420" s="3"/>
      <c r="F3420" s="3"/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</row>
    <row r="3421">
      <c r="A3421" s="3"/>
      <c r="B3421" s="3"/>
      <c r="C3421" s="3"/>
      <c r="D3421" s="3"/>
      <c r="E3421" s="3"/>
      <c r="F3421" s="3"/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</row>
    <row r="3422">
      <c r="A3422" s="3"/>
      <c r="B3422" s="3"/>
      <c r="C3422" s="3"/>
      <c r="D3422" s="3"/>
      <c r="E3422" s="3"/>
      <c r="F3422" s="3"/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</row>
    <row r="3423">
      <c r="A3423" s="3"/>
      <c r="B3423" s="3"/>
      <c r="C3423" s="3"/>
      <c r="D3423" s="3"/>
      <c r="E3423" s="3"/>
      <c r="F3423" s="3"/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</row>
    <row r="3424">
      <c r="A3424" s="3"/>
      <c r="B3424" s="3"/>
      <c r="C3424" s="3"/>
      <c r="D3424" s="3"/>
      <c r="E3424" s="3"/>
      <c r="F3424" s="3"/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</row>
    <row r="3425">
      <c r="A3425" s="3"/>
      <c r="B3425" s="3"/>
      <c r="C3425" s="3"/>
      <c r="D3425" s="3"/>
      <c r="E3425" s="3"/>
      <c r="F3425" s="3"/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</row>
    <row r="3426">
      <c r="A3426" s="3"/>
      <c r="B3426" s="3"/>
      <c r="C3426" s="3"/>
      <c r="D3426" s="3"/>
      <c r="E3426" s="3"/>
      <c r="F3426" s="3"/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</row>
    <row r="3427">
      <c r="A3427" s="3"/>
      <c r="B3427" s="3"/>
      <c r="C3427" s="3"/>
      <c r="D3427" s="3"/>
      <c r="E3427" s="3"/>
      <c r="F3427" s="3"/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</row>
    <row r="3428">
      <c r="A3428" s="3"/>
      <c r="B3428" s="3"/>
      <c r="C3428" s="3"/>
      <c r="D3428" s="3"/>
      <c r="E3428" s="3"/>
      <c r="F3428" s="3"/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</row>
    <row r="3429">
      <c r="A3429" s="3"/>
      <c r="B3429" s="3"/>
      <c r="C3429" s="3"/>
      <c r="D3429" s="3"/>
      <c r="E3429" s="3"/>
      <c r="F3429" s="3"/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</row>
    <row r="3430">
      <c r="A3430" s="3"/>
      <c r="B3430" s="3"/>
      <c r="C3430" s="3"/>
      <c r="D3430" s="3"/>
      <c r="E3430" s="3"/>
      <c r="F3430" s="3"/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</row>
    <row r="3431">
      <c r="A3431" s="3"/>
      <c r="B3431" s="3"/>
      <c r="C3431" s="3"/>
      <c r="D3431" s="3"/>
      <c r="E3431" s="3"/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</row>
    <row r="3432">
      <c r="A3432" s="3"/>
      <c r="B3432" s="3"/>
      <c r="C3432" s="3"/>
      <c r="D3432" s="3"/>
      <c r="E3432" s="3"/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</row>
    <row r="3433">
      <c r="A3433" s="3"/>
      <c r="B3433" s="3"/>
      <c r="C3433" s="3"/>
      <c r="D3433" s="3"/>
      <c r="E3433" s="3"/>
      <c r="F3433" s="3"/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</row>
    <row r="3434">
      <c r="A3434" s="3"/>
      <c r="B3434" s="3"/>
      <c r="C3434" s="3"/>
      <c r="D3434" s="3"/>
      <c r="E3434" s="3"/>
      <c r="F3434" s="3"/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</row>
    <row r="3435">
      <c r="A3435" s="3"/>
      <c r="B3435" s="3"/>
      <c r="C3435" s="3"/>
      <c r="D3435" s="3"/>
      <c r="E3435" s="3"/>
      <c r="F3435" s="3"/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</row>
    <row r="3436">
      <c r="A3436" s="3"/>
      <c r="B3436" s="3"/>
      <c r="C3436" s="3"/>
      <c r="D3436" s="3"/>
      <c r="E3436" s="3"/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</row>
    <row r="3437">
      <c r="A3437" s="3"/>
      <c r="B3437" s="3"/>
      <c r="C3437" s="3"/>
      <c r="D3437" s="3"/>
      <c r="E3437" s="3"/>
      <c r="F3437" s="3"/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</row>
    <row r="3438">
      <c r="A3438" s="3"/>
      <c r="B3438" s="3"/>
      <c r="C3438" s="3"/>
      <c r="D3438" s="3"/>
      <c r="E3438" s="3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</row>
    <row r="3439">
      <c r="A3439" s="3"/>
      <c r="B3439" s="3"/>
      <c r="C3439" s="3"/>
      <c r="D3439" s="3"/>
      <c r="E3439" s="3"/>
      <c r="F3439" s="3"/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</row>
    <row r="3440">
      <c r="A3440" s="3"/>
      <c r="B3440" s="3"/>
      <c r="C3440" s="3"/>
      <c r="D3440" s="3"/>
      <c r="E3440" s="3"/>
      <c r="F3440" s="3"/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</row>
    <row r="3441">
      <c r="A3441" s="3"/>
      <c r="B3441" s="3"/>
      <c r="C3441" s="3"/>
      <c r="D3441" s="3"/>
      <c r="E3441" s="3"/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</row>
    <row r="3442">
      <c r="A3442" s="3"/>
      <c r="B3442" s="3"/>
      <c r="C3442" s="3"/>
      <c r="D3442" s="3"/>
      <c r="E3442" s="3"/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</row>
    <row r="3443">
      <c r="A3443" s="3"/>
      <c r="B3443" s="3"/>
      <c r="C3443" s="3"/>
      <c r="D3443" s="3"/>
      <c r="E3443" s="3"/>
      <c r="F3443" s="3"/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</row>
    <row r="3444">
      <c r="A3444" s="3"/>
      <c r="B3444" s="3"/>
      <c r="C3444" s="3"/>
      <c r="D3444" s="3"/>
      <c r="E3444" s="3"/>
      <c r="F3444" s="3"/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</row>
    <row r="3445">
      <c r="A3445" s="3"/>
      <c r="B3445" s="3"/>
      <c r="C3445" s="3"/>
      <c r="D3445" s="3"/>
      <c r="E3445" s="3"/>
      <c r="F3445" s="3"/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</row>
    <row r="3446">
      <c r="A3446" s="3"/>
      <c r="B3446" s="3"/>
      <c r="C3446" s="3"/>
      <c r="D3446" s="3"/>
      <c r="E3446" s="3"/>
      <c r="F3446" s="3"/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</row>
    <row r="3447">
      <c r="A3447" s="3"/>
      <c r="B3447" s="3"/>
      <c r="C3447" s="3"/>
      <c r="D3447" s="3"/>
      <c r="E3447" s="3"/>
      <c r="F3447" s="3"/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</row>
    <row r="3448">
      <c r="A3448" s="3"/>
      <c r="B3448" s="3"/>
      <c r="C3448" s="3"/>
      <c r="D3448" s="3"/>
      <c r="E3448" s="3"/>
      <c r="F3448" s="3"/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</row>
    <row r="3449">
      <c r="A3449" s="3"/>
      <c r="B3449" s="3"/>
      <c r="C3449" s="3"/>
      <c r="D3449" s="3"/>
      <c r="E3449" s="3"/>
      <c r="F3449" s="3"/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</row>
    <row r="3450">
      <c r="A3450" s="3"/>
      <c r="B3450" s="3"/>
      <c r="C3450" s="3"/>
      <c r="D3450" s="3"/>
      <c r="E3450" s="3"/>
      <c r="F3450" s="3"/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</row>
    <row r="3451">
      <c r="A3451" s="3"/>
      <c r="B3451" s="3"/>
      <c r="C3451" s="3"/>
      <c r="D3451" s="3"/>
      <c r="E3451" s="3"/>
      <c r="F3451" s="3"/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</row>
    <row r="3452">
      <c r="A3452" s="3"/>
      <c r="B3452" s="3"/>
      <c r="C3452" s="3"/>
      <c r="D3452" s="3"/>
      <c r="E3452" s="3"/>
      <c r="F3452" s="3"/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</row>
    <row r="3453">
      <c r="A3453" s="3"/>
      <c r="B3453" s="3"/>
      <c r="C3453" s="3"/>
      <c r="D3453" s="3"/>
      <c r="E3453" s="3"/>
      <c r="F3453" s="3"/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</row>
    <row r="3454">
      <c r="A3454" s="3"/>
      <c r="B3454" s="3"/>
      <c r="C3454" s="3"/>
      <c r="D3454" s="3"/>
      <c r="E3454" s="3"/>
      <c r="F3454" s="3"/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</row>
    <row r="3455">
      <c r="A3455" s="3"/>
      <c r="B3455" s="3"/>
      <c r="C3455" s="3"/>
      <c r="D3455" s="3"/>
      <c r="E3455" s="3"/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</row>
    <row r="3456">
      <c r="A3456" s="3"/>
      <c r="B3456" s="3"/>
      <c r="C3456" s="3"/>
      <c r="D3456" s="3"/>
      <c r="E3456" s="3"/>
      <c r="F3456" s="3"/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</row>
    <row r="3457">
      <c r="A3457" s="3"/>
      <c r="B3457" s="3"/>
      <c r="C3457" s="3"/>
      <c r="D3457" s="3"/>
      <c r="E3457" s="3"/>
      <c r="F3457" s="3"/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</row>
    <row r="3458">
      <c r="A3458" s="3"/>
      <c r="B3458" s="3"/>
      <c r="C3458" s="3"/>
      <c r="D3458" s="3"/>
      <c r="E3458" s="3"/>
      <c r="F3458" s="3"/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</row>
    <row r="3459">
      <c r="A3459" s="3"/>
      <c r="B3459" s="3"/>
      <c r="C3459" s="3"/>
      <c r="D3459" s="3"/>
      <c r="E3459" s="3"/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</row>
    <row r="3460">
      <c r="A3460" s="3"/>
      <c r="B3460" s="3"/>
      <c r="C3460" s="3"/>
      <c r="D3460" s="3"/>
      <c r="E3460" s="3"/>
      <c r="F3460" s="3"/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</row>
    <row r="3461">
      <c r="A3461" s="3"/>
      <c r="B3461" s="3"/>
      <c r="C3461" s="3"/>
      <c r="D3461" s="3"/>
      <c r="E3461" s="3"/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</row>
    <row r="3462">
      <c r="A3462" s="3"/>
      <c r="B3462" s="3"/>
      <c r="C3462" s="3"/>
      <c r="D3462" s="3"/>
      <c r="E3462" s="3"/>
      <c r="F3462" s="3"/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</row>
    <row r="3463">
      <c r="A3463" s="3"/>
      <c r="B3463" s="3"/>
      <c r="C3463" s="3"/>
      <c r="D3463" s="3"/>
      <c r="E3463" s="3"/>
      <c r="F3463" s="3"/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</row>
    <row r="3464">
      <c r="A3464" s="3"/>
      <c r="B3464" s="3"/>
      <c r="C3464" s="3"/>
      <c r="D3464" s="3"/>
      <c r="E3464" s="3"/>
      <c r="F3464" s="3"/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</row>
    <row r="3465">
      <c r="A3465" s="3"/>
      <c r="B3465" s="3"/>
      <c r="C3465" s="3"/>
      <c r="D3465" s="3"/>
      <c r="E3465" s="3"/>
      <c r="F3465" s="3"/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</row>
    <row r="3466">
      <c r="A3466" s="3"/>
      <c r="B3466" s="3"/>
      <c r="C3466" s="3"/>
      <c r="D3466" s="3"/>
      <c r="E3466" s="3"/>
      <c r="F3466" s="3"/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</row>
    <row r="3467">
      <c r="A3467" s="3"/>
      <c r="B3467" s="3"/>
      <c r="C3467" s="3"/>
      <c r="D3467" s="3"/>
      <c r="E3467" s="3"/>
      <c r="F3467" s="3"/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</row>
    <row r="3468">
      <c r="A3468" s="3"/>
      <c r="B3468" s="3"/>
      <c r="C3468" s="3"/>
      <c r="D3468" s="3"/>
      <c r="E3468" s="3"/>
      <c r="F3468" s="3"/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</row>
    <row r="3469">
      <c r="A3469" s="3"/>
      <c r="B3469" s="3"/>
      <c r="C3469" s="3"/>
      <c r="D3469" s="3"/>
      <c r="E3469" s="3"/>
      <c r="F3469" s="3"/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</row>
    <row r="3470">
      <c r="A3470" s="3"/>
      <c r="B3470" s="3"/>
      <c r="C3470" s="3"/>
      <c r="D3470" s="3"/>
      <c r="E3470" s="3"/>
      <c r="F3470" s="3"/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</row>
    <row r="3471">
      <c r="A3471" s="3"/>
      <c r="B3471" s="3"/>
      <c r="C3471" s="3"/>
      <c r="D3471" s="3"/>
      <c r="E3471" s="3"/>
      <c r="F3471" s="3"/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</row>
    <row r="3472">
      <c r="A3472" s="3"/>
      <c r="B3472" s="3"/>
      <c r="C3472" s="3"/>
      <c r="D3472" s="3"/>
      <c r="E3472" s="3"/>
      <c r="F3472" s="3"/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</row>
    <row r="3473">
      <c r="A3473" s="3"/>
      <c r="B3473" s="3"/>
      <c r="C3473" s="3"/>
      <c r="D3473" s="3"/>
      <c r="E3473" s="3"/>
      <c r="F3473" s="3"/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</row>
    <row r="3474">
      <c r="A3474" s="3"/>
      <c r="B3474" s="3"/>
      <c r="C3474" s="3"/>
      <c r="D3474" s="3"/>
      <c r="E3474" s="3"/>
      <c r="F3474" s="3"/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</row>
    <row r="3475">
      <c r="A3475" s="3"/>
      <c r="B3475" s="3"/>
      <c r="C3475" s="3"/>
      <c r="D3475" s="3"/>
      <c r="E3475" s="3"/>
      <c r="F3475" s="3"/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</row>
    <row r="3476">
      <c r="A3476" s="3"/>
      <c r="B3476" s="3"/>
      <c r="C3476" s="3"/>
      <c r="D3476" s="3"/>
      <c r="E3476" s="3"/>
      <c r="F3476" s="3"/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</row>
    <row r="3477">
      <c r="A3477" s="3"/>
      <c r="B3477" s="3"/>
      <c r="C3477" s="3"/>
      <c r="D3477" s="3"/>
      <c r="E3477" s="3"/>
      <c r="F3477" s="3"/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</row>
    <row r="3478">
      <c r="A3478" s="3"/>
      <c r="B3478" s="3"/>
      <c r="C3478" s="3"/>
      <c r="D3478" s="3"/>
      <c r="E3478" s="3"/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</row>
    <row r="3479">
      <c r="A3479" s="3"/>
      <c r="B3479" s="3"/>
      <c r="C3479" s="3"/>
      <c r="D3479" s="3"/>
      <c r="E3479" s="3"/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</row>
    <row r="3480">
      <c r="A3480" s="3"/>
      <c r="B3480" s="3"/>
      <c r="C3480" s="3"/>
      <c r="D3480" s="3"/>
      <c r="E3480" s="3"/>
      <c r="F3480" s="3"/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</row>
    <row r="3481">
      <c r="A3481" s="3"/>
      <c r="B3481" s="3"/>
      <c r="C3481" s="3"/>
      <c r="D3481" s="3"/>
      <c r="E3481" s="3"/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</row>
    <row r="3482">
      <c r="A3482" s="3"/>
      <c r="B3482" s="3"/>
      <c r="C3482" s="3"/>
      <c r="D3482" s="3"/>
      <c r="E3482" s="3"/>
      <c r="F3482" s="3"/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</row>
    <row r="3483">
      <c r="A3483" s="3"/>
      <c r="B3483" s="3"/>
      <c r="C3483" s="3"/>
      <c r="D3483" s="3"/>
      <c r="E3483" s="3"/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</row>
    <row r="3484">
      <c r="A3484" s="3"/>
      <c r="B3484" s="3"/>
      <c r="C3484" s="3"/>
      <c r="D3484" s="3"/>
      <c r="E3484" s="3"/>
      <c r="F3484" s="3"/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</row>
    <row r="3485">
      <c r="A3485" s="3"/>
      <c r="B3485" s="3"/>
      <c r="C3485" s="3"/>
      <c r="D3485" s="3"/>
      <c r="E3485" s="3"/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</row>
    <row r="3486">
      <c r="A3486" s="3"/>
      <c r="B3486" s="3"/>
      <c r="C3486" s="3"/>
      <c r="D3486" s="3"/>
      <c r="E3486" s="3"/>
      <c r="F3486" s="3"/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</row>
    <row r="3487">
      <c r="A3487" s="3"/>
      <c r="B3487" s="3"/>
      <c r="C3487" s="3"/>
      <c r="D3487" s="3"/>
      <c r="E3487" s="3"/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</row>
    <row r="3488">
      <c r="A3488" s="3"/>
      <c r="B3488" s="3"/>
      <c r="C3488" s="3"/>
      <c r="D3488" s="3"/>
      <c r="E3488" s="3"/>
      <c r="F3488" s="3"/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</row>
    <row r="3489">
      <c r="A3489" s="3"/>
      <c r="B3489" s="3"/>
      <c r="C3489" s="3"/>
      <c r="D3489" s="3"/>
      <c r="E3489" s="3"/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</row>
    <row r="3490">
      <c r="A3490" s="3"/>
      <c r="B3490" s="3"/>
      <c r="C3490" s="3"/>
      <c r="D3490" s="3"/>
      <c r="E3490" s="3"/>
      <c r="F3490" s="3"/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</row>
    <row r="3491">
      <c r="A3491" s="3"/>
      <c r="B3491" s="3"/>
      <c r="C3491" s="3"/>
      <c r="D3491" s="3"/>
      <c r="E3491" s="3"/>
      <c r="F3491" s="3"/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</row>
    <row r="3492">
      <c r="A3492" s="3"/>
      <c r="B3492" s="3"/>
      <c r="C3492" s="3"/>
      <c r="D3492" s="3"/>
      <c r="E3492" s="3"/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</row>
    <row r="3493">
      <c r="A3493" s="3"/>
      <c r="B3493" s="3"/>
      <c r="C3493" s="3"/>
      <c r="D3493" s="3"/>
      <c r="E3493" s="3"/>
      <c r="F3493" s="3"/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</row>
    <row r="3494">
      <c r="A3494" s="3"/>
      <c r="B3494" s="3"/>
      <c r="C3494" s="3"/>
      <c r="D3494" s="3"/>
      <c r="E3494" s="3"/>
      <c r="F3494" s="3"/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</row>
    <row r="3495">
      <c r="A3495" s="3"/>
      <c r="B3495" s="3"/>
      <c r="C3495" s="3"/>
      <c r="D3495" s="3"/>
      <c r="E3495" s="3"/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</row>
    <row r="3496">
      <c r="A3496" s="3"/>
      <c r="B3496" s="3"/>
      <c r="C3496" s="3"/>
      <c r="D3496" s="3"/>
      <c r="E3496" s="3"/>
      <c r="F3496" s="3"/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</row>
    <row r="3497">
      <c r="A3497" s="3"/>
      <c r="B3497" s="3"/>
      <c r="C3497" s="3"/>
      <c r="D3497" s="3"/>
      <c r="E3497" s="3"/>
      <c r="F3497" s="3"/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</row>
    <row r="3498">
      <c r="A3498" s="3"/>
      <c r="B3498" s="3"/>
      <c r="C3498" s="3"/>
      <c r="D3498" s="3"/>
      <c r="E3498" s="3"/>
      <c r="F3498" s="3"/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</row>
    <row r="3499">
      <c r="A3499" s="3"/>
      <c r="B3499" s="3"/>
      <c r="C3499" s="3"/>
      <c r="D3499" s="3"/>
      <c r="E3499" s="3"/>
      <c r="F3499" s="3"/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</row>
    <row r="3500">
      <c r="A3500" s="3"/>
      <c r="B3500" s="3"/>
      <c r="C3500" s="3"/>
      <c r="D3500" s="3"/>
      <c r="E3500" s="3"/>
      <c r="F3500" s="3"/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</row>
    <row r="3501">
      <c r="A3501" s="3"/>
      <c r="B3501" s="3"/>
      <c r="C3501" s="3"/>
      <c r="D3501" s="3"/>
      <c r="E3501" s="3"/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</row>
    <row r="3502">
      <c r="A3502" s="3"/>
      <c r="B3502" s="3"/>
      <c r="C3502" s="3"/>
      <c r="D3502" s="3"/>
      <c r="E3502" s="3"/>
      <c r="F3502" s="3"/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</row>
    <row r="3503">
      <c r="A3503" s="3"/>
      <c r="B3503" s="3"/>
      <c r="C3503" s="3"/>
      <c r="D3503" s="3"/>
      <c r="E3503" s="3"/>
      <c r="F3503" s="3"/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</row>
    <row r="3504">
      <c r="A3504" s="3"/>
      <c r="B3504" s="3"/>
      <c r="C3504" s="3"/>
      <c r="D3504" s="3"/>
      <c r="E3504" s="3"/>
      <c r="F3504" s="3"/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</row>
    <row r="3505">
      <c r="A3505" s="3"/>
      <c r="B3505" s="3"/>
      <c r="C3505" s="3"/>
      <c r="D3505" s="3"/>
      <c r="E3505" s="3"/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</row>
    <row r="3506">
      <c r="A3506" s="3"/>
      <c r="B3506" s="3"/>
      <c r="C3506" s="3"/>
      <c r="D3506" s="3"/>
      <c r="E3506" s="3"/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</row>
    <row r="3507">
      <c r="A3507" s="3"/>
      <c r="B3507" s="3"/>
      <c r="C3507" s="3"/>
      <c r="D3507" s="3"/>
      <c r="E3507" s="3"/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</row>
    <row r="3508">
      <c r="A3508" s="3"/>
      <c r="B3508" s="3"/>
      <c r="C3508" s="3"/>
      <c r="D3508" s="3"/>
      <c r="E3508" s="3"/>
      <c r="F3508" s="3"/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</row>
    <row r="3509">
      <c r="A3509" s="3"/>
      <c r="B3509" s="3"/>
      <c r="C3509" s="3"/>
      <c r="D3509" s="3"/>
      <c r="E3509" s="3"/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</row>
    <row r="3510">
      <c r="A3510" s="3"/>
      <c r="B3510" s="3"/>
      <c r="C3510" s="3"/>
      <c r="D3510" s="3"/>
      <c r="E3510" s="3"/>
      <c r="F3510" s="3"/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</row>
    <row r="3511">
      <c r="A3511" s="3"/>
      <c r="B3511" s="3"/>
      <c r="C3511" s="3"/>
      <c r="D3511" s="3"/>
      <c r="E3511" s="3"/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</row>
    <row r="3512">
      <c r="A3512" s="3"/>
      <c r="B3512" s="3"/>
      <c r="C3512" s="3"/>
      <c r="D3512" s="3"/>
      <c r="E3512" s="3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</row>
    <row r="3513">
      <c r="A3513" s="3"/>
      <c r="B3513" s="3"/>
      <c r="C3513" s="3"/>
      <c r="D3513" s="3"/>
      <c r="E3513" s="3"/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</row>
    <row r="3514">
      <c r="A3514" s="3"/>
      <c r="B3514" s="3"/>
      <c r="C3514" s="3"/>
      <c r="D3514" s="3"/>
      <c r="E3514" s="3"/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</row>
    <row r="3515">
      <c r="A3515" s="3"/>
      <c r="B3515" s="3"/>
      <c r="C3515" s="3"/>
      <c r="D3515" s="3"/>
      <c r="E3515" s="3"/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</row>
    <row r="3516">
      <c r="A3516" s="3"/>
      <c r="B3516" s="3"/>
      <c r="C3516" s="3"/>
      <c r="D3516" s="3"/>
      <c r="E3516" s="3"/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</row>
    <row r="3517">
      <c r="A3517" s="3"/>
      <c r="B3517" s="3"/>
      <c r="C3517" s="3"/>
      <c r="D3517" s="3"/>
      <c r="E3517" s="3"/>
      <c r="F3517" s="3"/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</row>
    <row r="3518">
      <c r="A3518" s="3"/>
      <c r="B3518" s="3"/>
      <c r="C3518" s="3"/>
      <c r="D3518" s="3"/>
      <c r="E3518" s="3"/>
      <c r="F3518" s="3"/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</row>
    <row r="3519">
      <c r="A3519" s="3"/>
      <c r="B3519" s="3"/>
      <c r="C3519" s="3"/>
      <c r="D3519" s="3"/>
      <c r="E3519" s="3"/>
      <c r="F3519" s="3"/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</row>
    <row r="3520">
      <c r="A3520" s="3"/>
      <c r="B3520" s="3"/>
      <c r="C3520" s="3"/>
      <c r="D3520" s="3"/>
      <c r="E3520" s="3"/>
      <c r="F3520" s="3"/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</row>
    <row r="3521">
      <c r="A3521" s="3"/>
      <c r="B3521" s="3"/>
      <c r="C3521" s="3"/>
      <c r="D3521" s="3"/>
      <c r="E3521" s="3"/>
      <c r="F3521" s="3"/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</row>
    <row r="3522">
      <c r="A3522" s="3"/>
      <c r="B3522" s="3"/>
      <c r="C3522" s="3"/>
      <c r="D3522" s="3"/>
      <c r="E3522" s="3"/>
      <c r="F3522" s="3"/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</row>
    <row r="3523">
      <c r="A3523" s="3"/>
      <c r="B3523" s="3"/>
      <c r="C3523" s="3"/>
      <c r="D3523" s="3"/>
      <c r="E3523" s="3"/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</row>
    <row r="3524">
      <c r="A3524" s="3"/>
      <c r="B3524" s="3"/>
      <c r="C3524" s="3"/>
      <c r="D3524" s="3"/>
      <c r="E3524" s="3"/>
      <c r="F3524" s="3"/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</row>
    <row r="3525">
      <c r="A3525" s="3"/>
      <c r="B3525" s="3"/>
      <c r="C3525" s="3"/>
      <c r="D3525" s="3"/>
      <c r="E3525" s="3"/>
      <c r="F3525" s="3"/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</row>
    <row r="3526">
      <c r="A3526" s="3"/>
      <c r="B3526" s="3"/>
      <c r="C3526" s="3"/>
      <c r="D3526" s="3"/>
      <c r="E3526" s="3"/>
      <c r="F3526" s="3"/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</row>
    <row r="3527">
      <c r="A3527" s="3"/>
      <c r="B3527" s="3"/>
      <c r="C3527" s="3"/>
      <c r="D3527" s="3"/>
      <c r="E3527" s="3"/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</row>
    <row r="3528">
      <c r="A3528" s="3"/>
      <c r="B3528" s="3"/>
      <c r="C3528" s="3"/>
      <c r="D3528" s="3"/>
      <c r="E3528" s="3"/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</row>
    <row r="3529">
      <c r="A3529" s="3"/>
      <c r="B3529" s="3"/>
      <c r="C3529" s="3"/>
      <c r="D3529" s="3"/>
      <c r="E3529" s="3"/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</row>
    <row r="3530">
      <c r="A3530" s="3"/>
      <c r="B3530" s="3"/>
      <c r="C3530" s="3"/>
      <c r="D3530" s="3"/>
      <c r="E3530" s="3"/>
      <c r="F3530" s="3"/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</row>
    <row r="3531">
      <c r="A3531" s="3"/>
      <c r="B3531" s="3"/>
      <c r="C3531" s="3"/>
      <c r="D3531" s="3"/>
      <c r="E3531" s="3"/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</row>
    <row r="3532">
      <c r="A3532" s="3"/>
      <c r="B3532" s="3"/>
      <c r="C3532" s="3"/>
      <c r="D3532" s="3"/>
      <c r="E3532" s="3"/>
      <c r="F3532" s="3"/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</row>
    <row r="3533">
      <c r="A3533" s="3"/>
      <c r="B3533" s="3"/>
      <c r="C3533" s="3"/>
      <c r="D3533" s="3"/>
      <c r="E3533" s="3"/>
      <c r="F3533" s="3"/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</row>
    <row r="3534">
      <c r="A3534" s="3"/>
      <c r="B3534" s="3"/>
      <c r="C3534" s="3"/>
      <c r="D3534" s="3"/>
      <c r="E3534" s="3"/>
      <c r="F3534" s="3"/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</row>
    <row r="3535">
      <c r="A3535" s="3"/>
      <c r="B3535" s="3"/>
      <c r="C3535" s="3"/>
      <c r="D3535" s="3"/>
      <c r="E3535" s="3"/>
      <c r="F3535" s="3"/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</row>
    <row r="3536">
      <c r="A3536" s="3"/>
      <c r="B3536" s="3"/>
      <c r="C3536" s="3"/>
      <c r="D3536" s="3"/>
      <c r="E3536" s="3"/>
      <c r="F3536" s="3"/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</row>
    <row r="3537">
      <c r="A3537" s="3"/>
      <c r="B3537" s="3"/>
      <c r="C3537" s="3"/>
      <c r="D3537" s="3"/>
      <c r="E3537" s="3"/>
      <c r="F3537" s="3"/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</row>
    <row r="3538">
      <c r="A3538" s="3"/>
      <c r="B3538" s="3"/>
      <c r="C3538" s="3"/>
      <c r="D3538" s="3"/>
      <c r="E3538" s="3"/>
      <c r="F3538" s="3"/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</row>
    <row r="3539">
      <c r="A3539" s="3"/>
      <c r="B3539" s="3"/>
      <c r="C3539" s="3"/>
      <c r="D3539" s="3"/>
      <c r="E3539" s="3"/>
      <c r="F3539" s="3"/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</row>
    <row r="3540">
      <c r="A3540" s="3"/>
      <c r="B3540" s="3"/>
      <c r="C3540" s="3"/>
      <c r="D3540" s="3"/>
      <c r="E3540" s="3"/>
      <c r="F3540" s="3"/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</row>
    <row r="3541">
      <c r="A3541" s="3"/>
      <c r="B3541" s="3"/>
      <c r="C3541" s="3"/>
      <c r="D3541" s="3"/>
      <c r="E3541" s="3"/>
      <c r="F3541" s="3"/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</row>
    <row r="3542">
      <c r="A3542" s="3"/>
      <c r="B3542" s="3"/>
      <c r="C3542" s="3"/>
      <c r="D3542" s="3"/>
      <c r="E3542" s="3"/>
      <c r="F3542" s="3"/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</row>
    <row r="3543">
      <c r="A3543" s="3"/>
      <c r="B3543" s="3"/>
      <c r="C3543" s="3"/>
      <c r="D3543" s="3"/>
      <c r="E3543" s="3"/>
      <c r="F3543" s="3"/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</row>
    <row r="3544">
      <c r="A3544" s="3"/>
      <c r="B3544" s="3"/>
      <c r="C3544" s="3"/>
      <c r="D3544" s="3"/>
      <c r="E3544" s="3"/>
      <c r="F3544" s="3"/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</row>
    <row r="3545">
      <c r="A3545" s="3"/>
      <c r="B3545" s="3"/>
      <c r="C3545" s="3"/>
      <c r="D3545" s="3"/>
      <c r="E3545" s="3"/>
      <c r="F3545" s="3"/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</row>
    <row r="3546">
      <c r="A3546" s="3"/>
      <c r="B3546" s="3"/>
      <c r="C3546" s="3"/>
      <c r="D3546" s="3"/>
      <c r="E3546" s="3"/>
      <c r="F3546" s="3"/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</row>
    <row r="3547">
      <c r="A3547" s="3"/>
      <c r="B3547" s="3"/>
      <c r="C3547" s="3"/>
      <c r="D3547" s="3"/>
      <c r="E3547" s="3"/>
      <c r="F3547" s="3"/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</row>
    <row r="3548">
      <c r="A3548" s="3"/>
      <c r="B3548" s="3"/>
      <c r="C3548" s="3"/>
      <c r="D3548" s="3"/>
      <c r="E3548" s="3"/>
      <c r="F3548" s="3"/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</row>
    <row r="3549">
      <c r="A3549" s="3"/>
      <c r="B3549" s="3"/>
      <c r="C3549" s="3"/>
      <c r="D3549" s="3"/>
      <c r="E3549" s="3"/>
      <c r="F3549" s="3"/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</row>
    <row r="3550">
      <c r="A3550" s="3"/>
      <c r="B3550" s="3"/>
      <c r="C3550" s="3"/>
      <c r="D3550" s="3"/>
      <c r="E3550" s="3"/>
      <c r="F3550" s="3"/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</row>
    <row r="3551">
      <c r="A3551" s="3"/>
      <c r="B3551" s="3"/>
      <c r="C3551" s="3"/>
      <c r="D3551" s="3"/>
      <c r="E3551" s="3"/>
      <c r="F3551" s="3"/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</row>
    <row r="3552">
      <c r="A3552" s="3"/>
      <c r="B3552" s="3"/>
      <c r="C3552" s="3"/>
      <c r="D3552" s="3"/>
      <c r="E3552" s="3"/>
      <c r="F3552" s="3"/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</row>
    <row r="3553">
      <c r="A3553" s="3"/>
      <c r="B3553" s="3"/>
      <c r="C3553" s="3"/>
      <c r="D3553" s="3"/>
      <c r="E3553" s="3"/>
      <c r="F3553" s="3"/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</row>
    <row r="3554">
      <c r="A3554" s="3"/>
      <c r="B3554" s="3"/>
      <c r="C3554" s="3"/>
      <c r="D3554" s="3"/>
      <c r="E3554" s="3"/>
      <c r="F3554" s="3"/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</row>
    <row r="3555">
      <c r="A3555" s="3"/>
      <c r="B3555" s="3"/>
      <c r="C3555" s="3"/>
      <c r="D3555" s="3"/>
      <c r="E3555" s="3"/>
      <c r="F3555" s="3"/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</row>
    <row r="3556">
      <c r="A3556" s="3"/>
      <c r="B3556" s="3"/>
      <c r="C3556" s="3"/>
      <c r="D3556" s="3"/>
      <c r="E3556" s="3"/>
      <c r="F3556" s="3"/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</row>
    <row r="3557">
      <c r="A3557" s="3"/>
      <c r="B3557" s="3"/>
      <c r="C3557" s="3"/>
      <c r="D3557" s="3"/>
      <c r="E3557" s="3"/>
      <c r="F3557" s="3"/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</row>
    <row r="3558">
      <c r="A3558" s="3"/>
      <c r="B3558" s="3"/>
      <c r="C3558" s="3"/>
      <c r="D3558" s="3"/>
      <c r="E3558" s="3"/>
      <c r="F3558" s="3"/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</row>
    <row r="3559">
      <c r="A3559" s="3"/>
      <c r="B3559" s="3"/>
      <c r="C3559" s="3"/>
      <c r="D3559" s="3"/>
      <c r="E3559" s="3"/>
      <c r="F3559" s="3"/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</row>
    <row r="3560">
      <c r="A3560" s="3"/>
      <c r="B3560" s="3"/>
      <c r="C3560" s="3"/>
      <c r="D3560" s="3"/>
      <c r="E3560" s="3"/>
      <c r="F3560" s="3"/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</row>
    <row r="3561">
      <c r="A3561" s="3"/>
      <c r="B3561" s="3"/>
      <c r="C3561" s="3"/>
      <c r="D3561" s="3"/>
      <c r="E3561" s="3"/>
      <c r="F3561" s="3"/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</row>
    <row r="3562">
      <c r="A3562" s="3"/>
      <c r="B3562" s="3"/>
      <c r="C3562" s="3"/>
      <c r="D3562" s="3"/>
      <c r="E3562" s="3"/>
      <c r="F3562" s="3"/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</row>
    <row r="3563">
      <c r="A3563" s="3"/>
      <c r="B3563" s="3"/>
      <c r="C3563" s="3"/>
      <c r="D3563" s="3"/>
      <c r="E3563" s="3"/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</row>
    <row r="3564">
      <c r="A3564" s="3"/>
      <c r="B3564" s="3"/>
      <c r="C3564" s="3"/>
      <c r="D3564" s="3"/>
      <c r="E3564" s="3"/>
      <c r="F3564" s="3"/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</row>
    <row r="3565">
      <c r="A3565" s="3"/>
      <c r="B3565" s="3"/>
      <c r="C3565" s="3"/>
      <c r="D3565" s="3"/>
      <c r="E3565" s="3"/>
      <c r="F3565" s="3"/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</row>
    <row r="3566">
      <c r="A3566" s="3"/>
      <c r="B3566" s="3"/>
      <c r="C3566" s="3"/>
      <c r="D3566" s="3"/>
      <c r="E3566" s="3"/>
      <c r="F3566" s="3"/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</row>
    <row r="3567">
      <c r="A3567" s="3"/>
      <c r="B3567" s="3"/>
      <c r="C3567" s="3"/>
      <c r="D3567" s="3"/>
      <c r="E3567" s="3"/>
      <c r="F3567" s="3"/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</row>
    <row r="3568">
      <c r="A3568" s="3"/>
      <c r="B3568" s="3"/>
      <c r="C3568" s="3"/>
      <c r="D3568" s="3"/>
      <c r="E3568" s="3"/>
      <c r="F3568" s="3"/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</row>
    <row r="3569">
      <c r="A3569" s="3"/>
      <c r="B3569" s="3"/>
      <c r="C3569" s="3"/>
      <c r="D3569" s="3"/>
      <c r="E3569" s="3"/>
      <c r="F3569" s="3"/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</row>
    <row r="3570">
      <c r="A3570" s="3"/>
      <c r="B3570" s="3"/>
      <c r="C3570" s="3"/>
      <c r="D3570" s="3"/>
      <c r="E3570" s="3"/>
      <c r="F3570" s="3"/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</row>
    <row r="3571">
      <c r="A3571" s="3"/>
      <c r="B3571" s="3"/>
      <c r="C3571" s="3"/>
      <c r="D3571" s="3"/>
      <c r="E3571" s="3"/>
      <c r="F3571" s="3"/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</row>
    <row r="3572">
      <c r="A3572" s="3"/>
      <c r="B3572" s="3"/>
      <c r="C3572" s="3"/>
      <c r="D3572" s="3"/>
      <c r="E3572" s="3"/>
      <c r="F3572" s="3"/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</row>
    <row r="3573">
      <c r="A3573" s="3"/>
      <c r="B3573" s="3"/>
      <c r="C3573" s="3"/>
      <c r="D3573" s="3"/>
      <c r="E3573" s="3"/>
      <c r="F3573" s="3"/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</row>
    <row r="3574">
      <c r="A3574" s="3"/>
      <c r="B3574" s="3"/>
      <c r="C3574" s="3"/>
      <c r="D3574" s="3"/>
      <c r="E3574" s="3"/>
      <c r="F3574" s="3"/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</row>
    <row r="3575">
      <c r="A3575" s="3"/>
      <c r="B3575" s="3"/>
      <c r="C3575" s="3"/>
      <c r="D3575" s="3"/>
      <c r="E3575" s="3"/>
      <c r="F3575" s="3"/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</row>
    <row r="3576">
      <c r="A3576" s="3"/>
      <c r="B3576" s="3"/>
      <c r="C3576" s="3"/>
      <c r="D3576" s="3"/>
      <c r="E3576" s="3"/>
      <c r="F3576" s="3"/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</row>
    <row r="3577">
      <c r="A3577" s="3"/>
      <c r="B3577" s="3"/>
      <c r="C3577" s="3"/>
      <c r="D3577" s="3"/>
      <c r="E3577" s="3"/>
      <c r="F3577" s="3"/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</row>
    <row r="3578">
      <c r="A3578" s="3"/>
      <c r="B3578" s="3"/>
      <c r="C3578" s="3"/>
      <c r="D3578" s="3"/>
      <c r="E3578" s="3"/>
      <c r="F3578" s="3"/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</row>
    <row r="3579">
      <c r="A3579" s="3"/>
      <c r="B3579" s="3"/>
      <c r="C3579" s="3"/>
      <c r="D3579" s="3"/>
      <c r="E3579" s="3"/>
      <c r="F3579" s="3"/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</row>
    <row r="3580">
      <c r="A3580" s="3"/>
      <c r="B3580" s="3"/>
      <c r="C3580" s="3"/>
      <c r="D3580" s="3"/>
      <c r="E3580" s="3"/>
      <c r="F3580" s="3"/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</row>
    <row r="3581">
      <c r="A3581" s="3"/>
      <c r="B3581" s="3"/>
      <c r="C3581" s="3"/>
      <c r="D3581" s="3"/>
      <c r="E3581" s="3"/>
      <c r="F3581" s="3"/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</row>
    <row r="3582">
      <c r="A3582" s="3"/>
      <c r="B3582" s="3"/>
      <c r="C3582" s="3"/>
      <c r="D3582" s="3"/>
      <c r="E3582" s="3"/>
      <c r="F3582" s="3"/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</row>
    <row r="3583">
      <c r="A3583" s="3"/>
      <c r="B3583" s="3"/>
      <c r="C3583" s="3"/>
      <c r="D3583" s="3"/>
      <c r="E3583" s="3"/>
      <c r="F3583" s="3"/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</row>
    <row r="3584">
      <c r="A3584" s="3"/>
      <c r="B3584" s="3"/>
      <c r="C3584" s="3"/>
      <c r="D3584" s="3"/>
      <c r="E3584" s="3"/>
      <c r="F3584" s="3"/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</row>
    <row r="3585">
      <c r="A3585" s="3"/>
      <c r="B3585" s="3"/>
      <c r="C3585" s="3"/>
      <c r="D3585" s="3"/>
      <c r="E3585" s="3"/>
      <c r="F3585" s="3"/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</row>
    <row r="3586">
      <c r="A3586" s="3"/>
      <c r="B3586" s="3"/>
      <c r="C3586" s="3"/>
      <c r="D3586" s="3"/>
      <c r="E3586" s="3"/>
      <c r="F3586" s="3"/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</row>
    <row r="3587">
      <c r="A3587" s="3"/>
      <c r="B3587" s="3"/>
      <c r="C3587" s="3"/>
      <c r="D3587" s="3"/>
      <c r="E3587" s="3"/>
      <c r="F3587" s="3"/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</row>
    <row r="3588">
      <c r="A3588" s="3"/>
      <c r="B3588" s="3"/>
      <c r="C3588" s="3"/>
      <c r="D3588" s="3"/>
      <c r="E3588" s="3"/>
      <c r="F3588" s="3"/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</row>
    <row r="3589">
      <c r="A3589" s="3"/>
      <c r="B3589" s="3"/>
      <c r="C3589" s="3"/>
      <c r="D3589" s="3"/>
      <c r="E3589" s="3"/>
      <c r="F3589" s="3"/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</row>
    <row r="3590">
      <c r="A3590" s="3"/>
      <c r="B3590" s="3"/>
      <c r="C3590" s="3"/>
      <c r="D3590" s="3"/>
      <c r="E3590" s="3"/>
      <c r="F3590" s="3"/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</row>
    <row r="3591">
      <c r="A3591" s="3"/>
      <c r="B3591" s="3"/>
      <c r="C3591" s="3"/>
      <c r="D3591" s="3"/>
      <c r="E3591" s="3"/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</row>
    <row r="3592">
      <c r="A3592" s="3"/>
      <c r="B3592" s="3"/>
      <c r="C3592" s="3"/>
      <c r="D3592" s="3"/>
      <c r="E3592" s="3"/>
      <c r="F3592" s="3"/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</row>
    <row r="3593">
      <c r="A3593" s="3"/>
      <c r="B3593" s="3"/>
      <c r="C3593" s="3"/>
      <c r="D3593" s="3"/>
      <c r="E3593" s="3"/>
      <c r="F3593" s="3"/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</row>
    <row r="3594">
      <c r="A3594" s="3"/>
      <c r="B3594" s="3"/>
      <c r="C3594" s="3"/>
      <c r="D3594" s="3"/>
      <c r="E3594" s="3"/>
      <c r="F3594" s="3"/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</row>
    <row r="3595">
      <c r="A3595" s="3"/>
      <c r="B3595" s="3"/>
      <c r="C3595" s="3"/>
      <c r="D3595" s="3"/>
      <c r="E3595" s="3"/>
      <c r="F3595" s="3"/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</row>
    <row r="3596">
      <c r="A3596" s="3"/>
      <c r="B3596" s="3"/>
      <c r="C3596" s="3"/>
      <c r="D3596" s="3"/>
      <c r="E3596" s="3"/>
      <c r="F3596" s="3"/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</row>
    <row r="3597">
      <c r="A3597" s="3"/>
      <c r="B3597" s="3"/>
      <c r="C3597" s="3"/>
      <c r="D3597" s="3"/>
      <c r="E3597" s="3"/>
      <c r="F3597" s="3"/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</row>
    <row r="3598">
      <c r="A3598" s="3"/>
      <c r="B3598" s="3"/>
      <c r="C3598" s="3"/>
      <c r="D3598" s="3"/>
      <c r="E3598" s="3"/>
      <c r="F3598" s="3"/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</row>
    <row r="3599">
      <c r="A3599" s="3"/>
      <c r="B3599" s="3"/>
      <c r="C3599" s="3"/>
      <c r="D3599" s="3"/>
      <c r="E3599" s="3"/>
      <c r="F3599" s="3"/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</row>
    <row r="3600">
      <c r="A3600" s="3"/>
      <c r="B3600" s="3"/>
      <c r="C3600" s="3"/>
      <c r="D3600" s="3"/>
      <c r="E3600" s="3"/>
      <c r="F3600" s="3"/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</row>
    <row r="3601">
      <c r="A3601" s="3"/>
      <c r="B3601" s="3"/>
      <c r="C3601" s="3"/>
      <c r="D3601" s="3"/>
      <c r="E3601" s="3"/>
      <c r="F3601" s="3"/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</row>
    <row r="3602">
      <c r="A3602" s="3"/>
      <c r="B3602" s="3"/>
      <c r="C3602" s="3"/>
      <c r="D3602" s="3"/>
      <c r="E3602" s="3"/>
      <c r="F3602" s="3"/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</row>
    <row r="3603">
      <c r="A3603" s="3"/>
      <c r="B3603" s="3"/>
      <c r="C3603" s="3"/>
      <c r="D3603" s="3"/>
      <c r="E3603" s="3"/>
      <c r="F3603" s="3"/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</row>
    <row r="3604">
      <c r="A3604" s="3"/>
      <c r="B3604" s="3"/>
      <c r="C3604" s="3"/>
      <c r="D3604" s="3"/>
      <c r="E3604" s="3"/>
      <c r="F3604" s="3"/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</row>
    <row r="3605">
      <c r="A3605" s="3"/>
      <c r="B3605" s="3"/>
      <c r="C3605" s="3"/>
      <c r="D3605" s="3"/>
      <c r="E3605" s="3"/>
      <c r="F3605" s="3"/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</row>
    <row r="3606">
      <c r="A3606" s="3"/>
      <c r="B3606" s="3"/>
      <c r="C3606" s="3"/>
      <c r="D3606" s="3"/>
      <c r="E3606" s="3"/>
      <c r="F3606" s="3"/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</row>
    <row r="3607">
      <c r="A3607" s="3"/>
      <c r="B3607" s="3"/>
      <c r="C3607" s="3"/>
      <c r="D3607" s="3"/>
      <c r="E3607" s="3"/>
      <c r="F3607" s="3"/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</row>
    <row r="3608">
      <c r="A3608" s="3"/>
      <c r="B3608" s="3"/>
      <c r="C3608" s="3"/>
      <c r="D3608" s="3"/>
      <c r="E3608" s="3"/>
      <c r="F3608" s="3"/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</row>
    <row r="3609">
      <c r="A3609" s="3"/>
      <c r="B3609" s="3"/>
      <c r="C3609" s="3"/>
      <c r="D3609" s="3"/>
      <c r="E3609" s="3"/>
      <c r="F3609" s="3"/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</row>
    <row r="3610">
      <c r="A3610" s="3"/>
      <c r="B3610" s="3"/>
      <c r="C3610" s="3"/>
      <c r="D3610" s="3"/>
      <c r="E3610" s="3"/>
      <c r="F3610" s="3"/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</row>
    <row r="3611">
      <c r="A3611" s="3"/>
      <c r="B3611" s="3"/>
      <c r="C3611" s="3"/>
      <c r="D3611" s="3"/>
      <c r="E3611" s="3"/>
      <c r="F3611" s="3"/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</row>
    <row r="3612">
      <c r="A3612" s="3"/>
      <c r="B3612" s="3"/>
      <c r="C3612" s="3"/>
      <c r="D3612" s="3"/>
      <c r="E3612" s="3"/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</row>
    <row r="3613">
      <c r="A3613" s="3"/>
      <c r="B3613" s="3"/>
      <c r="C3613" s="3"/>
      <c r="D3613" s="3"/>
      <c r="E3613" s="3"/>
      <c r="F3613" s="3"/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</row>
    <row r="3614">
      <c r="A3614" s="3"/>
      <c r="B3614" s="3"/>
      <c r="C3614" s="3"/>
      <c r="D3614" s="3"/>
      <c r="E3614" s="3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</row>
    <row r="3615">
      <c r="A3615" s="3"/>
      <c r="B3615" s="3"/>
      <c r="C3615" s="3"/>
      <c r="D3615" s="3"/>
      <c r="E3615" s="3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</row>
    <row r="3616">
      <c r="A3616" s="3"/>
      <c r="B3616" s="3"/>
      <c r="C3616" s="3"/>
      <c r="D3616" s="3"/>
      <c r="E3616" s="3"/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</row>
    <row r="3617">
      <c r="A3617" s="3"/>
      <c r="B3617" s="3"/>
      <c r="C3617" s="3"/>
      <c r="D3617" s="3"/>
      <c r="E3617" s="3"/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</row>
    <row r="3618">
      <c r="A3618" s="3"/>
      <c r="B3618" s="3"/>
      <c r="C3618" s="3"/>
      <c r="D3618" s="3"/>
      <c r="E3618" s="3"/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</row>
    <row r="3619">
      <c r="A3619" s="3"/>
      <c r="B3619" s="3"/>
      <c r="C3619" s="3"/>
      <c r="D3619" s="3"/>
      <c r="E3619" s="3"/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</row>
    <row r="3620">
      <c r="A3620" s="3"/>
      <c r="B3620" s="3"/>
      <c r="C3620" s="3"/>
      <c r="D3620" s="3"/>
      <c r="E3620" s="3"/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</row>
    <row r="3621">
      <c r="A3621" s="3"/>
      <c r="B3621" s="3"/>
      <c r="C3621" s="3"/>
      <c r="D3621" s="3"/>
      <c r="E3621" s="3"/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</row>
    <row r="3622">
      <c r="A3622" s="3"/>
      <c r="B3622" s="3"/>
      <c r="C3622" s="3"/>
      <c r="D3622" s="3"/>
      <c r="E3622" s="3"/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</row>
    <row r="3623">
      <c r="A3623" s="3"/>
      <c r="B3623" s="3"/>
      <c r="C3623" s="3"/>
      <c r="D3623" s="3"/>
      <c r="E3623" s="3"/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</row>
    <row r="3624">
      <c r="A3624" s="3"/>
      <c r="B3624" s="3"/>
      <c r="C3624" s="3"/>
      <c r="D3624" s="3"/>
      <c r="E3624" s="3"/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</row>
    <row r="3625">
      <c r="A3625" s="3"/>
      <c r="B3625" s="3"/>
      <c r="C3625" s="3"/>
      <c r="D3625" s="3"/>
      <c r="E3625" s="3"/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</row>
    <row r="3626">
      <c r="A3626" s="3"/>
      <c r="B3626" s="3"/>
      <c r="C3626" s="3"/>
      <c r="D3626" s="3"/>
      <c r="E3626" s="3"/>
      <c r="F3626" s="3"/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</row>
    <row r="3627">
      <c r="A3627" s="3"/>
      <c r="B3627" s="3"/>
      <c r="C3627" s="3"/>
      <c r="D3627" s="3"/>
      <c r="E3627" s="3"/>
      <c r="F3627" s="3"/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</row>
    <row r="3628">
      <c r="A3628" s="3"/>
      <c r="B3628" s="3"/>
      <c r="C3628" s="3"/>
      <c r="D3628" s="3"/>
      <c r="E3628" s="3"/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</row>
    <row r="3629">
      <c r="A3629" s="3"/>
      <c r="B3629" s="3"/>
      <c r="C3629" s="3"/>
      <c r="D3629" s="3"/>
      <c r="E3629" s="3"/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</row>
    <row r="3630">
      <c r="A3630" s="3"/>
      <c r="B3630" s="3"/>
      <c r="C3630" s="3"/>
      <c r="D3630" s="3"/>
      <c r="E3630" s="3"/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</row>
    <row r="3631">
      <c r="A3631" s="3"/>
      <c r="B3631" s="3"/>
      <c r="C3631" s="3"/>
      <c r="D3631" s="3"/>
      <c r="E3631" s="3"/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</row>
    <row r="3632">
      <c r="A3632" s="3"/>
      <c r="B3632" s="3"/>
      <c r="C3632" s="3"/>
      <c r="D3632" s="3"/>
      <c r="E3632" s="3"/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</row>
    <row r="3633">
      <c r="A3633" s="3"/>
      <c r="B3633" s="3"/>
      <c r="C3633" s="3"/>
      <c r="D3633" s="3"/>
      <c r="E3633" s="3"/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</row>
    <row r="3634">
      <c r="A3634" s="3"/>
      <c r="B3634" s="3"/>
      <c r="C3634" s="3"/>
      <c r="D3634" s="3"/>
      <c r="E3634" s="3"/>
      <c r="F3634" s="3"/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</row>
    <row r="3635">
      <c r="A3635" s="3"/>
      <c r="B3635" s="3"/>
      <c r="C3635" s="3"/>
      <c r="D3635" s="3"/>
      <c r="E3635" s="3"/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</row>
    <row r="3636">
      <c r="A3636" s="3"/>
      <c r="B3636" s="3"/>
      <c r="C3636" s="3"/>
      <c r="D3636" s="3"/>
      <c r="E3636" s="3"/>
      <c r="F3636" s="3"/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</row>
    <row r="3637">
      <c r="A3637" s="3"/>
      <c r="B3637" s="3"/>
      <c r="C3637" s="3"/>
      <c r="D3637" s="3"/>
      <c r="E3637" s="3"/>
      <c r="F3637" s="3"/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</row>
    <row r="3638">
      <c r="A3638" s="3"/>
      <c r="B3638" s="3"/>
      <c r="C3638" s="3"/>
      <c r="D3638" s="3"/>
      <c r="E3638" s="3"/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</row>
    <row r="3639">
      <c r="A3639" s="3"/>
      <c r="B3639" s="3"/>
      <c r="C3639" s="3"/>
      <c r="D3639" s="3"/>
      <c r="E3639" s="3"/>
      <c r="F3639" s="3"/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</row>
    <row r="3640">
      <c r="A3640" s="3"/>
      <c r="B3640" s="3"/>
      <c r="C3640" s="3"/>
      <c r="D3640" s="3"/>
      <c r="E3640" s="3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</row>
    <row r="3641">
      <c r="A3641" s="3"/>
      <c r="B3641" s="3"/>
      <c r="C3641" s="3"/>
      <c r="D3641" s="3"/>
      <c r="E3641" s="3"/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</row>
    <row r="3642">
      <c r="A3642" s="3"/>
      <c r="B3642" s="3"/>
      <c r="C3642" s="3"/>
      <c r="D3642" s="3"/>
      <c r="E3642" s="3"/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</row>
    <row r="3643">
      <c r="A3643" s="3"/>
      <c r="B3643" s="3"/>
      <c r="C3643" s="3"/>
      <c r="D3643" s="3"/>
      <c r="E3643" s="3"/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</row>
    <row r="3644">
      <c r="A3644" s="3"/>
      <c r="B3644" s="3"/>
      <c r="C3644" s="3"/>
      <c r="D3644" s="3"/>
      <c r="E3644" s="3"/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</row>
    <row r="3645">
      <c r="A3645" s="3"/>
      <c r="B3645" s="3"/>
      <c r="C3645" s="3"/>
      <c r="D3645" s="3"/>
      <c r="E3645" s="3"/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</row>
    <row r="3646">
      <c r="A3646" s="3"/>
      <c r="B3646" s="3"/>
      <c r="C3646" s="3"/>
      <c r="D3646" s="3"/>
      <c r="E3646" s="3"/>
      <c r="F3646" s="3"/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</row>
    <row r="3647">
      <c r="A3647" s="3"/>
      <c r="B3647" s="3"/>
      <c r="C3647" s="3"/>
      <c r="D3647" s="3"/>
      <c r="E3647" s="3"/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</row>
    <row r="3648">
      <c r="A3648" s="3"/>
      <c r="B3648" s="3"/>
      <c r="C3648" s="3"/>
      <c r="D3648" s="3"/>
      <c r="E3648" s="3"/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</row>
    <row r="3649">
      <c r="A3649" s="3"/>
      <c r="B3649" s="3"/>
      <c r="C3649" s="3"/>
      <c r="D3649" s="3"/>
      <c r="E3649" s="3"/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</row>
    <row r="3650">
      <c r="A3650" s="3"/>
      <c r="B3650" s="3"/>
      <c r="C3650" s="3"/>
      <c r="D3650" s="3"/>
      <c r="E3650" s="3"/>
      <c r="F3650" s="3"/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</row>
    <row r="3651">
      <c r="A3651" s="3"/>
      <c r="B3651" s="3"/>
      <c r="C3651" s="3"/>
      <c r="D3651" s="3"/>
      <c r="E3651" s="3"/>
      <c r="F3651" s="3"/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</row>
    <row r="3652">
      <c r="A3652" s="3"/>
      <c r="B3652" s="3"/>
      <c r="C3652" s="3"/>
      <c r="D3652" s="3"/>
      <c r="E3652" s="3"/>
      <c r="F3652" s="3"/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</row>
    <row r="3653">
      <c r="A3653" s="3"/>
      <c r="B3653" s="3"/>
      <c r="C3653" s="3"/>
      <c r="D3653" s="3"/>
      <c r="E3653" s="3"/>
      <c r="F3653" s="3"/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</row>
    <row r="3654">
      <c r="A3654" s="3"/>
      <c r="B3654" s="3"/>
      <c r="C3654" s="3"/>
      <c r="D3654" s="3"/>
      <c r="E3654" s="3"/>
      <c r="F3654" s="3"/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</row>
    <row r="3655">
      <c r="A3655" s="3"/>
      <c r="B3655" s="3"/>
      <c r="C3655" s="3"/>
      <c r="D3655" s="3"/>
      <c r="E3655" s="3"/>
      <c r="F3655" s="3"/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</row>
    <row r="3656">
      <c r="A3656" s="3"/>
      <c r="B3656" s="3"/>
      <c r="C3656" s="3"/>
      <c r="D3656" s="3"/>
      <c r="E3656" s="3"/>
      <c r="F3656" s="3"/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</row>
    <row r="3657">
      <c r="A3657" s="3"/>
      <c r="B3657" s="3"/>
      <c r="C3657" s="3"/>
      <c r="D3657" s="3"/>
      <c r="E3657" s="3"/>
      <c r="F3657" s="3"/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</row>
    <row r="3658">
      <c r="A3658" s="3"/>
      <c r="B3658" s="3"/>
      <c r="C3658" s="3"/>
      <c r="D3658" s="3"/>
      <c r="E3658" s="3"/>
      <c r="F3658" s="3"/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</row>
    <row r="3659">
      <c r="A3659" s="3"/>
      <c r="B3659" s="3"/>
      <c r="C3659" s="3"/>
      <c r="D3659" s="3"/>
      <c r="E3659" s="3"/>
      <c r="F3659" s="3"/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</row>
    <row r="3660">
      <c r="A3660" s="3"/>
      <c r="B3660" s="3"/>
      <c r="C3660" s="3"/>
      <c r="D3660" s="3"/>
      <c r="E3660" s="3"/>
      <c r="F3660" s="3"/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</row>
    <row r="3661">
      <c r="A3661" s="3"/>
      <c r="B3661" s="3"/>
      <c r="C3661" s="3"/>
      <c r="D3661" s="3"/>
      <c r="E3661" s="3"/>
      <c r="F3661" s="3"/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</row>
    <row r="3662">
      <c r="A3662" s="3"/>
      <c r="B3662" s="3"/>
      <c r="C3662" s="3"/>
      <c r="D3662" s="3"/>
      <c r="E3662" s="3"/>
      <c r="F3662" s="3"/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</row>
    <row r="3663">
      <c r="A3663" s="3"/>
      <c r="B3663" s="3"/>
      <c r="C3663" s="3"/>
      <c r="D3663" s="3"/>
      <c r="E3663" s="3"/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</row>
    <row r="3664">
      <c r="A3664" s="3"/>
      <c r="B3664" s="3"/>
      <c r="C3664" s="3"/>
      <c r="D3664" s="3"/>
      <c r="E3664" s="3"/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</row>
    <row r="3665">
      <c r="A3665" s="3"/>
      <c r="B3665" s="3"/>
      <c r="C3665" s="3"/>
      <c r="D3665" s="3"/>
      <c r="E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</row>
    <row r="3666">
      <c r="A3666" s="3"/>
      <c r="B3666" s="3"/>
      <c r="C3666" s="3"/>
      <c r="D3666" s="3"/>
      <c r="E3666" s="3"/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</row>
    <row r="3667">
      <c r="A3667" s="3"/>
      <c r="B3667" s="3"/>
      <c r="C3667" s="3"/>
      <c r="D3667" s="3"/>
      <c r="E3667" s="3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</row>
    <row r="3668">
      <c r="A3668" s="3"/>
      <c r="B3668" s="3"/>
      <c r="C3668" s="3"/>
      <c r="D3668" s="3"/>
      <c r="E3668" s="3"/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</row>
    <row r="3669">
      <c r="A3669" s="3"/>
      <c r="B3669" s="3"/>
      <c r="C3669" s="3"/>
      <c r="D3669" s="3"/>
      <c r="E3669" s="3"/>
      <c r="F3669" s="3"/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</row>
    <row r="3670">
      <c r="A3670" s="3"/>
      <c r="B3670" s="3"/>
      <c r="C3670" s="3"/>
      <c r="D3670" s="3"/>
      <c r="E3670" s="3"/>
      <c r="F3670" s="3"/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</row>
    <row r="3671">
      <c r="A3671" s="3"/>
      <c r="B3671" s="3"/>
      <c r="C3671" s="3"/>
      <c r="D3671" s="3"/>
      <c r="E3671" s="3"/>
      <c r="F3671" s="3"/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</row>
    <row r="3672">
      <c r="A3672" s="3"/>
      <c r="B3672" s="3"/>
      <c r="C3672" s="3"/>
      <c r="D3672" s="3"/>
      <c r="E3672" s="3"/>
      <c r="F3672" s="3"/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</row>
    <row r="3673">
      <c r="A3673" s="3"/>
      <c r="B3673" s="3"/>
      <c r="C3673" s="3"/>
      <c r="D3673" s="3"/>
      <c r="E3673" s="3"/>
      <c r="F3673" s="3"/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</row>
    <row r="3674">
      <c r="A3674" s="3"/>
      <c r="B3674" s="3"/>
      <c r="C3674" s="3"/>
      <c r="D3674" s="3"/>
      <c r="E3674" s="3"/>
      <c r="F3674" s="3"/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</row>
    <row r="3675">
      <c r="A3675" s="3"/>
      <c r="B3675" s="3"/>
      <c r="C3675" s="3"/>
      <c r="D3675" s="3"/>
      <c r="E3675" s="3"/>
      <c r="F3675" s="3"/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</row>
    <row r="3676">
      <c r="A3676" s="3"/>
      <c r="B3676" s="3"/>
      <c r="C3676" s="3"/>
      <c r="D3676" s="3"/>
      <c r="E3676" s="3"/>
      <c r="F3676" s="3"/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</row>
    <row r="3677">
      <c r="A3677" s="3"/>
      <c r="B3677" s="3"/>
      <c r="C3677" s="3"/>
      <c r="D3677" s="3"/>
      <c r="E3677" s="3"/>
      <c r="F3677" s="3"/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</row>
    <row r="3678">
      <c r="A3678" s="3"/>
      <c r="B3678" s="3"/>
      <c r="C3678" s="3"/>
      <c r="D3678" s="3"/>
      <c r="E3678" s="3"/>
      <c r="F3678" s="3"/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</row>
    <row r="3679">
      <c r="A3679" s="3"/>
      <c r="B3679" s="3"/>
      <c r="C3679" s="3"/>
      <c r="D3679" s="3"/>
      <c r="E3679" s="3"/>
      <c r="F3679" s="3"/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</row>
    <row r="3680">
      <c r="A3680" s="3"/>
      <c r="B3680" s="3"/>
      <c r="C3680" s="3"/>
      <c r="D3680" s="3"/>
      <c r="E3680" s="3"/>
      <c r="F3680" s="3"/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</row>
    <row r="3681">
      <c r="A3681" s="3"/>
      <c r="B3681" s="3"/>
      <c r="C3681" s="3"/>
      <c r="D3681" s="3"/>
      <c r="E3681" s="3"/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</row>
    <row r="3682">
      <c r="A3682" s="3"/>
      <c r="B3682" s="3"/>
      <c r="C3682" s="3"/>
      <c r="D3682" s="3"/>
      <c r="E3682" s="3"/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</row>
    <row r="3683">
      <c r="A3683" s="3"/>
      <c r="B3683" s="3"/>
      <c r="C3683" s="3"/>
      <c r="D3683" s="3"/>
      <c r="E3683" s="3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</row>
    <row r="3684">
      <c r="A3684" s="3"/>
      <c r="B3684" s="3"/>
      <c r="C3684" s="3"/>
      <c r="D3684" s="3"/>
      <c r="E3684" s="3"/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</row>
    <row r="3685">
      <c r="A3685" s="3"/>
      <c r="B3685" s="3"/>
      <c r="C3685" s="3"/>
      <c r="D3685" s="3"/>
      <c r="E3685" s="3"/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</row>
    <row r="3686">
      <c r="A3686" s="3"/>
      <c r="B3686" s="3"/>
      <c r="C3686" s="3"/>
      <c r="D3686" s="3"/>
      <c r="E3686" s="3"/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</row>
    <row r="3687">
      <c r="A3687" s="3"/>
      <c r="B3687" s="3"/>
      <c r="C3687" s="3"/>
      <c r="D3687" s="3"/>
      <c r="E3687" s="3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</row>
    <row r="3688">
      <c r="A3688" s="3"/>
      <c r="B3688" s="3"/>
      <c r="C3688" s="3"/>
      <c r="D3688" s="3"/>
      <c r="E3688" s="3"/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</row>
    <row r="3689">
      <c r="A3689" s="3"/>
      <c r="B3689" s="3"/>
      <c r="C3689" s="3"/>
      <c r="D3689" s="3"/>
      <c r="E3689" s="3"/>
      <c r="F3689" s="3"/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</row>
    <row r="3690">
      <c r="A3690" s="3"/>
      <c r="B3690" s="3"/>
      <c r="C3690" s="3"/>
      <c r="D3690" s="3"/>
      <c r="E3690" s="3"/>
      <c r="F3690" s="3"/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</row>
    <row r="3691">
      <c r="A3691" s="3"/>
      <c r="B3691" s="3"/>
      <c r="C3691" s="3"/>
      <c r="D3691" s="3"/>
      <c r="E3691" s="3"/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</row>
    <row r="3692">
      <c r="A3692" s="3"/>
      <c r="B3692" s="3"/>
      <c r="C3692" s="3"/>
      <c r="D3692" s="3"/>
      <c r="E3692" s="3"/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</row>
    <row r="3693">
      <c r="A3693" s="3"/>
      <c r="B3693" s="3"/>
      <c r="C3693" s="3"/>
      <c r="D3693" s="3"/>
      <c r="E3693" s="3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</row>
    <row r="3694">
      <c r="A3694" s="3"/>
      <c r="B3694" s="3"/>
      <c r="C3694" s="3"/>
      <c r="D3694" s="3"/>
      <c r="E3694" s="3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</row>
    <row r="3695">
      <c r="A3695" s="3"/>
      <c r="B3695" s="3"/>
      <c r="C3695" s="3"/>
      <c r="D3695" s="3"/>
      <c r="E3695" s="3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</row>
    <row r="3696">
      <c r="A3696" s="3"/>
      <c r="B3696" s="3"/>
      <c r="C3696" s="3"/>
      <c r="D3696" s="3"/>
      <c r="E3696" s="3"/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</row>
    <row r="3697">
      <c r="A3697" s="3"/>
      <c r="B3697" s="3"/>
      <c r="C3697" s="3"/>
      <c r="D3697" s="3"/>
      <c r="E3697" s="3"/>
      <c r="F3697" s="3"/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</row>
    <row r="3698">
      <c r="A3698" s="3"/>
      <c r="B3698" s="3"/>
      <c r="C3698" s="3"/>
      <c r="D3698" s="3"/>
      <c r="E3698" s="3"/>
      <c r="F3698" s="3"/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</row>
    <row r="3699">
      <c r="A3699" s="3"/>
      <c r="B3699" s="3"/>
      <c r="C3699" s="3"/>
      <c r="D3699" s="3"/>
      <c r="E3699" s="3"/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</row>
    <row r="3700">
      <c r="A3700" s="3"/>
      <c r="B3700" s="3"/>
      <c r="C3700" s="3"/>
      <c r="D3700" s="3"/>
      <c r="E3700" s="3"/>
      <c r="F3700" s="3"/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</row>
    <row r="3701">
      <c r="A3701" s="3"/>
      <c r="B3701" s="3"/>
      <c r="C3701" s="3"/>
      <c r="D3701" s="3"/>
      <c r="E3701" s="3"/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</row>
    <row r="3702">
      <c r="A3702" s="3"/>
      <c r="B3702" s="3"/>
      <c r="C3702" s="3"/>
      <c r="D3702" s="3"/>
      <c r="E3702" s="3"/>
      <c r="F3702" s="3"/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</row>
    <row r="3703">
      <c r="A3703" s="3"/>
      <c r="B3703" s="3"/>
      <c r="C3703" s="3"/>
      <c r="D3703" s="3"/>
      <c r="E3703" s="3"/>
      <c r="F3703" s="3"/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</row>
    <row r="3704">
      <c r="A3704" s="3"/>
      <c r="B3704" s="3"/>
      <c r="C3704" s="3"/>
      <c r="D3704" s="3"/>
      <c r="E3704" s="3"/>
      <c r="F3704" s="3"/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</row>
    <row r="3705">
      <c r="A3705" s="3"/>
      <c r="B3705" s="3"/>
      <c r="C3705" s="3"/>
      <c r="D3705" s="3"/>
      <c r="E3705" s="3"/>
      <c r="F3705" s="3"/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</row>
    <row r="3706">
      <c r="A3706" s="3"/>
      <c r="B3706" s="3"/>
      <c r="C3706" s="3"/>
      <c r="D3706" s="3"/>
      <c r="E3706" s="3"/>
      <c r="F3706" s="3"/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</row>
    <row r="3707">
      <c r="A3707" s="3"/>
      <c r="B3707" s="3"/>
      <c r="C3707" s="3"/>
      <c r="D3707" s="3"/>
      <c r="E3707" s="3"/>
      <c r="F3707" s="3"/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</row>
    <row r="3708">
      <c r="A3708" s="3"/>
      <c r="B3708" s="3"/>
      <c r="C3708" s="3"/>
      <c r="D3708" s="3"/>
      <c r="E3708" s="3"/>
      <c r="F3708" s="3"/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</row>
    <row r="3709">
      <c r="A3709" s="3"/>
      <c r="B3709" s="3"/>
      <c r="C3709" s="3"/>
      <c r="D3709" s="3"/>
      <c r="E3709" s="3"/>
      <c r="F3709" s="3"/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</row>
    <row r="3710">
      <c r="A3710" s="3"/>
      <c r="B3710" s="3"/>
      <c r="C3710" s="3"/>
      <c r="D3710" s="3"/>
      <c r="E3710" s="3"/>
      <c r="F3710" s="3"/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</row>
    <row r="3711">
      <c r="A3711" s="3"/>
      <c r="B3711" s="3"/>
      <c r="C3711" s="3"/>
      <c r="D3711" s="3"/>
      <c r="E3711" s="3"/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</row>
    <row r="3712">
      <c r="A3712" s="3"/>
      <c r="B3712" s="3"/>
      <c r="C3712" s="3"/>
      <c r="D3712" s="3"/>
      <c r="E3712" s="3"/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</row>
    <row r="3713">
      <c r="A3713" s="3"/>
      <c r="B3713" s="3"/>
      <c r="C3713" s="3"/>
      <c r="D3713" s="3"/>
      <c r="E3713" s="3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</row>
    <row r="3714">
      <c r="A3714" s="3"/>
      <c r="B3714" s="3"/>
      <c r="C3714" s="3"/>
      <c r="D3714" s="3"/>
      <c r="E3714" s="3"/>
      <c r="F3714" s="3"/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</row>
    <row r="3715">
      <c r="A3715" s="3"/>
      <c r="B3715" s="3"/>
      <c r="C3715" s="3"/>
      <c r="D3715" s="3"/>
      <c r="E3715" s="3"/>
      <c r="F3715" s="3"/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</row>
    <row r="3716">
      <c r="A3716" s="3"/>
      <c r="B3716" s="3"/>
      <c r="C3716" s="3"/>
      <c r="D3716" s="3"/>
      <c r="E3716" s="3"/>
      <c r="F3716" s="3"/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</row>
    <row r="3717">
      <c r="A3717" s="3"/>
      <c r="B3717" s="3"/>
      <c r="C3717" s="3"/>
      <c r="D3717" s="3"/>
      <c r="E3717" s="3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</row>
    <row r="3718">
      <c r="A3718" s="3"/>
      <c r="B3718" s="3"/>
      <c r="C3718" s="3"/>
      <c r="D3718" s="3"/>
      <c r="E3718" s="3"/>
      <c r="F3718" s="3"/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</row>
    <row r="3719">
      <c r="A3719" s="3"/>
      <c r="B3719" s="3"/>
      <c r="C3719" s="3"/>
      <c r="D3719" s="3"/>
      <c r="E3719" s="3"/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</row>
    <row r="3720">
      <c r="A3720" s="3"/>
      <c r="B3720" s="3"/>
      <c r="C3720" s="3"/>
      <c r="D3720" s="3"/>
      <c r="E3720" s="3"/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</row>
    <row r="3721">
      <c r="A3721" s="3"/>
      <c r="B3721" s="3"/>
      <c r="C3721" s="3"/>
      <c r="D3721" s="3"/>
      <c r="E3721" s="3"/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</row>
    <row r="3722">
      <c r="A3722" s="3"/>
      <c r="B3722" s="3"/>
      <c r="C3722" s="3"/>
      <c r="D3722" s="3"/>
      <c r="E3722" s="3"/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</row>
    <row r="3723">
      <c r="A3723" s="3"/>
      <c r="B3723" s="3"/>
      <c r="C3723" s="3"/>
      <c r="D3723" s="3"/>
      <c r="E3723" s="3"/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</row>
    <row r="3724">
      <c r="A3724" s="3"/>
      <c r="B3724" s="3"/>
      <c r="C3724" s="3"/>
      <c r="D3724" s="3"/>
      <c r="E3724" s="3"/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</row>
    <row r="3725">
      <c r="A3725" s="3"/>
      <c r="B3725" s="3"/>
      <c r="C3725" s="3"/>
      <c r="D3725" s="3"/>
      <c r="E3725" s="3"/>
      <c r="F3725" s="3"/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</row>
    <row r="3726">
      <c r="A3726" s="3"/>
      <c r="B3726" s="3"/>
      <c r="C3726" s="3"/>
      <c r="D3726" s="3"/>
      <c r="E3726" s="3"/>
      <c r="F3726" s="3"/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</row>
    <row r="3727">
      <c r="A3727" s="3"/>
      <c r="B3727" s="3"/>
      <c r="C3727" s="3"/>
      <c r="D3727" s="3"/>
      <c r="E3727" s="3"/>
      <c r="F3727" s="3"/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</row>
    <row r="3728">
      <c r="A3728" s="3"/>
      <c r="B3728" s="3"/>
      <c r="C3728" s="3"/>
      <c r="D3728" s="3"/>
      <c r="E3728" s="3"/>
      <c r="F3728" s="3"/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</row>
    <row r="3729">
      <c r="A3729" s="3"/>
      <c r="B3729" s="3"/>
      <c r="C3729" s="3"/>
      <c r="D3729" s="3"/>
      <c r="E3729" s="3"/>
      <c r="F3729" s="3"/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</row>
    <row r="3730">
      <c r="A3730" s="3"/>
      <c r="B3730" s="3"/>
      <c r="C3730" s="3"/>
      <c r="D3730" s="3"/>
      <c r="E3730" s="3"/>
      <c r="F3730" s="3"/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</row>
    <row r="3731">
      <c r="A3731" s="3"/>
      <c r="B3731" s="3"/>
      <c r="C3731" s="3"/>
      <c r="D3731" s="3"/>
      <c r="E3731" s="3"/>
      <c r="F3731" s="3"/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</row>
    <row r="3732">
      <c r="A3732" s="3"/>
      <c r="B3732" s="3"/>
      <c r="C3732" s="3"/>
      <c r="D3732" s="3"/>
      <c r="E3732" s="3"/>
      <c r="F3732" s="3"/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</row>
    <row r="3733">
      <c r="A3733" s="3"/>
      <c r="B3733" s="3"/>
      <c r="C3733" s="3"/>
      <c r="D3733" s="3"/>
      <c r="E3733" s="3"/>
      <c r="F3733" s="3"/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</row>
    <row r="3734">
      <c r="A3734" s="3"/>
      <c r="B3734" s="3"/>
      <c r="C3734" s="3"/>
      <c r="D3734" s="3"/>
      <c r="E3734" s="3"/>
      <c r="F3734" s="3"/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</row>
    <row r="3735">
      <c r="A3735" s="3"/>
      <c r="B3735" s="3"/>
      <c r="C3735" s="3"/>
      <c r="D3735" s="3"/>
      <c r="E3735" s="3"/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</row>
    <row r="3736">
      <c r="A3736" s="3"/>
      <c r="B3736" s="3"/>
      <c r="C3736" s="3"/>
      <c r="D3736" s="3"/>
      <c r="E3736" s="3"/>
      <c r="F3736" s="3"/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</row>
    <row r="3737">
      <c r="A3737" s="3"/>
      <c r="B3737" s="3"/>
      <c r="C3737" s="3"/>
      <c r="D3737" s="3"/>
      <c r="E3737" s="3"/>
      <c r="F3737" s="3"/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</row>
    <row r="3738">
      <c r="A3738" s="3"/>
      <c r="B3738" s="3"/>
      <c r="C3738" s="3"/>
      <c r="D3738" s="3"/>
      <c r="E3738" s="3"/>
      <c r="F3738" s="3"/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</row>
    <row r="3739">
      <c r="A3739" s="3"/>
      <c r="B3739" s="3"/>
      <c r="C3739" s="3"/>
      <c r="D3739" s="3"/>
      <c r="E3739" s="3"/>
      <c r="F3739" s="3"/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</row>
    <row r="3740">
      <c r="A3740" s="3"/>
      <c r="B3740" s="3"/>
      <c r="C3740" s="3"/>
      <c r="D3740" s="3"/>
      <c r="E3740" s="3"/>
      <c r="F3740" s="3"/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</row>
    <row r="3741">
      <c r="A3741" s="3"/>
      <c r="B3741" s="3"/>
      <c r="C3741" s="3"/>
      <c r="D3741" s="3"/>
      <c r="E3741" s="3"/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</row>
    <row r="3742">
      <c r="A3742" s="3"/>
      <c r="B3742" s="3"/>
      <c r="C3742" s="3"/>
      <c r="D3742" s="3"/>
      <c r="E3742" s="3"/>
      <c r="F3742" s="3"/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</row>
    <row r="3743">
      <c r="A3743" s="3"/>
      <c r="B3743" s="3"/>
      <c r="C3743" s="3"/>
      <c r="D3743" s="3"/>
      <c r="E3743" s="3"/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</row>
    <row r="3744">
      <c r="A3744" s="3"/>
      <c r="B3744" s="3"/>
      <c r="C3744" s="3"/>
      <c r="D3744" s="3"/>
      <c r="E3744" s="3"/>
      <c r="F3744" s="3"/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</row>
    <row r="3745">
      <c r="A3745" s="3"/>
      <c r="B3745" s="3"/>
      <c r="C3745" s="3"/>
      <c r="D3745" s="3"/>
      <c r="E3745" s="3"/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</row>
    <row r="3746">
      <c r="A3746" s="3"/>
      <c r="B3746" s="3"/>
      <c r="C3746" s="3"/>
      <c r="D3746" s="3"/>
      <c r="E3746" s="3"/>
      <c r="F3746" s="3"/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</row>
    <row r="3747">
      <c r="A3747" s="3"/>
      <c r="B3747" s="3"/>
      <c r="C3747" s="3"/>
      <c r="D3747" s="3"/>
      <c r="E3747" s="3"/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</row>
    <row r="3748">
      <c r="A3748" s="3"/>
      <c r="B3748" s="3"/>
      <c r="C3748" s="3"/>
      <c r="D3748" s="3"/>
      <c r="E3748" s="3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</row>
    <row r="3749">
      <c r="A3749" s="3"/>
      <c r="B3749" s="3"/>
      <c r="C3749" s="3"/>
      <c r="D3749" s="3"/>
      <c r="E3749" s="3"/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</row>
    <row r="3750">
      <c r="A3750" s="3"/>
      <c r="B3750" s="3"/>
      <c r="C3750" s="3"/>
      <c r="D3750" s="3"/>
      <c r="E3750" s="3"/>
      <c r="F3750" s="3"/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</row>
    <row r="3751">
      <c r="A3751" s="3"/>
      <c r="B3751" s="3"/>
      <c r="C3751" s="3"/>
      <c r="D3751" s="3"/>
      <c r="E3751" s="3"/>
      <c r="F3751" s="3"/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</row>
    <row r="3752">
      <c r="A3752" s="3"/>
      <c r="B3752" s="3"/>
      <c r="C3752" s="3"/>
      <c r="D3752" s="3"/>
      <c r="E3752" s="3"/>
      <c r="F3752" s="3"/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</row>
    <row r="3753">
      <c r="A3753" s="3"/>
      <c r="B3753" s="3"/>
      <c r="C3753" s="3"/>
      <c r="D3753" s="3"/>
      <c r="E3753" s="3"/>
      <c r="F3753" s="3"/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</row>
    <row r="3754">
      <c r="A3754" s="3"/>
      <c r="B3754" s="3"/>
      <c r="C3754" s="3"/>
      <c r="D3754" s="3"/>
      <c r="E3754" s="3"/>
      <c r="F3754" s="3"/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</row>
    <row r="3755">
      <c r="A3755" s="3"/>
      <c r="B3755" s="3"/>
      <c r="C3755" s="3"/>
      <c r="D3755" s="3"/>
      <c r="E3755" s="3"/>
      <c r="F3755" s="3"/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</row>
    <row r="3756">
      <c r="A3756" s="3"/>
      <c r="B3756" s="3"/>
      <c r="C3756" s="3"/>
      <c r="D3756" s="3"/>
      <c r="E3756" s="3"/>
      <c r="F3756" s="3"/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</row>
    <row r="3757">
      <c r="A3757" s="3"/>
      <c r="B3757" s="3"/>
      <c r="C3757" s="3"/>
      <c r="D3757" s="3"/>
      <c r="E3757" s="3"/>
      <c r="F3757" s="3"/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</row>
    <row r="3758">
      <c r="A3758" s="3"/>
      <c r="B3758" s="3"/>
      <c r="C3758" s="3"/>
      <c r="D3758" s="3"/>
      <c r="E3758" s="3"/>
      <c r="F3758" s="3"/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</row>
    <row r="3759">
      <c r="A3759" s="3"/>
      <c r="B3759" s="3"/>
      <c r="C3759" s="3"/>
      <c r="D3759" s="3"/>
      <c r="E3759" s="3"/>
      <c r="F3759" s="3"/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</row>
    <row r="3760">
      <c r="A3760" s="3"/>
      <c r="B3760" s="3"/>
      <c r="C3760" s="3"/>
      <c r="D3760" s="3"/>
      <c r="E3760" s="3"/>
      <c r="F3760" s="3"/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</row>
    <row r="3761">
      <c r="A3761" s="3"/>
      <c r="B3761" s="3"/>
      <c r="C3761" s="3"/>
      <c r="D3761" s="3"/>
      <c r="E3761" s="3"/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</row>
    <row r="3762">
      <c r="A3762" s="3"/>
      <c r="B3762" s="3"/>
      <c r="C3762" s="3"/>
      <c r="D3762" s="3"/>
      <c r="E3762" s="3"/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</row>
    <row r="3763">
      <c r="A3763" s="3"/>
      <c r="B3763" s="3"/>
      <c r="C3763" s="3"/>
      <c r="D3763" s="3"/>
      <c r="E3763" s="3"/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</row>
    <row r="3764">
      <c r="A3764" s="3"/>
      <c r="B3764" s="3"/>
      <c r="C3764" s="3"/>
      <c r="D3764" s="3"/>
      <c r="E3764" s="3"/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</row>
    <row r="3765">
      <c r="A3765" s="3"/>
      <c r="B3765" s="3"/>
      <c r="C3765" s="3"/>
      <c r="D3765" s="3"/>
      <c r="E3765" s="3"/>
      <c r="F3765" s="3"/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</row>
    <row r="3766">
      <c r="A3766" s="3"/>
      <c r="B3766" s="3"/>
      <c r="C3766" s="3"/>
      <c r="D3766" s="3"/>
      <c r="E3766" s="3"/>
      <c r="F3766" s="3"/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</row>
    <row r="3767">
      <c r="A3767" s="3"/>
      <c r="B3767" s="3"/>
      <c r="C3767" s="3"/>
      <c r="D3767" s="3"/>
      <c r="E3767" s="3"/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</row>
    <row r="3768">
      <c r="A3768" s="3"/>
      <c r="B3768" s="3"/>
      <c r="C3768" s="3"/>
      <c r="D3768" s="3"/>
      <c r="E3768" s="3"/>
      <c r="F3768" s="3"/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</row>
    <row r="3769">
      <c r="A3769" s="3"/>
      <c r="B3769" s="3"/>
      <c r="C3769" s="3"/>
      <c r="D3769" s="3"/>
      <c r="E3769" s="3"/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</row>
    <row r="3770">
      <c r="A3770" s="3"/>
      <c r="B3770" s="3"/>
      <c r="C3770" s="3"/>
      <c r="D3770" s="3"/>
      <c r="E3770" s="3"/>
      <c r="F3770" s="3"/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</row>
    <row r="3771">
      <c r="A3771" s="3"/>
      <c r="B3771" s="3"/>
      <c r="C3771" s="3"/>
      <c r="D3771" s="3"/>
      <c r="E3771" s="3"/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</row>
    <row r="3772">
      <c r="A3772" s="3"/>
      <c r="B3772" s="3"/>
      <c r="C3772" s="3"/>
      <c r="D3772" s="3"/>
      <c r="E3772" s="3"/>
      <c r="F3772" s="3"/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</row>
    <row r="3773">
      <c r="A3773" s="3"/>
      <c r="B3773" s="3"/>
      <c r="C3773" s="3"/>
      <c r="D3773" s="3"/>
      <c r="E3773" s="3"/>
      <c r="F3773" s="3"/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</row>
    <row r="3774">
      <c r="A3774" s="3"/>
      <c r="B3774" s="3"/>
      <c r="C3774" s="3"/>
      <c r="D3774" s="3"/>
      <c r="E3774" s="3"/>
      <c r="F3774" s="3"/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</row>
    <row r="3775">
      <c r="A3775" s="3"/>
      <c r="B3775" s="3"/>
      <c r="C3775" s="3"/>
      <c r="D3775" s="3"/>
      <c r="E3775" s="3"/>
      <c r="F3775" s="3"/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</row>
    <row r="3776">
      <c r="A3776" s="3"/>
      <c r="B3776" s="3"/>
      <c r="C3776" s="3"/>
      <c r="D3776" s="3"/>
      <c r="E3776" s="3"/>
      <c r="F3776" s="3"/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</row>
    <row r="3777">
      <c r="A3777" s="3"/>
      <c r="B3777" s="3"/>
      <c r="C3777" s="3"/>
      <c r="D3777" s="3"/>
      <c r="E3777" s="3"/>
      <c r="F3777" s="3"/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</row>
    <row r="3778">
      <c r="A3778" s="3"/>
      <c r="B3778" s="3"/>
      <c r="C3778" s="3"/>
      <c r="D3778" s="3"/>
      <c r="E3778" s="3"/>
      <c r="F3778" s="3"/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</row>
    <row r="3779">
      <c r="A3779" s="3"/>
      <c r="B3779" s="3"/>
      <c r="C3779" s="3"/>
      <c r="D3779" s="3"/>
      <c r="E3779" s="3"/>
      <c r="F3779" s="3"/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</row>
    <row r="3780">
      <c r="A3780" s="3"/>
      <c r="B3780" s="3"/>
      <c r="C3780" s="3"/>
      <c r="D3780" s="3"/>
      <c r="E3780" s="3"/>
      <c r="F3780" s="3"/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</row>
    <row r="3781">
      <c r="A3781" s="3"/>
      <c r="B3781" s="3"/>
      <c r="C3781" s="3"/>
      <c r="D3781" s="3"/>
      <c r="E3781" s="3"/>
      <c r="F3781" s="3"/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</row>
    <row r="3782">
      <c r="A3782" s="3"/>
      <c r="B3782" s="3"/>
      <c r="C3782" s="3"/>
      <c r="D3782" s="3"/>
      <c r="E3782" s="3"/>
      <c r="F3782" s="3"/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</row>
    <row r="3783">
      <c r="A3783" s="3"/>
      <c r="B3783" s="3"/>
      <c r="C3783" s="3"/>
      <c r="D3783" s="3"/>
      <c r="E3783" s="3"/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</row>
    <row r="3784">
      <c r="A3784" s="3"/>
      <c r="B3784" s="3"/>
      <c r="C3784" s="3"/>
      <c r="D3784" s="3"/>
      <c r="E3784" s="3"/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</row>
    <row r="3785">
      <c r="A3785" s="3"/>
      <c r="B3785" s="3"/>
      <c r="C3785" s="3"/>
      <c r="D3785" s="3"/>
      <c r="E3785" s="3"/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</row>
    <row r="3786">
      <c r="A3786" s="3"/>
      <c r="B3786" s="3"/>
      <c r="C3786" s="3"/>
      <c r="D3786" s="3"/>
      <c r="E3786" s="3"/>
      <c r="F3786" s="3"/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</row>
    <row r="3787">
      <c r="A3787" s="3"/>
      <c r="B3787" s="3"/>
      <c r="C3787" s="3"/>
      <c r="D3787" s="3"/>
      <c r="E3787" s="3"/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</row>
    <row r="3788">
      <c r="A3788" s="3"/>
      <c r="B3788" s="3"/>
      <c r="C3788" s="3"/>
      <c r="D3788" s="3"/>
      <c r="E3788" s="3"/>
      <c r="F3788" s="3"/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</row>
    <row r="3789">
      <c r="A3789" s="3"/>
      <c r="B3789" s="3"/>
      <c r="C3789" s="3"/>
      <c r="D3789" s="3"/>
      <c r="E3789" s="3"/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</row>
    <row r="3790">
      <c r="A3790" s="3"/>
      <c r="B3790" s="3"/>
      <c r="C3790" s="3"/>
      <c r="D3790" s="3"/>
      <c r="E3790" s="3"/>
      <c r="F3790" s="3"/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</row>
    <row r="3791">
      <c r="A3791" s="3"/>
      <c r="B3791" s="3"/>
      <c r="C3791" s="3"/>
      <c r="D3791" s="3"/>
      <c r="E3791" s="3"/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</row>
    <row r="3792">
      <c r="A3792" s="3"/>
      <c r="B3792" s="3"/>
      <c r="C3792" s="3"/>
      <c r="D3792" s="3"/>
      <c r="E3792" s="3"/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</row>
    <row r="3793">
      <c r="A3793" s="3"/>
      <c r="B3793" s="3"/>
      <c r="C3793" s="3"/>
      <c r="D3793" s="3"/>
      <c r="E3793" s="3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</row>
    <row r="3794">
      <c r="A3794" s="3"/>
      <c r="B3794" s="3"/>
      <c r="C3794" s="3"/>
      <c r="D3794" s="3"/>
      <c r="E3794" s="3"/>
      <c r="F3794" s="3"/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</row>
    <row r="3795">
      <c r="A3795" s="3"/>
      <c r="B3795" s="3"/>
      <c r="C3795" s="3"/>
      <c r="D3795" s="3"/>
      <c r="E3795" s="3"/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</row>
    <row r="3796">
      <c r="A3796" s="3"/>
      <c r="B3796" s="3"/>
      <c r="C3796" s="3"/>
      <c r="D3796" s="3"/>
      <c r="E3796" s="3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</row>
    <row r="3797">
      <c r="A3797" s="3"/>
      <c r="B3797" s="3"/>
      <c r="C3797" s="3"/>
      <c r="D3797" s="3"/>
      <c r="E3797" s="3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</row>
    <row r="3798">
      <c r="A3798" s="3"/>
      <c r="B3798" s="3"/>
      <c r="C3798" s="3"/>
      <c r="D3798" s="3"/>
      <c r="E3798" s="3"/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</row>
    <row r="3799">
      <c r="A3799" s="3"/>
      <c r="B3799" s="3"/>
      <c r="C3799" s="3"/>
      <c r="D3799" s="3"/>
      <c r="E3799" s="3"/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</row>
    <row r="3800">
      <c r="A3800" s="3"/>
      <c r="B3800" s="3"/>
      <c r="C3800" s="3"/>
      <c r="D3800" s="3"/>
      <c r="E3800" s="3"/>
      <c r="F3800" s="3"/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</row>
    <row r="3801">
      <c r="A3801" s="3"/>
      <c r="B3801" s="3"/>
      <c r="C3801" s="3"/>
      <c r="D3801" s="3"/>
      <c r="E3801" s="3"/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</row>
    <row r="3802">
      <c r="A3802" s="3"/>
      <c r="B3802" s="3"/>
      <c r="C3802" s="3"/>
      <c r="D3802" s="3"/>
      <c r="E3802" s="3"/>
      <c r="F3802" s="3"/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</row>
    <row r="3803">
      <c r="A3803" s="3"/>
      <c r="B3803" s="3"/>
      <c r="C3803" s="3"/>
      <c r="D3803" s="3"/>
      <c r="E3803" s="3"/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</row>
    <row r="3804">
      <c r="A3804" s="3"/>
      <c r="B3804" s="3"/>
      <c r="C3804" s="3"/>
      <c r="D3804" s="3"/>
      <c r="E3804" s="3"/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</row>
    <row r="3805">
      <c r="A3805" s="3"/>
      <c r="B3805" s="3"/>
      <c r="C3805" s="3"/>
      <c r="D3805" s="3"/>
      <c r="E3805" s="3"/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</row>
    <row r="3806">
      <c r="A3806" s="3"/>
      <c r="B3806" s="3"/>
      <c r="C3806" s="3"/>
      <c r="D3806" s="3"/>
      <c r="E3806" s="3"/>
      <c r="F3806" s="3"/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</row>
    <row r="3807">
      <c r="A3807" s="3"/>
      <c r="B3807" s="3"/>
      <c r="C3807" s="3"/>
      <c r="D3807" s="3"/>
      <c r="E3807" s="3"/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</row>
    <row r="3808">
      <c r="A3808" s="3"/>
      <c r="B3808" s="3"/>
      <c r="C3808" s="3"/>
      <c r="D3808" s="3"/>
      <c r="E3808" s="3"/>
      <c r="F3808" s="3"/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</row>
    <row r="3809">
      <c r="A3809" s="3"/>
      <c r="B3809" s="3"/>
      <c r="C3809" s="3"/>
      <c r="D3809" s="3"/>
      <c r="E3809" s="3"/>
      <c r="F3809" s="3"/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</row>
    <row r="3810">
      <c r="A3810" s="3"/>
      <c r="B3810" s="3"/>
      <c r="C3810" s="3"/>
      <c r="D3810" s="3"/>
      <c r="E3810" s="3"/>
      <c r="F3810" s="3"/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</row>
    <row r="3811">
      <c r="A3811" s="3"/>
      <c r="B3811" s="3"/>
      <c r="C3811" s="3"/>
      <c r="D3811" s="3"/>
      <c r="E3811" s="3"/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</row>
    <row r="3812">
      <c r="A3812" s="3"/>
      <c r="B3812" s="3"/>
      <c r="C3812" s="3"/>
      <c r="D3812" s="3"/>
      <c r="E3812" s="3"/>
      <c r="F3812" s="3"/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</row>
    <row r="3813">
      <c r="A3813" s="3"/>
      <c r="B3813" s="3"/>
      <c r="C3813" s="3"/>
      <c r="D3813" s="3"/>
      <c r="E3813" s="3"/>
      <c r="F3813" s="3"/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</row>
    <row r="3814">
      <c r="A3814" s="3"/>
      <c r="B3814" s="3"/>
      <c r="C3814" s="3"/>
      <c r="D3814" s="3"/>
      <c r="E3814" s="3"/>
      <c r="F3814" s="3"/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</row>
    <row r="3815">
      <c r="A3815" s="3"/>
      <c r="B3815" s="3"/>
      <c r="C3815" s="3"/>
      <c r="D3815" s="3"/>
      <c r="E3815" s="3"/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</row>
    <row r="3816">
      <c r="A3816" s="3"/>
      <c r="B3816" s="3"/>
      <c r="C3816" s="3"/>
      <c r="D3816" s="3"/>
      <c r="E3816" s="3"/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</row>
    <row r="3817">
      <c r="A3817" s="3"/>
      <c r="B3817" s="3"/>
      <c r="C3817" s="3"/>
      <c r="D3817" s="3"/>
      <c r="E3817" s="3"/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</row>
    <row r="3818">
      <c r="A3818" s="3"/>
      <c r="B3818" s="3"/>
      <c r="C3818" s="3"/>
      <c r="D3818" s="3"/>
      <c r="E3818" s="3"/>
      <c r="F3818" s="3"/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</row>
    <row r="3819">
      <c r="A3819" s="3"/>
      <c r="B3819" s="3"/>
      <c r="C3819" s="3"/>
      <c r="D3819" s="3"/>
      <c r="E3819" s="3"/>
      <c r="F3819" s="3"/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</row>
    <row r="3820">
      <c r="A3820" s="3"/>
      <c r="B3820" s="3"/>
      <c r="C3820" s="3"/>
      <c r="D3820" s="3"/>
      <c r="E3820" s="3"/>
      <c r="F3820" s="3"/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</row>
    <row r="3821">
      <c r="A3821" s="3"/>
      <c r="B3821" s="3"/>
      <c r="C3821" s="3"/>
      <c r="D3821" s="3"/>
      <c r="E3821" s="3"/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</row>
    <row r="3822">
      <c r="A3822" s="3"/>
      <c r="B3822" s="3"/>
      <c r="C3822" s="3"/>
      <c r="D3822" s="3"/>
      <c r="E3822" s="3"/>
      <c r="F3822" s="3"/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</row>
    <row r="3823">
      <c r="A3823" s="3"/>
      <c r="B3823" s="3"/>
      <c r="C3823" s="3"/>
      <c r="D3823" s="3"/>
      <c r="E3823" s="3"/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</row>
    <row r="3824">
      <c r="A3824" s="3"/>
      <c r="B3824" s="3"/>
      <c r="C3824" s="3"/>
      <c r="D3824" s="3"/>
      <c r="E3824" s="3"/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</row>
    <row r="3825">
      <c r="A3825" s="3"/>
      <c r="B3825" s="3"/>
      <c r="C3825" s="3"/>
      <c r="D3825" s="3"/>
      <c r="E3825" s="3"/>
      <c r="F3825" s="3"/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</row>
    <row r="3826">
      <c r="A3826" s="3"/>
      <c r="B3826" s="3"/>
      <c r="C3826" s="3"/>
      <c r="D3826" s="3"/>
      <c r="E3826" s="3"/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</row>
    <row r="3827">
      <c r="A3827" s="3"/>
      <c r="B3827" s="3"/>
      <c r="C3827" s="3"/>
      <c r="D3827" s="3"/>
      <c r="E3827" s="3"/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</row>
    <row r="3828">
      <c r="A3828" s="3"/>
      <c r="B3828" s="3"/>
      <c r="C3828" s="3"/>
      <c r="D3828" s="3"/>
      <c r="E3828" s="3"/>
      <c r="F3828" s="3"/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</row>
    <row r="3829">
      <c r="A3829" s="3"/>
      <c r="B3829" s="3"/>
      <c r="C3829" s="3"/>
      <c r="D3829" s="3"/>
      <c r="E3829" s="3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</row>
    <row r="3830">
      <c r="A3830" s="3"/>
      <c r="B3830" s="3"/>
      <c r="C3830" s="3"/>
      <c r="D3830" s="3"/>
      <c r="E3830" s="3"/>
      <c r="F3830" s="3"/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</row>
    <row r="3831">
      <c r="A3831" s="3"/>
      <c r="B3831" s="3"/>
      <c r="C3831" s="3"/>
      <c r="D3831" s="3"/>
      <c r="E3831" s="3"/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</row>
    <row r="3832">
      <c r="A3832" s="3"/>
      <c r="B3832" s="3"/>
      <c r="C3832" s="3"/>
      <c r="D3832" s="3"/>
      <c r="E3832" s="3"/>
      <c r="F3832" s="3"/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</row>
    <row r="3833">
      <c r="A3833" s="3"/>
      <c r="B3833" s="3"/>
      <c r="C3833" s="3"/>
      <c r="D3833" s="3"/>
      <c r="E3833" s="3"/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</row>
    <row r="3834">
      <c r="A3834" s="3"/>
      <c r="B3834" s="3"/>
      <c r="C3834" s="3"/>
      <c r="D3834" s="3"/>
      <c r="E3834" s="3"/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</row>
    <row r="3835">
      <c r="A3835" s="3"/>
      <c r="B3835" s="3"/>
      <c r="C3835" s="3"/>
      <c r="D3835" s="3"/>
      <c r="E3835" s="3"/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</row>
    <row r="3836">
      <c r="A3836" s="3"/>
      <c r="B3836" s="3"/>
      <c r="C3836" s="3"/>
      <c r="D3836" s="3"/>
      <c r="E3836" s="3"/>
      <c r="F3836" s="3"/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</row>
    <row r="3837">
      <c r="A3837" s="3"/>
      <c r="B3837" s="3"/>
      <c r="C3837" s="3"/>
      <c r="D3837" s="3"/>
      <c r="E3837" s="3"/>
      <c r="F3837" s="3"/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</row>
    <row r="3838">
      <c r="A3838" s="3"/>
      <c r="B3838" s="3"/>
      <c r="C3838" s="3"/>
      <c r="D3838" s="3"/>
      <c r="E3838" s="3"/>
      <c r="F3838" s="3"/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</row>
    <row r="3839">
      <c r="A3839" s="3"/>
      <c r="B3839" s="3"/>
      <c r="C3839" s="3"/>
      <c r="D3839" s="3"/>
      <c r="E3839" s="3"/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</row>
    <row r="3840">
      <c r="A3840" s="3"/>
      <c r="B3840" s="3"/>
      <c r="C3840" s="3"/>
      <c r="D3840" s="3"/>
      <c r="E3840" s="3"/>
      <c r="F3840" s="3"/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</row>
    <row r="3841">
      <c r="A3841" s="3"/>
      <c r="B3841" s="3"/>
      <c r="C3841" s="3"/>
      <c r="D3841" s="3"/>
      <c r="E3841" s="3"/>
      <c r="F3841" s="3"/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</row>
    <row r="3842">
      <c r="A3842" s="3"/>
      <c r="B3842" s="3"/>
      <c r="C3842" s="3"/>
      <c r="D3842" s="3"/>
      <c r="E3842" s="3"/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</row>
    <row r="3843">
      <c r="A3843" s="3"/>
      <c r="B3843" s="3"/>
      <c r="C3843" s="3"/>
      <c r="D3843" s="3"/>
      <c r="E3843" s="3"/>
      <c r="F3843" s="3"/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</row>
    <row r="3844">
      <c r="A3844" s="3"/>
      <c r="B3844" s="3"/>
      <c r="C3844" s="3"/>
      <c r="D3844" s="3"/>
      <c r="E3844" s="3"/>
      <c r="F3844" s="3"/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</row>
    <row r="3845">
      <c r="A3845" s="3"/>
      <c r="B3845" s="3"/>
      <c r="C3845" s="3"/>
      <c r="D3845" s="3"/>
      <c r="E3845" s="3"/>
      <c r="F3845" s="3"/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</row>
    <row r="3846">
      <c r="A3846" s="3"/>
      <c r="B3846" s="3"/>
      <c r="C3846" s="3"/>
      <c r="D3846" s="3"/>
      <c r="E3846" s="3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</row>
    <row r="3847">
      <c r="A3847" s="3"/>
      <c r="B3847" s="3"/>
      <c r="C3847" s="3"/>
      <c r="D3847" s="3"/>
      <c r="E3847" s="3"/>
      <c r="F3847" s="3"/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</row>
    <row r="3848">
      <c r="A3848" s="3"/>
      <c r="B3848" s="3"/>
      <c r="C3848" s="3"/>
      <c r="D3848" s="3"/>
      <c r="E3848" s="3"/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</row>
    <row r="3849">
      <c r="A3849" s="3"/>
      <c r="B3849" s="3"/>
      <c r="C3849" s="3"/>
      <c r="D3849" s="3"/>
      <c r="E3849" s="3"/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</row>
    <row r="3850">
      <c r="A3850" s="3"/>
      <c r="B3850" s="3"/>
      <c r="C3850" s="3"/>
      <c r="D3850" s="3"/>
      <c r="E3850" s="3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</row>
    <row r="3851">
      <c r="A3851" s="3"/>
      <c r="B3851" s="3"/>
      <c r="C3851" s="3"/>
      <c r="D3851" s="3"/>
      <c r="E3851" s="3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</row>
    <row r="3852">
      <c r="A3852" s="3"/>
      <c r="B3852" s="3"/>
      <c r="C3852" s="3"/>
      <c r="D3852" s="3"/>
      <c r="E3852" s="3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</row>
    <row r="3853">
      <c r="A3853" s="3"/>
      <c r="B3853" s="3"/>
      <c r="C3853" s="3"/>
      <c r="D3853" s="3"/>
      <c r="E3853" s="3"/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</row>
    <row r="3854">
      <c r="A3854" s="3"/>
      <c r="B3854" s="3"/>
      <c r="C3854" s="3"/>
      <c r="D3854" s="3"/>
      <c r="E3854" s="3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</row>
    <row r="3855">
      <c r="A3855" s="3"/>
      <c r="B3855" s="3"/>
      <c r="C3855" s="3"/>
      <c r="D3855" s="3"/>
      <c r="E3855" s="3"/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</row>
    <row r="3856">
      <c r="A3856" s="3"/>
      <c r="B3856" s="3"/>
      <c r="C3856" s="3"/>
      <c r="D3856" s="3"/>
      <c r="E3856" s="3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</row>
    <row r="3857">
      <c r="A3857" s="3"/>
      <c r="B3857" s="3"/>
      <c r="C3857" s="3"/>
      <c r="D3857" s="3"/>
      <c r="E3857" s="3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</row>
    <row r="3858">
      <c r="A3858" s="3"/>
      <c r="B3858" s="3"/>
      <c r="C3858" s="3"/>
      <c r="D3858" s="3"/>
      <c r="E3858" s="3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</row>
    <row r="3859">
      <c r="A3859" s="3"/>
      <c r="B3859" s="3"/>
      <c r="C3859" s="3"/>
      <c r="D3859" s="3"/>
      <c r="E3859" s="3"/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</row>
    <row r="3860">
      <c r="A3860" s="3"/>
      <c r="B3860" s="3"/>
      <c r="C3860" s="3"/>
      <c r="D3860" s="3"/>
      <c r="E3860" s="3"/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</row>
    <row r="3861">
      <c r="A3861" s="3"/>
      <c r="B3861" s="3"/>
      <c r="C3861" s="3"/>
      <c r="D3861" s="3"/>
      <c r="E3861" s="3"/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</row>
    <row r="3862">
      <c r="A3862" s="3"/>
      <c r="B3862" s="3"/>
      <c r="C3862" s="3"/>
      <c r="D3862" s="3"/>
      <c r="E3862" s="3"/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</row>
    <row r="3863">
      <c r="A3863" s="3"/>
      <c r="B3863" s="3"/>
      <c r="C3863" s="3"/>
      <c r="D3863" s="3"/>
      <c r="E3863" s="3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</row>
    <row r="3864">
      <c r="A3864" s="3"/>
      <c r="B3864" s="3"/>
      <c r="C3864" s="3"/>
      <c r="D3864" s="3"/>
      <c r="E3864" s="3"/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</row>
    <row r="3865">
      <c r="A3865" s="3"/>
      <c r="B3865" s="3"/>
      <c r="C3865" s="3"/>
      <c r="D3865" s="3"/>
      <c r="E3865" s="3"/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</row>
    <row r="3866">
      <c r="A3866" s="3"/>
      <c r="B3866" s="3"/>
      <c r="C3866" s="3"/>
      <c r="D3866" s="3"/>
      <c r="E3866" s="3"/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</row>
    <row r="3867">
      <c r="A3867" s="3"/>
      <c r="B3867" s="3"/>
      <c r="C3867" s="3"/>
      <c r="D3867" s="3"/>
      <c r="E3867" s="3"/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</row>
    <row r="3868">
      <c r="A3868" s="3"/>
      <c r="B3868" s="3"/>
      <c r="C3868" s="3"/>
      <c r="D3868" s="3"/>
      <c r="E3868" s="3"/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</row>
    <row r="3869">
      <c r="A3869" s="3"/>
      <c r="B3869" s="3"/>
      <c r="C3869" s="3"/>
      <c r="D3869" s="3"/>
      <c r="E3869" s="3"/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</row>
    <row r="3870">
      <c r="A3870" s="3"/>
      <c r="B3870" s="3"/>
      <c r="C3870" s="3"/>
      <c r="D3870" s="3"/>
      <c r="E3870" s="3"/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</row>
    <row r="3871">
      <c r="A3871" s="3"/>
      <c r="B3871" s="3"/>
      <c r="C3871" s="3"/>
      <c r="D3871" s="3"/>
      <c r="E3871" s="3"/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</row>
    <row r="3872">
      <c r="A3872" s="3"/>
      <c r="B3872" s="3"/>
      <c r="C3872" s="3"/>
      <c r="D3872" s="3"/>
      <c r="E3872" s="3"/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</row>
    <row r="3873">
      <c r="A3873" s="3"/>
      <c r="B3873" s="3"/>
      <c r="C3873" s="3"/>
      <c r="D3873" s="3"/>
      <c r="E3873" s="3"/>
      <c r="F3873" s="3"/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</row>
    <row r="3874">
      <c r="A3874" s="3"/>
      <c r="B3874" s="3"/>
      <c r="C3874" s="3"/>
      <c r="D3874" s="3"/>
      <c r="E3874" s="3"/>
      <c r="F3874" s="3"/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</row>
    <row r="3875">
      <c r="A3875" s="3"/>
      <c r="B3875" s="3"/>
      <c r="C3875" s="3"/>
      <c r="D3875" s="3"/>
      <c r="E3875" s="3"/>
      <c r="F3875" s="3"/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</row>
    <row r="3876">
      <c r="A3876" s="3"/>
      <c r="B3876" s="3"/>
      <c r="C3876" s="3"/>
      <c r="D3876" s="3"/>
      <c r="E3876" s="3"/>
      <c r="F3876" s="3"/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</row>
    <row r="3877">
      <c r="A3877" s="3"/>
      <c r="B3877" s="3"/>
      <c r="C3877" s="3"/>
      <c r="D3877" s="3"/>
      <c r="E3877" s="3"/>
      <c r="F3877" s="3"/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</row>
    <row r="3878">
      <c r="A3878" s="3"/>
      <c r="B3878" s="3"/>
      <c r="C3878" s="3"/>
      <c r="D3878" s="3"/>
      <c r="E3878" s="3"/>
      <c r="F3878" s="3"/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</row>
    <row r="3879">
      <c r="A3879" s="3"/>
      <c r="B3879" s="3"/>
      <c r="C3879" s="3"/>
      <c r="D3879" s="3"/>
      <c r="E3879" s="3"/>
      <c r="F3879" s="3"/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</row>
    <row r="3880">
      <c r="A3880" s="3"/>
      <c r="B3880" s="3"/>
      <c r="C3880" s="3"/>
      <c r="D3880" s="3"/>
      <c r="E3880" s="3"/>
      <c r="F3880" s="3"/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</row>
    <row r="3881">
      <c r="A3881" s="3"/>
      <c r="B3881" s="3"/>
      <c r="C3881" s="3"/>
      <c r="D3881" s="3"/>
      <c r="E3881" s="3"/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</row>
    <row r="3882">
      <c r="A3882" s="3"/>
      <c r="B3882" s="3"/>
      <c r="C3882" s="3"/>
      <c r="D3882" s="3"/>
      <c r="E3882" s="3"/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</row>
    <row r="3883">
      <c r="A3883" s="3"/>
      <c r="B3883" s="3"/>
      <c r="C3883" s="3"/>
      <c r="D3883" s="3"/>
      <c r="E3883" s="3"/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</row>
    <row r="3884">
      <c r="A3884" s="3"/>
      <c r="B3884" s="3"/>
      <c r="C3884" s="3"/>
      <c r="D3884" s="3"/>
      <c r="E3884" s="3"/>
      <c r="F3884" s="3"/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</row>
    <row r="3885">
      <c r="A3885" s="3"/>
      <c r="B3885" s="3"/>
      <c r="C3885" s="3"/>
      <c r="D3885" s="3"/>
      <c r="E3885" s="3"/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</row>
    <row r="3886">
      <c r="A3886" s="3"/>
      <c r="B3886" s="3"/>
      <c r="C3886" s="3"/>
      <c r="D3886" s="3"/>
      <c r="E3886" s="3"/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</row>
    <row r="3887">
      <c r="A3887" s="3"/>
      <c r="B3887" s="3"/>
      <c r="C3887" s="3"/>
      <c r="D3887" s="3"/>
      <c r="E3887" s="3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</row>
    <row r="3888">
      <c r="A3888" s="3"/>
      <c r="B3888" s="3"/>
      <c r="C3888" s="3"/>
      <c r="D3888" s="3"/>
      <c r="E3888" s="3"/>
      <c r="F3888" s="3"/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</row>
    <row r="3889">
      <c r="A3889" s="3"/>
      <c r="B3889" s="3"/>
      <c r="C3889" s="3"/>
      <c r="D3889" s="3"/>
      <c r="E3889" s="3"/>
      <c r="F3889" s="3"/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</row>
    <row r="3890">
      <c r="A3890" s="3"/>
      <c r="B3890" s="3"/>
      <c r="C3890" s="3"/>
      <c r="D3890" s="3"/>
      <c r="E3890" s="3"/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</row>
    <row r="3891">
      <c r="A3891" s="3"/>
      <c r="B3891" s="3"/>
      <c r="C3891" s="3"/>
      <c r="D3891" s="3"/>
      <c r="E3891" s="3"/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</row>
    <row r="3892">
      <c r="A3892" s="3"/>
      <c r="B3892" s="3"/>
      <c r="C3892" s="3"/>
      <c r="D3892" s="3"/>
      <c r="E3892" s="3"/>
      <c r="F3892" s="3"/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</row>
    <row r="3893">
      <c r="A3893" s="3"/>
      <c r="B3893" s="3"/>
      <c r="C3893" s="3"/>
      <c r="D3893" s="3"/>
      <c r="E3893" s="3"/>
      <c r="F3893" s="3"/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</row>
    <row r="3894">
      <c r="A3894" s="3"/>
      <c r="B3894" s="3"/>
      <c r="C3894" s="3"/>
      <c r="D3894" s="3"/>
      <c r="E3894" s="3"/>
      <c r="F3894" s="3"/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</row>
    <row r="3895">
      <c r="A3895" s="3"/>
      <c r="B3895" s="3"/>
      <c r="C3895" s="3"/>
      <c r="D3895" s="3"/>
      <c r="E3895" s="3"/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</row>
    <row r="3896">
      <c r="A3896" s="3"/>
      <c r="B3896" s="3"/>
      <c r="C3896" s="3"/>
      <c r="D3896" s="3"/>
      <c r="E3896" s="3"/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</row>
    <row r="3897">
      <c r="A3897" s="3"/>
      <c r="B3897" s="3"/>
      <c r="C3897" s="3"/>
      <c r="D3897" s="3"/>
      <c r="E3897" s="3"/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</row>
    <row r="3898">
      <c r="A3898" s="3"/>
      <c r="B3898" s="3"/>
      <c r="C3898" s="3"/>
      <c r="D3898" s="3"/>
      <c r="E3898" s="3"/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</row>
    <row r="3899">
      <c r="A3899" s="3"/>
      <c r="B3899" s="3"/>
      <c r="C3899" s="3"/>
      <c r="D3899" s="3"/>
      <c r="E3899" s="3"/>
      <c r="F3899" s="3"/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</row>
    <row r="3900">
      <c r="A3900" s="3"/>
      <c r="B3900" s="3"/>
      <c r="C3900" s="3"/>
      <c r="D3900" s="3"/>
      <c r="E3900" s="3"/>
      <c r="F3900" s="3"/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</row>
    <row r="3901">
      <c r="A3901" s="3"/>
      <c r="B3901" s="3"/>
      <c r="C3901" s="3"/>
      <c r="D3901" s="3"/>
      <c r="E3901" s="3"/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</row>
    <row r="3902">
      <c r="A3902" s="3"/>
      <c r="B3902" s="3"/>
      <c r="C3902" s="3"/>
      <c r="D3902" s="3"/>
      <c r="E3902" s="3"/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</row>
    <row r="3903">
      <c r="A3903" s="3"/>
      <c r="B3903" s="3"/>
      <c r="C3903" s="3"/>
      <c r="D3903" s="3"/>
      <c r="E3903" s="3"/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</row>
    <row r="3904">
      <c r="A3904" s="3"/>
      <c r="B3904" s="3"/>
      <c r="C3904" s="3"/>
      <c r="D3904" s="3"/>
      <c r="E3904" s="3"/>
      <c r="F3904" s="3"/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</row>
    <row r="3905">
      <c r="A3905" s="3"/>
      <c r="B3905" s="3"/>
      <c r="C3905" s="3"/>
      <c r="D3905" s="3"/>
      <c r="E3905" s="3"/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</row>
    <row r="3906">
      <c r="A3906" s="3"/>
      <c r="B3906" s="3"/>
      <c r="C3906" s="3"/>
      <c r="D3906" s="3"/>
      <c r="E3906" s="3"/>
      <c r="F3906" s="3"/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</row>
    <row r="3907">
      <c r="A3907" s="3"/>
      <c r="B3907" s="3"/>
      <c r="C3907" s="3"/>
      <c r="D3907" s="3"/>
      <c r="E3907" s="3"/>
      <c r="F3907" s="3"/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</row>
    <row r="3908">
      <c r="A3908" s="3"/>
      <c r="B3908" s="3"/>
      <c r="C3908" s="3"/>
      <c r="D3908" s="3"/>
      <c r="E3908" s="3"/>
      <c r="F3908" s="3"/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</row>
    <row r="3909">
      <c r="A3909" s="3"/>
      <c r="B3909" s="3"/>
      <c r="C3909" s="3"/>
      <c r="D3909" s="3"/>
      <c r="E3909" s="3"/>
      <c r="F3909" s="3"/>
      <c r="G3909" s="3"/>
      <c r="H3909" s="3"/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</row>
    <row r="3910">
      <c r="A3910" s="3"/>
      <c r="B3910" s="3"/>
      <c r="C3910" s="3"/>
      <c r="D3910" s="3"/>
      <c r="E3910" s="3"/>
      <c r="F3910" s="3"/>
      <c r="G3910" s="3"/>
      <c r="H3910" s="3"/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</row>
    <row r="3911">
      <c r="A3911" s="3"/>
      <c r="B3911" s="3"/>
      <c r="C3911" s="3"/>
      <c r="D3911" s="3"/>
      <c r="E3911" s="3"/>
      <c r="F3911" s="3"/>
      <c r="G3911" s="3"/>
      <c r="H3911" s="3"/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</row>
    <row r="3912">
      <c r="A3912" s="3"/>
      <c r="B3912" s="3"/>
      <c r="C3912" s="3"/>
      <c r="D3912" s="3"/>
      <c r="E3912" s="3"/>
      <c r="F3912" s="3"/>
      <c r="G3912" s="3"/>
      <c r="H3912" s="3"/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</row>
    <row r="3913">
      <c r="A3913" s="3"/>
      <c r="B3913" s="3"/>
      <c r="C3913" s="3"/>
      <c r="D3913" s="3"/>
      <c r="E3913" s="3"/>
      <c r="F3913" s="3"/>
      <c r="G3913" s="3"/>
      <c r="H3913" s="3"/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</row>
    <row r="3914">
      <c r="A3914" s="3"/>
      <c r="B3914" s="3"/>
      <c r="C3914" s="3"/>
      <c r="D3914" s="3"/>
      <c r="E3914" s="3"/>
      <c r="F3914" s="3"/>
      <c r="G3914" s="3"/>
      <c r="H3914" s="3"/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</row>
    <row r="3915">
      <c r="A3915" s="3"/>
      <c r="B3915" s="3"/>
      <c r="C3915" s="3"/>
      <c r="D3915" s="3"/>
      <c r="E3915" s="3"/>
      <c r="F3915" s="3"/>
      <c r="G3915" s="3"/>
      <c r="H3915" s="3"/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</row>
    <row r="3916">
      <c r="A3916" s="3"/>
      <c r="B3916" s="3"/>
      <c r="C3916" s="3"/>
      <c r="D3916" s="3"/>
      <c r="E3916" s="3"/>
      <c r="F3916" s="3"/>
      <c r="G3916" s="3"/>
      <c r="H3916" s="3"/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</row>
    <row r="3917">
      <c r="A3917" s="3"/>
      <c r="B3917" s="3"/>
      <c r="C3917" s="3"/>
      <c r="D3917" s="3"/>
      <c r="E3917" s="3"/>
      <c r="F3917" s="3"/>
      <c r="G3917" s="3"/>
      <c r="H3917" s="3"/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</row>
    <row r="3918">
      <c r="A3918" s="3"/>
      <c r="B3918" s="3"/>
      <c r="C3918" s="3"/>
      <c r="D3918" s="3"/>
      <c r="E3918" s="3"/>
      <c r="F3918" s="3"/>
      <c r="G3918" s="3"/>
      <c r="H3918" s="3"/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</row>
    <row r="3919">
      <c r="A3919" s="3"/>
      <c r="B3919" s="3"/>
      <c r="C3919" s="3"/>
      <c r="D3919" s="3"/>
      <c r="E3919" s="3"/>
      <c r="F3919" s="3"/>
      <c r="G3919" s="3"/>
      <c r="H3919" s="3"/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</row>
    <row r="3920">
      <c r="A3920" s="3"/>
      <c r="B3920" s="3"/>
      <c r="C3920" s="3"/>
      <c r="D3920" s="3"/>
      <c r="E3920" s="3"/>
      <c r="F3920" s="3"/>
      <c r="G3920" s="3"/>
      <c r="H3920" s="3"/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</row>
    <row r="3921">
      <c r="A3921" s="3"/>
      <c r="B3921" s="3"/>
      <c r="C3921" s="3"/>
      <c r="D3921" s="3"/>
      <c r="E3921" s="3"/>
      <c r="F3921" s="3"/>
      <c r="G3921" s="3"/>
      <c r="H3921" s="3"/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</row>
    <row r="3922">
      <c r="A3922" s="3"/>
      <c r="B3922" s="3"/>
      <c r="C3922" s="3"/>
      <c r="D3922" s="3"/>
      <c r="E3922" s="3"/>
      <c r="F3922" s="3"/>
      <c r="G3922" s="3"/>
      <c r="H3922" s="3"/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</row>
    <row r="3923">
      <c r="A3923" s="3"/>
      <c r="B3923" s="3"/>
      <c r="C3923" s="3"/>
      <c r="D3923" s="3"/>
      <c r="E3923" s="3"/>
      <c r="F3923" s="3"/>
      <c r="G3923" s="3"/>
      <c r="H3923" s="3"/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</row>
    <row r="3924">
      <c r="A3924" s="3"/>
      <c r="B3924" s="3"/>
      <c r="C3924" s="3"/>
      <c r="D3924" s="3"/>
      <c r="E3924" s="3"/>
      <c r="F3924" s="3"/>
      <c r="G3924" s="3"/>
      <c r="H3924" s="3"/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</row>
    <row r="3925">
      <c r="A3925" s="3"/>
      <c r="B3925" s="3"/>
      <c r="C3925" s="3"/>
      <c r="D3925" s="3"/>
      <c r="E3925" s="3"/>
      <c r="F3925" s="3"/>
      <c r="G3925" s="3"/>
      <c r="H3925" s="3"/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</row>
    <row r="3926">
      <c r="A3926" s="3"/>
      <c r="B3926" s="3"/>
      <c r="C3926" s="3"/>
      <c r="D3926" s="3"/>
      <c r="E3926" s="3"/>
      <c r="F3926" s="3"/>
      <c r="G3926" s="3"/>
      <c r="H3926" s="3"/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</row>
    <row r="3927">
      <c r="A3927" s="3"/>
      <c r="B3927" s="3"/>
      <c r="C3927" s="3"/>
      <c r="D3927" s="3"/>
      <c r="E3927" s="3"/>
      <c r="F3927" s="3"/>
      <c r="G3927" s="3"/>
      <c r="H3927" s="3"/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</row>
    <row r="3928">
      <c r="A3928" s="3"/>
      <c r="B3928" s="3"/>
      <c r="C3928" s="3"/>
      <c r="D3928" s="3"/>
      <c r="E3928" s="3"/>
      <c r="F3928" s="3"/>
      <c r="G3928" s="3"/>
      <c r="H3928" s="3"/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</row>
    <row r="3929">
      <c r="A3929" s="3"/>
      <c r="B3929" s="3"/>
      <c r="C3929" s="3"/>
      <c r="D3929" s="3"/>
      <c r="E3929" s="3"/>
      <c r="F3929" s="3"/>
      <c r="G3929" s="3"/>
      <c r="H3929" s="3"/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</row>
    <row r="3930">
      <c r="A3930" s="3"/>
      <c r="B3930" s="3"/>
      <c r="C3930" s="3"/>
      <c r="D3930" s="3"/>
      <c r="E3930" s="3"/>
      <c r="F3930" s="3"/>
      <c r="G3930" s="3"/>
      <c r="H3930" s="3"/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</row>
    <row r="3931">
      <c r="A3931" s="3"/>
      <c r="B3931" s="3"/>
      <c r="C3931" s="3"/>
      <c r="D3931" s="3"/>
      <c r="E3931" s="3"/>
      <c r="F3931" s="3"/>
      <c r="G3931" s="3"/>
      <c r="H3931" s="3"/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</row>
    <row r="3932">
      <c r="A3932" s="3"/>
      <c r="B3932" s="3"/>
      <c r="C3932" s="3"/>
      <c r="D3932" s="3"/>
      <c r="E3932" s="3"/>
      <c r="F3932" s="3"/>
      <c r="G3932" s="3"/>
      <c r="H3932" s="3"/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</row>
    <row r="3933">
      <c r="A3933" s="3"/>
      <c r="B3933" s="3"/>
      <c r="C3933" s="3"/>
      <c r="D3933" s="3"/>
      <c r="E3933" s="3"/>
      <c r="F3933" s="3"/>
      <c r="G3933" s="3"/>
      <c r="H3933" s="3"/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</row>
    <row r="3934">
      <c r="A3934" s="3"/>
      <c r="B3934" s="3"/>
      <c r="C3934" s="3"/>
      <c r="D3934" s="3"/>
      <c r="E3934" s="3"/>
      <c r="F3934" s="3"/>
      <c r="G3934" s="3"/>
      <c r="H3934" s="3"/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</row>
    <row r="3935">
      <c r="A3935" s="3"/>
      <c r="B3935" s="3"/>
      <c r="C3935" s="3"/>
      <c r="D3935" s="3"/>
      <c r="E3935" s="3"/>
      <c r="F3935" s="3"/>
      <c r="G3935" s="3"/>
      <c r="H3935" s="3"/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</row>
    <row r="3936">
      <c r="A3936" s="3"/>
      <c r="B3936" s="3"/>
      <c r="C3936" s="3"/>
      <c r="D3936" s="3"/>
      <c r="E3936" s="3"/>
      <c r="F3936" s="3"/>
      <c r="G3936" s="3"/>
      <c r="H3936" s="3"/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</row>
    <row r="3937">
      <c r="A3937" s="3"/>
      <c r="B3937" s="3"/>
      <c r="C3937" s="3"/>
      <c r="D3937" s="3"/>
      <c r="E3937" s="3"/>
      <c r="F3937" s="3"/>
      <c r="G3937" s="3"/>
      <c r="H3937" s="3"/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</row>
    <row r="3938">
      <c r="A3938" s="3"/>
      <c r="B3938" s="3"/>
      <c r="C3938" s="3"/>
      <c r="D3938" s="3"/>
      <c r="E3938" s="3"/>
      <c r="F3938" s="3"/>
      <c r="G3938" s="3"/>
      <c r="H3938" s="3"/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</row>
    <row r="3939">
      <c r="A3939" s="3"/>
      <c r="B3939" s="3"/>
      <c r="C3939" s="3"/>
      <c r="D3939" s="3"/>
      <c r="E3939" s="3"/>
      <c r="F3939" s="3"/>
      <c r="G3939" s="3"/>
      <c r="H3939" s="3"/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</row>
    <row r="3940">
      <c r="A3940" s="3"/>
      <c r="B3940" s="3"/>
      <c r="C3940" s="3"/>
      <c r="D3940" s="3"/>
      <c r="E3940" s="3"/>
      <c r="F3940" s="3"/>
      <c r="G3940" s="3"/>
      <c r="H3940" s="3"/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</row>
    <row r="3941">
      <c r="A3941" s="3"/>
      <c r="B3941" s="3"/>
      <c r="C3941" s="3"/>
      <c r="D3941" s="3"/>
      <c r="E3941" s="3"/>
      <c r="F3941" s="3"/>
      <c r="G3941" s="3"/>
      <c r="H3941" s="3"/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</row>
    <row r="3942">
      <c r="A3942" s="3"/>
      <c r="B3942" s="3"/>
      <c r="C3942" s="3"/>
      <c r="D3942" s="3"/>
      <c r="E3942" s="3"/>
      <c r="F3942" s="3"/>
      <c r="G3942" s="3"/>
      <c r="H3942" s="3"/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</row>
    <row r="3943">
      <c r="A3943" s="3"/>
      <c r="B3943" s="3"/>
      <c r="C3943" s="3"/>
      <c r="D3943" s="3"/>
      <c r="E3943" s="3"/>
      <c r="F3943" s="3"/>
      <c r="G3943" s="3"/>
      <c r="H3943" s="3"/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</row>
    <row r="3944">
      <c r="A3944" s="3"/>
      <c r="B3944" s="3"/>
      <c r="C3944" s="3"/>
      <c r="D3944" s="3"/>
      <c r="E3944" s="3"/>
      <c r="F3944" s="3"/>
      <c r="G3944" s="3"/>
      <c r="H3944" s="3"/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</row>
    <row r="3945">
      <c r="A3945" s="3"/>
      <c r="B3945" s="3"/>
      <c r="C3945" s="3"/>
      <c r="D3945" s="3"/>
      <c r="E3945" s="3"/>
      <c r="F3945" s="3"/>
      <c r="G3945" s="3"/>
      <c r="H3945" s="3"/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</row>
    <row r="3946">
      <c r="A3946" s="3"/>
      <c r="B3946" s="3"/>
      <c r="C3946" s="3"/>
      <c r="D3946" s="3"/>
      <c r="E3946" s="3"/>
      <c r="F3946" s="3"/>
      <c r="G3946" s="3"/>
      <c r="H3946" s="3"/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</row>
    <row r="3947">
      <c r="A3947" s="3"/>
      <c r="B3947" s="3"/>
      <c r="C3947" s="3"/>
      <c r="D3947" s="3"/>
      <c r="E3947" s="3"/>
      <c r="F3947" s="3"/>
      <c r="G3947" s="3"/>
      <c r="H3947" s="3"/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</row>
    <row r="3948">
      <c r="A3948" s="3"/>
      <c r="B3948" s="3"/>
      <c r="C3948" s="3"/>
      <c r="D3948" s="3"/>
      <c r="E3948" s="3"/>
      <c r="F3948" s="3"/>
      <c r="G3948" s="3"/>
      <c r="H3948" s="3"/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</row>
    <row r="3949">
      <c r="A3949" s="3"/>
      <c r="B3949" s="3"/>
      <c r="C3949" s="3"/>
      <c r="D3949" s="3"/>
      <c r="E3949" s="3"/>
      <c r="F3949" s="3"/>
      <c r="G3949" s="3"/>
      <c r="H3949" s="3"/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</row>
    <row r="3950">
      <c r="A3950" s="3"/>
      <c r="B3950" s="3"/>
      <c r="C3950" s="3"/>
      <c r="D3950" s="3"/>
      <c r="E3950" s="3"/>
      <c r="F3950" s="3"/>
      <c r="G3950" s="3"/>
      <c r="H3950" s="3"/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</row>
    <row r="3951">
      <c r="A3951" s="3"/>
      <c r="B3951" s="3"/>
      <c r="C3951" s="3"/>
      <c r="D3951" s="3"/>
      <c r="E3951" s="3"/>
      <c r="F3951" s="3"/>
      <c r="G3951" s="3"/>
      <c r="H3951" s="3"/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</row>
    <row r="3952">
      <c r="A3952" s="3"/>
      <c r="B3952" s="3"/>
      <c r="C3952" s="3"/>
      <c r="D3952" s="3"/>
      <c r="E3952" s="3"/>
      <c r="F3952" s="3"/>
      <c r="G3952" s="3"/>
      <c r="H3952" s="3"/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</row>
    <row r="3953">
      <c r="A3953" s="3"/>
      <c r="B3953" s="3"/>
      <c r="C3953" s="3"/>
      <c r="D3953" s="3"/>
      <c r="E3953" s="3"/>
      <c r="F3953" s="3"/>
      <c r="G3953" s="3"/>
      <c r="H3953" s="3"/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</row>
    <row r="3954">
      <c r="A3954" s="3"/>
      <c r="B3954" s="3"/>
      <c r="C3954" s="3"/>
      <c r="D3954" s="3"/>
      <c r="E3954" s="3"/>
      <c r="F3954" s="3"/>
      <c r="G3954" s="3"/>
      <c r="H3954" s="3"/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</row>
    <row r="3955">
      <c r="A3955" s="3"/>
      <c r="B3955" s="3"/>
      <c r="C3955" s="3"/>
      <c r="D3955" s="3"/>
      <c r="E3955" s="3"/>
      <c r="F3955" s="3"/>
      <c r="G3955" s="3"/>
      <c r="H3955" s="3"/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</row>
    <row r="3956">
      <c r="A3956" s="3"/>
      <c r="B3956" s="3"/>
      <c r="C3956" s="3"/>
      <c r="D3956" s="3"/>
      <c r="E3956" s="3"/>
      <c r="F3956" s="3"/>
      <c r="G3956" s="3"/>
      <c r="H3956" s="3"/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</row>
    <row r="3957">
      <c r="A3957" s="3"/>
      <c r="B3957" s="3"/>
      <c r="C3957" s="3"/>
      <c r="D3957" s="3"/>
      <c r="E3957" s="3"/>
      <c r="F3957" s="3"/>
      <c r="G3957" s="3"/>
      <c r="H3957" s="3"/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</row>
    <row r="3958">
      <c r="A3958" s="3"/>
      <c r="B3958" s="3"/>
      <c r="C3958" s="3"/>
      <c r="D3958" s="3"/>
      <c r="E3958" s="3"/>
      <c r="F3958" s="3"/>
      <c r="G3958" s="3"/>
      <c r="H3958" s="3"/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</row>
    <row r="3959">
      <c r="A3959" s="3"/>
      <c r="B3959" s="3"/>
      <c r="C3959" s="3"/>
      <c r="D3959" s="3"/>
      <c r="E3959" s="3"/>
      <c r="F3959" s="3"/>
      <c r="G3959" s="3"/>
      <c r="H3959" s="3"/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</row>
    <row r="3960">
      <c r="A3960" s="3"/>
      <c r="B3960" s="3"/>
      <c r="C3960" s="3"/>
      <c r="D3960" s="3"/>
      <c r="E3960" s="3"/>
      <c r="F3960" s="3"/>
      <c r="G3960" s="3"/>
      <c r="H3960" s="3"/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</row>
    <row r="3961">
      <c r="A3961" s="3"/>
      <c r="B3961" s="3"/>
      <c r="C3961" s="3"/>
      <c r="D3961" s="3"/>
      <c r="E3961" s="3"/>
      <c r="F3961" s="3"/>
      <c r="G3961" s="3"/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</row>
    <row r="3962">
      <c r="A3962" s="3"/>
      <c r="B3962" s="3"/>
      <c r="C3962" s="3"/>
      <c r="D3962" s="3"/>
      <c r="E3962" s="3"/>
      <c r="F3962" s="3"/>
      <c r="G3962" s="3"/>
      <c r="H3962" s="3"/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</row>
    <row r="3963">
      <c r="A3963" s="3"/>
      <c r="B3963" s="3"/>
      <c r="C3963" s="3"/>
      <c r="D3963" s="3"/>
      <c r="E3963" s="3"/>
      <c r="F3963" s="3"/>
      <c r="G3963" s="3"/>
      <c r="H3963" s="3"/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</row>
    <row r="3964">
      <c r="A3964" s="3"/>
      <c r="B3964" s="3"/>
      <c r="C3964" s="3"/>
      <c r="D3964" s="3"/>
      <c r="E3964" s="3"/>
      <c r="F3964" s="3"/>
      <c r="G3964" s="3"/>
      <c r="H3964" s="3"/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</row>
    <row r="3965">
      <c r="A3965" s="3"/>
      <c r="B3965" s="3"/>
      <c r="C3965" s="3"/>
      <c r="D3965" s="3"/>
      <c r="E3965" s="3"/>
      <c r="F3965" s="3"/>
      <c r="G3965" s="3"/>
      <c r="H3965" s="3"/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</row>
    <row r="3966">
      <c r="A3966" s="3"/>
      <c r="B3966" s="3"/>
      <c r="C3966" s="3"/>
      <c r="D3966" s="3"/>
      <c r="E3966" s="3"/>
      <c r="F3966" s="3"/>
      <c r="G3966" s="3"/>
      <c r="H3966" s="3"/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</row>
    <row r="3967">
      <c r="A3967" s="3"/>
      <c r="B3967" s="3"/>
      <c r="C3967" s="3"/>
      <c r="D3967" s="3"/>
      <c r="E3967" s="3"/>
      <c r="F3967" s="3"/>
      <c r="G3967" s="3"/>
      <c r="H3967" s="3"/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</row>
    <row r="3968">
      <c r="A3968" s="3"/>
      <c r="B3968" s="3"/>
      <c r="C3968" s="3"/>
      <c r="D3968" s="3"/>
      <c r="E3968" s="3"/>
      <c r="F3968" s="3"/>
      <c r="G3968" s="3"/>
      <c r="H3968" s="3"/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</row>
    <row r="3969">
      <c r="A3969" s="3"/>
      <c r="B3969" s="3"/>
      <c r="C3969" s="3"/>
      <c r="D3969" s="3"/>
      <c r="E3969" s="3"/>
      <c r="F3969" s="3"/>
      <c r="G3969" s="3"/>
      <c r="H3969" s="3"/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</row>
    <row r="3970">
      <c r="A3970" s="3"/>
      <c r="B3970" s="3"/>
      <c r="C3970" s="3"/>
      <c r="D3970" s="3"/>
      <c r="E3970" s="3"/>
      <c r="F3970" s="3"/>
      <c r="G3970" s="3"/>
      <c r="H3970" s="3"/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</row>
    <row r="3971">
      <c r="A3971" s="3"/>
      <c r="B3971" s="3"/>
      <c r="C3971" s="3"/>
      <c r="D3971" s="3"/>
      <c r="E3971" s="3"/>
      <c r="F3971" s="3"/>
      <c r="G3971" s="3"/>
      <c r="H3971" s="3"/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</row>
    <row r="3972">
      <c r="A3972" s="3"/>
      <c r="B3972" s="3"/>
      <c r="C3972" s="3"/>
      <c r="D3972" s="3"/>
      <c r="E3972" s="3"/>
      <c r="F3972" s="3"/>
      <c r="G3972" s="3"/>
      <c r="H3972" s="3"/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</row>
    <row r="3973">
      <c r="A3973" s="3"/>
      <c r="B3973" s="3"/>
      <c r="C3973" s="3"/>
      <c r="D3973" s="3"/>
      <c r="E3973" s="3"/>
      <c r="F3973" s="3"/>
      <c r="G3973" s="3"/>
      <c r="H3973" s="3"/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</row>
    <row r="3974">
      <c r="A3974" s="3"/>
      <c r="B3974" s="3"/>
      <c r="C3974" s="3"/>
      <c r="D3974" s="3"/>
      <c r="E3974" s="3"/>
      <c r="F3974" s="3"/>
      <c r="G3974" s="3"/>
      <c r="H3974" s="3"/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</row>
    <row r="3975">
      <c r="A3975" s="3"/>
      <c r="B3975" s="3"/>
      <c r="C3975" s="3"/>
      <c r="D3975" s="3"/>
      <c r="E3975" s="3"/>
      <c r="F3975" s="3"/>
      <c r="G3975" s="3"/>
      <c r="H3975" s="3"/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</row>
    <row r="3976">
      <c r="A3976" s="3"/>
      <c r="B3976" s="3"/>
      <c r="C3976" s="3"/>
      <c r="D3976" s="3"/>
      <c r="E3976" s="3"/>
      <c r="F3976" s="3"/>
      <c r="G3976" s="3"/>
      <c r="H3976" s="3"/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</row>
    <row r="3977">
      <c r="A3977" s="3"/>
      <c r="B3977" s="3"/>
      <c r="C3977" s="3"/>
      <c r="D3977" s="3"/>
      <c r="E3977" s="3"/>
      <c r="F3977" s="3"/>
      <c r="G3977" s="3"/>
      <c r="H3977" s="3"/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</row>
    <row r="3978">
      <c r="A3978" s="3"/>
      <c r="B3978" s="3"/>
      <c r="C3978" s="3"/>
      <c r="D3978" s="3"/>
      <c r="E3978" s="3"/>
      <c r="F3978" s="3"/>
      <c r="G3978" s="3"/>
      <c r="H3978" s="3"/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</row>
    <row r="3979">
      <c r="A3979" s="3"/>
      <c r="B3979" s="3"/>
      <c r="C3979" s="3"/>
      <c r="D3979" s="3"/>
      <c r="E3979" s="3"/>
      <c r="F3979" s="3"/>
      <c r="G3979" s="3"/>
      <c r="H3979" s="3"/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</row>
    <row r="3980">
      <c r="A3980" s="3"/>
      <c r="B3980" s="3"/>
      <c r="C3980" s="3"/>
      <c r="D3980" s="3"/>
      <c r="E3980" s="3"/>
      <c r="F3980" s="3"/>
      <c r="G3980" s="3"/>
      <c r="H3980" s="3"/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</row>
    <row r="3981">
      <c r="A3981" s="3"/>
      <c r="B3981" s="3"/>
      <c r="C3981" s="3"/>
      <c r="D3981" s="3"/>
      <c r="E3981" s="3"/>
      <c r="F3981" s="3"/>
      <c r="G3981" s="3"/>
      <c r="H3981" s="3"/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</row>
    <row r="3982">
      <c r="A3982" s="3"/>
      <c r="B3982" s="3"/>
      <c r="C3982" s="3"/>
      <c r="D3982" s="3"/>
      <c r="E3982" s="3"/>
      <c r="F3982" s="3"/>
      <c r="G3982" s="3"/>
      <c r="H3982" s="3"/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</row>
    <row r="3983">
      <c r="A3983" s="3"/>
      <c r="B3983" s="3"/>
      <c r="C3983" s="3"/>
      <c r="D3983" s="3"/>
      <c r="E3983" s="3"/>
      <c r="F3983" s="3"/>
      <c r="G3983" s="3"/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</row>
    <row r="3984">
      <c r="A3984" s="3"/>
      <c r="B3984" s="3"/>
      <c r="C3984" s="3"/>
      <c r="D3984" s="3"/>
      <c r="E3984" s="3"/>
      <c r="F3984" s="3"/>
      <c r="G3984" s="3"/>
      <c r="H3984" s="3"/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</row>
    <row r="3985">
      <c r="A3985" s="3"/>
      <c r="B3985" s="3"/>
      <c r="C3985" s="3"/>
      <c r="D3985" s="3"/>
      <c r="E3985" s="3"/>
      <c r="F3985" s="3"/>
      <c r="G3985" s="3"/>
      <c r="H3985" s="3"/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</row>
    <row r="3986">
      <c r="A3986" s="3"/>
      <c r="B3986" s="3"/>
      <c r="C3986" s="3"/>
      <c r="D3986" s="3"/>
      <c r="E3986" s="3"/>
      <c r="F3986" s="3"/>
      <c r="G3986" s="3"/>
      <c r="H3986" s="3"/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</row>
    <row r="3987">
      <c r="A3987" s="3"/>
      <c r="B3987" s="3"/>
      <c r="C3987" s="3"/>
      <c r="D3987" s="3"/>
      <c r="E3987" s="3"/>
      <c r="F3987" s="3"/>
      <c r="G3987" s="3"/>
      <c r="H3987" s="3"/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</row>
    <row r="3988">
      <c r="A3988" s="3"/>
      <c r="B3988" s="3"/>
      <c r="C3988" s="3"/>
      <c r="D3988" s="3"/>
      <c r="E3988" s="3"/>
      <c r="F3988" s="3"/>
      <c r="G3988" s="3"/>
      <c r="H3988" s="3"/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</row>
    <row r="3989">
      <c r="A3989" s="3"/>
      <c r="B3989" s="3"/>
      <c r="C3989" s="3"/>
      <c r="D3989" s="3"/>
      <c r="E3989" s="3"/>
      <c r="F3989" s="3"/>
      <c r="G3989" s="3"/>
      <c r="H3989" s="3"/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</row>
    <row r="3990">
      <c r="A3990" s="3"/>
      <c r="B3990" s="3"/>
      <c r="C3990" s="3"/>
      <c r="D3990" s="3"/>
      <c r="E3990" s="3"/>
      <c r="F3990" s="3"/>
      <c r="G3990" s="3"/>
      <c r="H3990" s="3"/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</row>
    <row r="3991">
      <c r="A3991" s="3"/>
      <c r="B3991" s="3"/>
      <c r="C3991" s="3"/>
      <c r="D3991" s="3"/>
      <c r="E3991" s="3"/>
      <c r="F3991" s="3"/>
      <c r="G3991" s="3"/>
      <c r="H3991" s="3"/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</row>
    <row r="3992">
      <c r="A3992" s="3"/>
      <c r="B3992" s="3"/>
      <c r="C3992" s="3"/>
      <c r="D3992" s="3"/>
      <c r="E3992" s="3"/>
      <c r="F3992" s="3"/>
      <c r="G3992" s="3"/>
      <c r="H3992" s="3"/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</row>
    <row r="3993">
      <c r="A3993" s="3"/>
      <c r="B3993" s="3"/>
      <c r="C3993" s="3"/>
      <c r="D3993" s="3"/>
      <c r="E3993" s="3"/>
      <c r="F3993" s="3"/>
      <c r="G3993" s="3"/>
      <c r="H3993" s="3"/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</row>
    <row r="3994">
      <c r="A3994" s="3"/>
      <c r="B3994" s="3"/>
      <c r="C3994" s="3"/>
      <c r="D3994" s="3"/>
      <c r="E3994" s="3"/>
      <c r="F3994" s="3"/>
      <c r="G3994" s="3"/>
      <c r="H3994" s="3"/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</row>
    <row r="3995">
      <c r="A3995" s="3"/>
      <c r="B3995" s="3"/>
      <c r="C3995" s="3"/>
      <c r="D3995" s="3"/>
      <c r="E3995" s="3"/>
      <c r="F3995" s="3"/>
      <c r="G3995" s="3"/>
      <c r="H3995" s="3"/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</row>
    <row r="3996">
      <c r="A3996" s="3"/>
      <c r="B3996" s="3"/>
      <c r="C3996" s="3"/>
      <c r="D3996" s="3"/>
      <c r="E3996" s="3"/>
      <c r="F3996" s="3"/>
      <c r="G3996" s="3"/>
      <c r="H3996" s="3"/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</row>
    <row r="3997">
      <c r="A3997" s="3"/>
      <c r="B3997" s="3"/>
      <c r="C3997" s="3"/>
      <c r="D3997" s="3"/>
      <c r="E3997" s="3"/>
      <c r="F3997" s="3"/>
      <c r="G3997" s="3"/>
      <c r="H3997" s="3"/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</row>
    <row r="3998">
      <c r="A3998" s="3"/>
      <c r="B3998" s="3"/>
      <c r="C3998" s="3"/>
      <c r="D3998" s="3"/>
      <c r="E3998" s="3"/>
      <c r="F3998" s="3"/>
      <c r="G3998" s="3"/>
      <c r="H3998" s="3"/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</row>
    <row r="3999">
      <c r="A3999" s="3"/>
      <c r="B3999" s="3"/>
      <c r="C3999" s="3"/>
      <c r="D3999" s="3"/>
      <c r="E3999" s="3"/>
      <c r="F3999" s="3"/>
      <c r="G3999" s="3"/>
      <c r="H3999" s="3"/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</row>
    <row r="4000">
      <c r="A4000" s="3"/>
      <c r="B4000" s="3"/>
      <c r="C4000" s="3"/>
      <c r="D4000" s="3"/>
      <c r="E4000" s="3"/>
      <c r="F4000" s="3"/>
      <c r="G4000" s="3"/>
      <c r="H4000" s="3"/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</row>
    <row r="4001">
      <c r="A4001" s="3"/>
      <c r="B4001" s="3"/>
      <c r="C4001" s="3"/>
      <c r="D4001" s="3"/>
      <c r="E4001" s="3"/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</row>
    <row r="4002">
      <c r="A4002" s="3"/>
      <c r="B4002" s="3"/>
      <c r="C4002" s="3"/>
      <c r="D4002" s="3"/>
      <c r="E4002" s="3"/>
      <c r="F4002" s="3"/>
      <c r="G4002" s="3"/>
      <c r="H4002" s="3"/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</row>
    <row r="4003">
      <c r="A4003" s="3"/>
      <c r="B4003" s="3"/>
      <c r="C4003" s="3"/>
      <c r="D4003" s="3"/>
      <c r="E4003" s="3"/>
      <c r="F4003" s="3"/>
      <c r="G4003" s="3"/>
      <c r="H4003" s="3"/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</row>
    <row r="4004">
      <c r="A4004" s="3"/>
      <c r="B4004" s="3"/>
      <c r="C4004" s="3"/>
      <c r="D4004" s="3"/>
      <c r="E4004" s="3"/>
      <c r="F4004" s="3"/>
      <c r="G4004" s="3"/>
      <c r="H4004" s="3"/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</row>
    <row r="4005">
      <c r="A4005" s="3"/>
      <c r="B4005" s="3"/>
      <c r="C4005" s="3"/>
      <c r="D4005" s="3"/>
      <c r="E4005" s="3"/>
      <c r="F4005" s="3"/>
      <c r="G4005" s="3"/>
      <c r="H4005" s="3"/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</row>
    <row r="4006">
      <c r="A4006" s="3"/>
      <c r="B4006" s="3"/>
      <c r="C4006" s="3"/>
      <c r="D4006" s="3"/>
      <c r="E4006" s="3"/>
      <c r="F4006" s="3"/>
      <c r="G4006" s="3"/>
      <c r="H4006" s="3"/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</row>
    <row r="4007">
      <c r="A4007" s="3"/>
      <c r="B4007" s="3"/>
      <c r="C4007" s="3"/>
      <c r="D4007" s="3"/>
      <c r="E4007" s="3"/>
      <c r="F4007" s="3"/>
      <c r="G4007" s="3"/>
      <c r="H4007" s="3"/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</row>
    <row r="4008">
      <c r="A4008" s="3"/>
      <c r="B4008" s="3"/>
      <c r="C4008" s="3"/>
      <c r="D4008" s="3"/>
      <c r="E4008" s="3"/>
      <c r="F4008" s="3"/>
      <c r="G4008" s="3"/>
      <c r="H4008" s="3"/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</row>
    <row r="4009">
      <c r="A4009" s="3"/>
      <c r="B4009" s="3"/>
      <c r="C4009" s="3"/>
      <c r="D4009" s="3"/>
      <c r="E4009" s="3"/>
      <c r="F4009" s="3"/>
      <c r="G4009" s="3"/>
      <c r="H4009" s="3"/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</row>
    <row r="4010">
      <c r="A4010" s="3"/>
      <c r="B4010" s="3"/>
      <c r="C4010" s="3"/>
      <c r="D4010" s="3"/>
      <c r="E4010" s="3"/>
      <c r="F4010" s="3"/>
      <c r="G4010" s="3"/>
      <c r="H4010" s="3"/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</row>
    <row r="4011">
      <c r="A4011" s="3"/>
      <c r="B4011" s="3"/>
      <c r="C4011" s="3"/>
      <c r="D4011" s="3"/>
      <c r="E4011" s="3"/>
      <c r="F4011" s="3"/>
      <c r="G4011" s="3"/>
      <c r="H4011" s="3"/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</row>
    <row r="4012">
      <c r="A4012" s="3"/>
      <c r="B4012" s="3"/>
      <c r="C4012" s="3"/>
      <c r="D4012" s="3"/>
      <c r="E4012" s="3"/>
      <c r="F4012" s="3"/>
      <c r="G4012" s="3"/>
      <c r="H4012" s="3"/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</row>
    <row r="4013">
      <c r="A4013" s="3"/>
      <c r="B4013" s="3"/>
      <c r="C4013" s="3"/>
      <c r="D4013" s="3"/>
      <c r="E4013" s="3"/>
      <c r="F4013" s="3"/>
      <c r="G4013" s="3"/>
      <c r="H4013" s="3"/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</row>
    <row r="4014">
      <c r="A4014" s="3"/>
      <c r="B4014" s="3"/>
      <c r="C4014" s="3"/>
      <c r="D4014" s="3"/>
      <c r="E4014" s="3"/>
      <c r="F4014" s="3"/>
      <c r="G4014" s="3"/>
      <c r="H4014" s="3"/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</row>
    <row r="4015">
      <c r="A4015" s="3"/>
      <c r="B4015" s="3"/>
      <c r="C4015" s="3"/>
      <c r="D4015" s="3"/>
      <c r="E4015" s="3"/>
      <c r="F4015" s="3"/>
      <c r="G4015" s="3"/>
      <c r="H4015" s="3"/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</row>
    <row r="4016">
      <c r="A4016" s="3"/>
      <c r="B4016" s="3"/>
      <c r="C4016" s="3"/>
      <c r="D4016" s="3"/>
      <c r="E4016" s="3"/>
      <c r="F4016" s="3"/>
      <c r="G4016" s="3"/>
      <c r="H4016" s="3"/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</row>
    <row r="4017">
      <c r="A4017" s="3"/>
      <c r="B4017" s="3"/>
      <c r="C4017" s="3"/>
      <c r="D4017" s="3"/>
      <c r="E4017" s="3"/>
      <c r="F4017" s="3"/>
      <c r="G4017" s="3"/>
      <c r="H4017" s="3"/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</row>
    <row r="4018">
      <c r="A4018" s="3"/>
      <c r="B4018" s="3"/>
      <c r="C4018" s="3"/>
      <c r="D4018" s="3"/>
      <c r="E4018" s="3"/>
      <c r="F4018" s="3"/>
      <c r="G4018" s="3"/>
      <c r="H4018" s="3"/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</row>
    <row r="4019">
      <c r="A4019" s="3"/>
      <c r="B4019" s="3"/>
      <c r="C4019" s="3"/>
      <c r="D4019" s="3"/>
      <c r="E4019" s="3"/>
      <c r="F4019" s="3"/>
      <c r="G4019" s="3"/>
      <c r="H4019" s="3"/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</row>
    <row r="4020">
      <c r="A4020" s="3"/>
      <c r="B4020" s="3"/>
      <c r="C4020" s="3"/>
      <c r="D4020" s="3"/>
      <c r="E4020" s="3"/>
      <c r="F4020" s="3"/>
      <c r="G4020" s="3"/>
      <c r="H4020" s="3"/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</row>
    <row r="4021">
      <c r="A4021" s="3"/>
      <c r="B4021" s="3"/>
      <c r="C4021" s="3"/>
      <c r="D4021" s="3"/>
      <c r="E4021" s="3"/>
      <c r="F4021" s="3"/>
      <c r="G4021" s="3"/>
      <c r="H4021" s="3"/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</row>
    <row r="4022">
      <c r="A4022" s="3"/>
      <c r="B4022" s="3"/>
      <c r="C4022" s="3"/>
      <c r="D4022" s="3"/>
      <c r="E4022" s="3"/>
      <c r="F4022" s="3"/>
      <c r="G4022" s="3"/>
      <c r="H4022" s="3"/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</row>
    <row r="4023">
      <c r="A4023" s="3"/>
      <c r="B4023" s="3"/>
      <c r="C4023" s="3"/>
      <c r="D4023" s="3"/>
      <c r="E4023" s="3"/>
      <c r="F4023" s="3"/>
      <c r="G4023" s="3"/>
      <c r="H4023" s="3"/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</row>
    <row r="4024">
      <c r="A4024" s="3"/>
      <c r="B4024" s="3"/>
      <c r="C4024" s="3"/>
      <c r="D4024" s="3"/>
      <c r="E4024" s="3"/>
      <c r="F4024" s="3"/>
      <c r="G4024" s="3"/>
      <c r="H4024" s="3"/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</row>
    <row r="4025">
      <c r="A4025" s="3"/>
      <c r="B4025" s="3"/>
      <c r="C4025" s="3"/>
      <c r="D4025" s="3"/>
      <c r="E4025" s="3"/>
      <c r="F4025" s="3"/>
      <c r="G4025" s="3"/>
      <c r="H4025" s="3"/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</row>
    <row r="4026">
      <c r="A4026" s="3"/>
      <c r="B4026" s="3"/>
      <c r="C4026" s="3"/>
      <c r="D4026" s="3"/>
      <c r="E4026" s="3"/>
      <c r="F4026" s="3"/>
      <c r="G4026" s="3"/>
      <c r="H4026" s="3"/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</row>
    <row r="4027">
      <c r="A4027" s="3"/>
      <c r="B4027" s="3"/>
      <c r="C4027" s="3"/>
      <c r="D4027" s="3"/>
      <c r="E4027" s="3"/>
      <c r="F4027" s="3"/>
      <c r="G4027" s="3"/>
      <c r="H4027" s="3"/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</row>
    <row r="4028">
      <c r="A4028" s="3"/>
      <c r="B4028" s="3"/>
      <c r="C4028" s="3"/>
      <c r="D4028" s="3"/>
      <c r="E4028" s="3"/>
      <c r="F4028" s="3"/>
      <c r="G4028" s="3"/>
      <c r="H4028" s="3"/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</row>
    <row r="4029">
      <c r="A4029" s="3"/>
      <c r="B4029" s="3"/>
      <c r="C4029" s="3"/>
      <c r="D4029" s="3"/>
      <c r="E4029" s="3"/>
      <c r="F4029" s="3"/>
      <c r="G4029" s="3"/>
      <c r="H4029" s="3"/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</row>
    <row r="4030">
      <c r="A4030" s="3"/>
      <c r="B4030" s="3"/>
      <c r="C4030" s="3"/>
      <c r="D4030" s="3"/>
      <c r="E4030" s="3"/>
      <c r="F4030" s="3"/>
      <c r="G4030" s="3"/>
      <c r="H4030" s="3"/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</row>
    <row r="4031">
      <c r="A4031" s="3"/>
      <c r="B4031" s="3"/>
      <c r="C4031" s="3"/>
      <c r="D4031" s="3"/>
      <c r="E4031" s="3"/>
      <c r="F4031" s="3"/>
      <c r="G4031" s="3"/>
      <c r="H4031" s="3"/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</row>
    <row r="4032">
      <c r="A4032" s="3"/>
      <c r="B4032" s="3"/>
      <c r="C4032" s="3"/>
      <c r="D4032" s="3"/>
      <c r="E4032" s="3"/>
      <c r="F4032" s="3"/>
      <c r="G4032" s="3"/>
      <c r="H4032" s="3"/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</row>
    <row r="4033">
      <c r="A4033" s="3"/>
      <c r="B4033" s="3"/>
      <c r="C4033" s="3"/>
      <c r="D4033" s="3"/>
      <c r="E4033" s="3"/>
      <c r="F4033" s="3"/>
      <c r="G4033" s="3"/>
      <c r="H4033" s="3"/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</row>
    <row r="4034">
      <c r="A4034" s="3"/>
      <c r="B4034" s="3"/>
      <c r="C4034" s="3"/>
      <c r="D4034" s="3"/>
      <c r="E4034" s="3"/>
      <c r="F4034" s="3"/>
      <c r="G4034" s="3"/>
      <c r="H4034" s="3"/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</row>
    <row r="4035">
      <c r="A4035" s="3"/>
      <c r="B4035" s="3"/>
      <c r="C4035" s="3"/>
      <c r="D4035" s="3"/>
      <c r="E4035" s="3"/>
      <c r="F4035" s="3"/>
      <c r="G4035" s="3"/>
      <c r="H4035" s="3"/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</row>
    <row r="4036">
      <c r="A4036" s="3"/>
      <c r="B4036" s="3"/>
      <c r="C4036" s="3"/>
      <c r="D4036" s="3"/>
      <c r="E4036" s="3"/>
      <c r="F4036" s="3"/>
      <c r="G4036" s="3"/>
      <c r="H4036" s="3"/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</row>
    <row r="4037">
      <c r="A4037" s="3"/>
      <c r="B4037" s="3"/>
      <c r="C4037" s="3"/>
      <c r="D4037" s="3"/>
      <c r="E4037" s="3"/>
      <c r="F4037" s="3"/>
      <c r="G4037" s="3"/>
      <c r="H4037" s="3"/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</row>
    <row r="4038">
      <c r="A4038" s="3"/>
      <c r="B4038" s="3"/>
      <c r="C4038" s="3"/>
      <c r="D4038" s="3"/>
      <c r="E4038" s="3"/>
      <c r="F4038" s="3"/>
      <c r="G4038" s="3"/>
      <c r="H4038" s="3"/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</row>
    <row r="4039">
      <c r="A4039" s="3"/>
      <c r="B4039" s="3"/>
      <c r="C4039" s="3"/>
      <c r="D4039" s="3"/>
      <c r="E4039" s="3"/>
      <c r="F4039" s="3"/>
      <c r="G4039" s="3"/>
      <c r="H4039" s="3"/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</row>
    <row r="4040">
      <c r="A4040" s="3"/>
      <c r="B4040" s="3"/>
      <c r="C4040" s="3"/>
      <c r="D4040" s="3"/>
      <c r="E4040" s="3"/>
      <c r="F4040" s="3"/>
      <c r="G4040" s="3"/>
      <c r="H4040" s="3"/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</row>
    <row r="4041">
      <c r="A4041" s="3"/>
      <c r="B4041" s="3"/>
      <c r="C4041" s="3"/>
      <c r="D4041" s="3"/>
      <c r="E4041" s="3"/>
      <c r="F4041" s="3"/>
      <c r="G4041" s="3"/>
      <c r="H4041" s="3"/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</row>
    <row r="4042">
      <c r="A4042" s="3"/>
      <c r="B4042" s="3"/>
      <c r="C4042" s="3"/>
      <c r="D4042" s="3"/>
      <c r="E4042" s="3"/>
      <c r="F4042" s="3"/>
      <c r="G4042" s="3"/>
      <c r="H4042" s="3"/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</row>
    <row r="4043">
      <c r="A4043" s="3"/>
      <c r="B4043" s="3"/>
      <c r="C4043" s="3"/>
      <c r="D4043" s="3"/>
      <c r="E4043" s="3"/>
      <c r="F4043" s="3"/>
      <c r="G4043" s="3"/>
      <c r="H4043" s="3"/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</row>
    <row r="4044">
      <c r="A4044" s="3"/>
      <c r="B4044" s="3"/>
      <c r="C4044" s="3"/>
      <c r="D4044" s="3"/>
      <c r="E4044" s="3"/>
      <c r="F4044" s="3"/>
      <c r="G4044" s="3"/>
      <c r="H4044" s="3"/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</row>
    <row r="4045">
      <c r="A4045" s="3"/>
      <c r="B4045" s="3"/>
      <c r="C4045" s="3"/>
      <c r="D4045" s="3"/>
      <c r="E4045" s="3"/>
      <c r="F4045" s="3"/>
      <c r="G4045" s="3"/>
      <c r="H4045" s="3"/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</row>
    <row r="4046">
      <c r="A4046" s="3"/>
      <c r="B4046" s="3"/>
      <c r="C4046" s="3"/>
      <c r="D4046" s="3"/>
      <c r="E4046" s="3"/>
      <c r="F4046" s="3"/>
      <c r="G4046" s="3"/>
      <c r="H4046" s="3"/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</row>
    <row r="4047">
      <c r="A4047" s="3"/>
      <c r="B4047" s="3"/>
      <c r="C4047" s="3"/>
      <c r="D4047" s="3"/>
      <c r="E4047" s="3"/>
      <c r="F4047" s="3"/>
      <c r="G4047" s="3"/>
      <c r="H4047" s="3"/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</row>
    <row r="4048">
      <c r="A4048" s="3"/>
      <c r="B4048" s="3"/>
      <c r="C4048" s="3"/>
      <c r="D4048" s="3"/>
      <c r="E4048" s="3"/>
      <c r="F4048" s="3"/>
      <c r="G4048" s="3"/>
      <c r="H4048" s="3"/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</row>
    <row r="4049">
      <c r="A4049" s="3"/>
      <c r="B4049" s="3"/>
      <c r="C4049" s="3"/>
      <c r="D4049" s="3"/>
      <c r="E4049" s="3"/>
      <c r="F4049" s="3"/>
      <c r="G4049" s="3"/>
      <c r="H4049" s="3"/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</row>
    <row r="4050">
      <c r="A4050" s="3"/>
      <c r="B4050" s="3"/>
      <c r="C4050" s="3"/>
      <c r="D4050" s="3"/>
      <c r="E4050" s="3"/>
      <c r="F4050" s="3"/>
      <c r="G4050" s="3"/>
      <c r="H4050" s="3"/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</row>
    <row r="4051">
      <c r="A4051" s="3"/>
      <c r="B4051" s="3"/>
      <c r="C4051" s="3"/>
      <c r="D4051" s="3"/>
      <c r="E4051" s="3"/>
      <c r="F4051" s="3"/>
      <c r="G4051" s="3"/>
      <c r="H4051" s="3"/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</row>
    <row r="4052">
      <c r="A4052" s="3"/>
      <c r="B4052" s="3"/>
      <c r="C4052" s="3"/>
      <c r="D4052" s="3"/>
      <c r="E4052" s="3"/>
      <c r="F4052" s="3"/>
      <c r="G4052" s="3"/>
      <c r="H4052" s="3"/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</row>
    <row r="4053">
      <c r="A4053" s="3"/>
      <c r="B4053" s="3"/>
      <c r="C4053" s="3"/>
      <c r="D4053" s="3"/>
      <c r="E4053" s="3"/>
      <c r="F4053" s="3"/>
      <c r="G4053" s="3"/>
      <c r="H4053" s="3"/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</row>
    <row r="4054">
      <c r="A4054" s="3"/>
      <c r="B4054" s="3"/>
      <c r="C4054" s="3"/>
      <c r="D4054" s="3"/>
      <c r="E4054" s="3"/>
      <c r="F4054" s="3"/>
      <c r="G4054" s="3"/>
      <c r="H4054" s="3"/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</row>
    <row r="4055">
      <c r="A4055" s="3"/>
      <c r="B4055" s="3"/>
      <c r="C4055" s="3"/>
      <c r="D4055" s="3"/>
      <c r="E4055" s="3"/>
      <c r="F4055" s="3"/>
      <c r="G4055" s="3"/>
      <c r="H4055" s="3"/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</row>
    <row r="4056">
      <c r="A4056" s="3"/>
      <c r="B4056" s="3"/>
      <c r="C4056" s="3"/>
      <c r="D4056" s="3"/>
      <c r="E4056" s="3"/>
      <c r="F4056" s="3"/>
      <c r="G4056" s="3"/>
      <c r="H4056" s="3"/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</row>
    <row r="4057">
      <c r="A4057" s="3"/>
      <c r="B4057" s="3"/>
      <c r="C4057" s="3"/>
      <c r="D4057" s="3"/>
      <c r="E4057" s="3"/>
      <c r="F4057" s="3"/>
      <c r="G4057" s="3"/>
      <c r="H4057" s="3"/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</row>
    <row r="4058">
      <c r="A4058" s="3"/>
      <c r="B4058" s="3"/>
      <c r="C4058" s="3"/>
      <c r="D4058" s="3"/>
      <c r="E4058" s="3"/>
      <c r="F4058" s="3"/>
      <c r="G4058" s="3"/>
      <c r="H4058" s="3"/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</row>
    <row r="4059">
      <c r="A4059" s="3"/>
      <c r="B4059" s="3"/>
      <c r="C4059" s="3"/>
      <c r="D4059" s="3"/>
      <c r="E4059" s="3"/>
      <c r="F4059" s="3"/>
      <c r="G4059" s="3"/>
      <c r="H4059" s="3"/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</row>
    <row r="4060">
      <c r="A4060" s="3"/>
      <c r="B4060" s="3"/>
      <c r="C4060" s="3"/>
      <c r="D4060" s="3"/>
      <c r="E4060" s="3"/>
      <c r="F4060" s="3"/>
      <c r="G4060" s="3"/>
      <c r="H4060" s="3"/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</row>
    <row r="4061">
      <c r="A4061" s="3"/>
      <c r="B4061" s="3"/>
      <c r="C4061" s="3"/>
      <c r="D4061" s="3"/>
      <c r="E4061" s="3"/>
      <c r="F4061" s="3"/>
      <c r="G4061" s="3"/>
      <c r="H4061" s="3"/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</row>
    <row r="4062">
      <c r="A4062" s="3"/>
      <c r="B4062" s="3"/>
      <c r="C4062" s="3"/>
      <c r="D4062" s="3"/>
      <c r="E4062" s="3"/>
      <c r="F4062" s="3"/>
      <c r="G4062" s="3"/>
      <c r="H4062" s="3"/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</row>
    <row r="4063">
      <c r="A4063" s="3"/>
      <c r="B4063" s="3"/>
      <c r="C4063" s="3"/>
      <c r="D4063" s="3"/>
      <c r="E4063" s="3"/>
      <c r="F4063" s="3"/>
      <c r="G4063" s="3"/>
      <c r="H4063" s="3"/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</row>
    <row r="4064">
      <c r="A4064" s="3"/>
      <c r="B4064" s="3"/>
      <c r="C4064" s="3"/>
      <c r="D4064" s="3"/>
      <c r="E4064" s="3"/>
      <c r="F4064" s="3"/>
      <c r="G4064" s="3"/>
      <c r="H4064" s="3"/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</row>
    <row r="4065">
      <c r="A4065" s="3"/>
      <c r="B4065" s="3"/>
      <c r="C4065" s="3"/>
      <c r="D4065" s="3"/>
      <c r="E4065" s="3"/>
      <c r="F4065" s="3"/>
      <c r="G4065" s="3"/>
      <c r="H4065" s="3"/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</row>
    <row r="4066">
      <c r="A4066" s="3"/>
      <c r="B4066" s="3"/>
      <c r="C4066" s="3"/>
      <c r="D4066" s="3"/>
      <c r="E4066" s="3"/>
      <c r="F4066" s="3"/>
      <c r="G4066" s="3"/>
      <c r="H4066" s="3"/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</row>
    <row r="4067">
      <c r="A4067" s="3"/>
      <c r="B4067" s="3"/>
      <c r="C4067" s="3"/>
      <c r="D4067" s="3"/>
      <c r="E4067" s="3"/>
      <c r="F4067" s="3"/>
      <c r="G4067" s="3"/>
      <c r="H4067" s="3"/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</row>
    <row r="4068">
      <c r="A4068" s="3"/>
      <c r="B4068" s="3"/>
      <c r="C4068" s="3"/>
      <c r="D4068" s="3"/>
      <c r="E4068" s="3"/>
      <c r="F4068" s="3"/>
      <c r="G4068" s="3"/>
      <c r="H4068" s="3"/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</row>
    <row r="4069">
      <c r="A4069" s="3"/>
      <c r="B4069" s="3"/>
      <c r="C4069" s="3"/>
      <c r="D4069" s="3"/>
      <c r="E4069" s="3"/>
      <c r="F4069" s="3"/>
      <c r="G4069" s="3"/>
      <c r="H4069" s="3"/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</row>
    <row r="4070">
      <c r="A4070" s="3"/>
      <c r="B4070" s="3"/>
      <c r="C4070" s="3"/>
      <c r="D4070" s="3"/>
      <c r="E4070" s="3"/>
      <c r="F4070" s="3"/>
      <c r="G4070" s="3"/>
      <c r="H4070" s="3"/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</row>
    <row r="4071">
      <c r="A4071" s="3"/>
      <c r="B4071" s="3"/>
      <c r="C4071" s="3"/>
      <c r="D4071" s="3"/>
      <c r="E4071" s="3"/>
      <c r="F4071" s="3"/>
      <c r="G4071" s="3"/>
      <c r="H4071" s="3"/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</row>
    <row r="4072">
      <c r="A4072" s="3"/>
      <c r="B4072" s="3"/>
      <c r="C4072" s="3"/>
      <c r="D4072" s="3"/>
      <c r="E4072" s="3"/>
      <c r="F4072" s="3"/>
      <c r="G4072" s="3"/>
      <c r="H4072" s="3"/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</row>
    <row r="4073">
      <c r="A4073" s="3"/>
      <c r="B4073" s="3"/>
      <c r="C4073" s="3"/>
      <c r="D4073" s="3"/>
      <c r="E4073" s="3"/>
      <c r="F4073" s="3"/>
      <c r="G4073" s="3"/>
      <c r="H4073" s="3"/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</row>
    <row r="4074">
      <c r="A4074" s="3"/>
      <c r="B4074" s="3"/>
      <c r="C4074" s="3"/>
      <c r="D4074" s="3"/>
      <c r="E4074" s="3"/>
      <c r="F4074" s="3"/>
      <c r="G4074" s="3"/>
      <c r="H4074" s="3"/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</row>
    <row r="4075">
      <c r="A4075" s="3"/>
      <c r="B4075" s="3"/>
      <c r="C4075" s="3"/>
      <c r="D4075" s="3"/>
      <c r="E4075" s="3"/>
      <c r="F4075" s="3"/>
      <c r="G4075" s="3"/>
      <c r="H4075" s="3"/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</row>
    <row r="4076">
      <c r="A4076" s="3"/>
      <c r="B4076" s="3"/>
      <c r="C4076" s="3"/>
      <c r="D4076" s="3"/>
      <c r="E4076" s="3"/>
      <c r="F4076" s="3"/>
      <c r="G4076" s="3"/>
      <c r="H4076" s="3"/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</row>
    <row r="4077">
      <c r="A4077" s="3"/>
      <c r="B4077" s="3"/>
      <c r="C4077" s="3"/>
      <c r="D4077" s="3"/>
      <c r="E4077" s="3"/>
      <c r="F4077" s="3"/>
      <c r="G4077" s="3"/>
      <c r="H4077" s="3"/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</row>
    <row r="4078">
      <c r="A4078" s="3"/>
      <c r="B4078" s="3"/>
      <c r="C4078" s="3"/>
      <c r="D4078" s="3"/>
      <c r="E4078" s="3"/>
      <c r="F4078" s="3"/>
      <c r="G4078" s="3"/>
      <c r="H4078" s="3"/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</row>
    <row r="4079">
      <c r="A4079" s="3"/>
      <c r="B4079" s="3"/>
      <c r="C4079" s="3"/>
      <c r="D4079" s="3"/>
      <c r="E4079" s="3"/>
      <c r="F4079" s="3"/>
      <c r="G4079" s="3"/>
      <c r="H4079" s="3"/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</row>
    <row r="4080">
      <c r="A4080" s="3"/>
      <c r="B4080" s="3"/>
      <c r="C4080" s="3"/>
      <c r="D4080" s="3"/>
      <c r="E4080" s="3"/>
      <c r="F4080" s="3"/>
      <c r="G4080" s="3"/>
      <c r="H4080" s="3"/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</row>
    <row r="4081">
      <c r="A4081" s="3"/>
      <c r="B4081" s="3"/>
      <c r="C4081" s="3"/>
      <c r="D4081" s="3"/>
      <c r="E4081" s="3"/>
      <c r="F4081" s="3"/>
      <c r="G4081" s="3"/>
      <c r="H4081" s="3"/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</row>
    <row r="4082">
      <c r="A4082" s="3"/>
      <c r="B4082" s="3"/>
      <c r="C4082" s="3"/>
      <c r="D4082" s="3"/>
      <c r="E4082" s="3"/>
      <c r="F4082" s="3"/>
      <c r="G4082" s="3"/>
      <c r="H4082" s="3"/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</row>
    <row r="4083">
      <c r="A4083" s="3"/>
      <c r="B4083" s="3"/>
      <c r="C4083" s="3"/>
      <c r="D4083" s="3"/>
      <c r="E4083" s="3"/>
      <c r="F4083" s="3"/>
      <c r="G4083" s="3"/>
      <c r="H4083" s="3"/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</row>
    <row r="4084">
      <c r="A4084" s="3"/>
      <c r="B4084" s="3"/>
      <c r="C4084" s="3"/>
      <c r="D4084" s="3"/>
      <c r="E4084" s="3"/>
      <c r="F4084" s="3"/>
      <c r="G4084" s="3"/>
      <c r="H4084" s="3"/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</row>
    <row r="4085">
      <c r="A4085" s="3"/>
      <c r="B4085" s="3"/>
      <c r="C4085" s="3"/>
      <c r="D4085" s="3"/>
      <c r="E4085" s="3"/>
      <c r="F4085" s="3"/>
      <c r="G4085" s="3"/>
      <c r="H4085" s="3"/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</row>
    <row r="4086">
      <c r="A4086" s="3"/>
      <c r="B4086" s="3"/>
      <c r="C4086" s="3"/>
      <c r="D4086" s="3"/>
      <c r="E4086" s="3"/>
      <c r="F4086" s="3"/>
      <c r="G4086" s="3"/>
      <c r="H4086" s="3"/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</row>
    <row r="4087">
      <c r="A4087" s="3"/>
      <c r="B4087" s="3"/>
      <c r="C4087" s="3"/>
      <c r="D4087" s="3"/>
      <c r="E4087" s="3"/>
      <c r="F4087" s="3"/>
      <c r="G4087" s="3"/>
      <c r="H4087" s="3"/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</row>
    <row r="4088">
      <c r="A4088" s="3"/>
      <c r="B4088" s="3"/>
      <c r="C4088" s="3"/>
      <c r="D4088" s="3"/>
      <c r="E4088" s="3"/>
      <c r="F4088" s="3"/>
      <c r="G4088" s="3"/>
      <c r="H4088" s="3"/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</row>
    <row r="4089">
      <c r="A4089" s="3"/>
      <c r="B4089" s="3"/>
      <c r="C4089" s="3"/>
      <c r="D4089" s="3"/>
      <c r="E4089" s="3"/>
      <c r="F4089" s="3"/>
      <c r="G4089" s="3"/>
      <c r="H4089" s="3"/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</row>
    <row r="4090">
      <c r="A4090" s="3"/>
      <c r="B4090" s="3"/>
      <c r="C4090" s="3"/>
      <c r="D4090" s="3"/>
      <c r="E4090" s="3"/>
      <c r="F4090" s="3"/>
      <c r="G4090" s="3"/>
      <c r="H4090" s="3"/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</row>
    <row r="4091">
      <c r="A4091" s="3"/>
      <c r="B4091" s="3"/>
      <c r="C4091" s="3"/>
      <c r="D4091" s="3"/>
      <c r="E4091" s="3"/>
      <c r="F4091" s="3"/>
      <c r="G4091" s="3"/>
      <c r="H4091" s="3"/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</row>
    <row r="4092">
      <c r="A4092" s="3"/>
      <c r="B4092" s="3"/>
      <c r="C4092" s="3"/>
      <c r="D4092" s="3"/>
      <c r="E4092" s="3"/>
      <c r="F4092" s="3"/>
      <c r="G4092" s="3"/>
      <c r="H4092" s="3"/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</row>
    <row r="4093">
      <c r="A4093" s="3"/>
      <c r="B4093" s="3"/>
      <c r="C4093" s="3"/>
      <c r="D4093" s="3"/>
      <c r="E4093" s="3"/>
      <c r="F4093" s="3"/>
      <c r="G4093" s="3"/>
      <c r="H4093" s="3"/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</row>
    <row r="4094">
      <c r="A4094" s="3"/>
      <c r="B4094" s="3"/>
      <c r="C4094" s="3"/>
      <c r="D4094" s="3"/>
      <c r="E4094" s="3"/>
      <c r="F4094" s="3"/>
      <c r="G4094" s="3"/>
      <c r="H4094" s="3"/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</row>
    <row r="4095">
      <c r="A4095" s="3"/>
      <c r="B4095" s="3"/>
      <c r="C4095" s="3"/>
      <c r="D4095" s="3"/>
      <c r="E4095" s="3"/>
      <c r="F4095" s="3"/>
      <c r="G4095" s="3"/>
      <c r="H4095" s="3"/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</row>
    <row r="4096">
      <c r="A4096" s="3"/>
      <c r="B4096" s="3"/>
      <c r="C4096" s="3"/>
      <c r="D4096" s="3"/>
      <c r="E4096" s="3"/>
      <c r="F4096" s="3"/>
      <c r="G4096" s="3"/>
      <c r="H4096" s="3"/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</row>
    <row r="4097">
      <c r="A4097" s="3"/>
      <c r="B4097" s="3"/>
      <c r="C4097" s="3"/>
      <c r="D4097" s="3"/>
      <c r="E4097" s="3"/>
      <c r="F4097" s="3"/>
      <c r="G4097" s="3"/>
      <c r="H4097" s="3"/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</row>
    <row r="4098">
      <c r="A4098" s="3"/>
      <c r="B4098" s="3"/>
      <c r="C4098" s="3"/>
      <c r="D4098" s="3"/>
      <c r="E4098" s="3"/>
      <c r="F4098" s="3"/>
      <c r="G4098" s="3"/>
      <c r="H4098" s="3"/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</row>
    <row r="4099">
      <c r="A4099" s="3"/>
      <c r="B4099" s="3"/>
      <c r="C4099" s="3"/>
      <c r="D4099" s="3"/>
      <c r="E4099" s="3"/>
      <c r="F4099" s="3"/>
      <c r="G4099" s="3"/>
      <c r="H4099" s="3"/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</row>
    <row r="4100">
      <c r="A4100" s="3"/>
      <c r="B4100" s="3"/>
      <c r="C4100" s="3"/>
      <c r="D4100" s="3"/>
      <c r="E4100" s="3"/>
      <c r="F4100" s="3"/>
      <c r="G4100" s="3"/>
      <c r="H4100" s="3"/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</row>
    <row r="4101">
      <c r="A4101" s="3"/>
      <c r="B4101" s="3"/>
      <c r="C4101" s="3"/>
      <c r="D4101" s="3"/>
      <c r="E4101" s="3"/>
      <c r="F4101" s="3"/>
      <c r="G4101" s="3"/>
      <c r="H4101" s="3"/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</row>
    <row r="4102">
      <c r="A4102" s="3"/>
      <c r="B4102" s="3"/>
      <c r="C4102" s="3"/>
      <c r="D4102" s="3"/>
      <c r="E4102" s="3"/>
      <c r="F4102" s="3"/>
      <c r="G4102" s="3"/>
      <c r="H4102" s="3"/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</row>
    <row r="4103">
      <c r="A4103" s="3"/>
      <c r="B4103" s="3"/>
      <c r="C4103" s="3"/>
      <c r="D4103" s="3"/>
      <c r="E4103" s="3"/>
      <c r="F4103" s="3"/>
      <c r="G4103" s="3"/>
      <c r="H4103" s="3"/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</row>
    <row r="4104">
      <c r="A4104" s="3"/>
      <c r="B4104" s="3"/>
      <c r="C4104" s="3"/>
      <c r="D4104" s="3"/>
      <c r="E4104" s="3"/>
      <c r="F4104" s="3"/>
      <c r="G4104" s="3"/>
      <c r="H4104" s="3"/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</row>
    <row r="4105">
      <c r="A4105" s="3"/>
      <c r="B4105" s="3"/>
      <c r="C4105" s="3"/>
      <c r="D4105" s="3"/>
      <c r="E4105" s="3"/>
      <c r="F4105" s="3"/>
      <c r="G4105" s="3"/>
      <c r="H4105" s="3"/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</row>
    <row r="4106">
      <c r="A4106" s="3"/>
      <c r="B4106" s="3"/>
      <c r="C4106" s="3"/>
      <c r="D4106" s="3"/>
      <c r="E4106" s="3"/>
      <c r="F4106" s="3"/>
      <c r="G4106" s="3"/>
      <c r="H4106" s="3"/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</row>
    <row r="4107">
      <c r="A4107" s="3"/>
      <c r="B4107" s="3"/>
      <c r="C4107" s="3"/>
      <c r="D4107" s="3"/>
      <c r="E4107" s="3"/>
      <c r="F4107" s="3"/>
      <c r="G4107" s="3"/>
      <c r="H4107" s="3"/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</row>
    <row r="4108">
      <c r="A4108" s="3"/>
      <c r="B4108" s="3"/>
      <c r="C4108" s="3"/>
      <c r="D4108" s="3"/>
      <c r="E4108" s="3"/>
      <c r="F4108" s="3"/>
      <c r="G4108" s="3"/>
      <c r="H4108" s="3"/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</row>
    <row r="4109">
      <c r="A4109" s="3"/>
      <c r="B4109" s="3"/>
      <c r="C4109" s="3"/>
      <c r="D4109" s="3"/>
      <c r="E4109" s="3"/>
      <c r="F4109" s="3"/>
      <c r="G4109" s="3"/>
      <c r="H4109" s="3"/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</row>
    <row r="4110">
      <c r="A4110" s="3"/>
      <c r="B4110" s="3"/>
      <c r="C4110" s="3"/>
      <c r="D4110" s="3"/>
      <c r="E4110" s="3"/>
      <c r="F4110" s="3"/>
      <c r="G4110" s="3"/>
      <c r="H4110" s="3"/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</row>
    <row r="4111">
      <c r="A4111" s="3"/>
      <c r="B4111" s="3"/>
      <c r="C4111" s="3"/>
      <c r="D4111" s="3"/>
      <c r="E4111" s="3"/>
      <c r="F4111" s="3"/>
      <c r="G4111" s="3"/>
      <c r="H4111" s="3"/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</row>
    <row r="4112">
      <c r="A4112" s="3"/>
      <c r="B4112" s="3"/>
      <c r="C4112" s="3"/>
      <c r="D4112" s="3"/>
      <c r="E4112" s="3"/>
      <c r="F4112" s="3"/>
      <c r="G4112" s="3"/>
      <c r="H4112" s="3"/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</row>
    <row r="4113">
      <c r="A4113" s="3"/>
      <c r="B4113" s="3"/>
      <c r="C4113" s="3"/>
      <c r="D4113" s="3"/>
      <c r="E4113" s="3"/>
      <c r="F4113" s="3"/>
      <c r="G4113" s="3"/>
      <c r="H4113" s="3"/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</row>
    <row r="4114">
      <c r="A4114" s="3"/>
      <c r="B4114" s="3"/>
      <c r="C4114" s="3"/>
      <c r="D4114" s="3"/>
      <c r="E4114" s="3"/>
      <c r="F4114" s="3"/>
      <c r="G4114" s="3"/>
      <c r="H4114" s="3"/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</row>
    <row r="4115">
      <c r="A4115" s="3"/>
      <c r="B4115" s="3"/>
      <c r="C4115" s="3"/>
      <c r="D4115" s="3"/>
      <c r="E4115" s="3"/>
      <c r="F4115" s="3"/>
      <c r="G4115" s="3"/>
      <c r="H4115" s="3"/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</row>
    <row r="4116">
      <c r="A4116" s="3"/>
      <c r="B4116" s="3"/>
      <c r="C4116" s="3"/>
      <c r="D4116" s="3"/>
      <c r="E4116" s="3"/>
      <c r="F4116" s="3"/>
      <c r="G4116" s="3"/>
      <c r="H4116" s="3"/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</row>
    <row r="4117">
      <c r="A4117" s="3"/>
      <c r="B4117" s="3"/>
      <c r="C4117" s="3"/>
      <c r="D4117" s="3"/>
      <c r="E4117" s="3"/>
      <c r="F4117" s="3"/>
      <c r="G4117" s="3"/>
      <c r="H4117" s="3"/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</row>
    <row r="4118">
      <c r="A4118" s="3"/>
      <c r="B4118" s="3"/>
      <c r="C4118" s="3"/>
      <c r="D4118" s="3"/>
      <c r="E4118" s="3"/>
      <c r="F4118" s="3"/>
      <c r="G4118" s="3"/>
      <c r="H4118" s="3"/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</row>
    <row r="4119">
      <c r="A4119" s="3"/>
      <c r="B4119" s="3"/>
      <c r="C4119" s="3"/>
      <c r="D4119" s="3"/>
      <c r="E4119" s="3"/>
      <c r="F4119" s="3"/>
      <c r="G4119" s="3"/>
      <c r="H4119" s="3"/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</row>
    <row r="4120">
      <c r="A4120" s="3"/>
      <c r="B4120" s="3"/>
      <c r="C4120" s="3"/>
      <c r="D4120" s="3"/>
      <c r="E4120" s="3"/>
      <c r="F4120" s="3"/>
      <c r="G4120" s="3"/>
      <c r="H4120" s="3"/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</row>
    <row r="4121">
      <c r="A4121" s="3"/>
      <c r="B4121" s="3"/>
      <c r="C4121" s="3"/>
      <c r="D4121" s="3"/>
      <c r="E4121" s="3"/>
      <c r="F4121" s="3"/>
      <c r="G4121" s="3"/>
      <c r="H4121" s="3"/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</row>
    <row r="4122">
      <c r="A4122" s="3"/>
      <c r="B4122" s="3"/>
      <c r="C4122" s="3"/>
      <c r="D4122" s="3"/>
      <c r="E4122" s="3"/>
      <c r="F4122" s="3"/>
      <c r="G4122" s="3"/>
      <c r="H4122" s="3"/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</row>
    <row r="4123">
      <c r="A4123" s="3"/>
      <c r="B4123" s="3"/>
      <c r="C4123" s="3"/>
      <c r="D4123" s="3"/>
      <c r="E4123" s="3"/>
      <c r="F4123" s="3"/>
      <c r="G4123" s="3"/>
      <c r="H4123" s="3"/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</row>
    <row r="4124">
      <c r="A4124" s="3"/>
      <c r="B4124" s="3"/>
      <c r="C4124" s="3"/>
      <c r="D4124" s="3"/>
      <c r="E4124" s="3"/>
      <c r="F4124" s="3"/>
      <c r="G4124" s="3"/>
      <c r="H4124" s="3"/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</row>
    <row r="4125">
      <c r="A4125" s="3"/>
      <c r="B4125" s="3"/>
      <c r="C4125" s="3"/>
      <c r="D4125" s="3"/>
      <c r="E4125" s="3"/>
      <c r="F4125" s="3"/>
      <c r="G4125" s="3"/>
      <c r="H4125" s="3"/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</row>
    <row r="4126">
      <c r="A4126" s="3"/>
      <c r="B4126" s="3"/>
      <c r="C4126" s="3"/>
      <c r="D4126" s="3"/>
      <c r="E4126" s="3"/>
      <c r="F4126" s="3"/>
      <c r="G4126" s="3"/>
      <c r="H4126" s="3"/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</row>
    <row r="4127">
      <c r="A4127" s="3"/>
      <c r="B4127" s="3"/>
      <c r="C4127" s="3"/>
      <c r="D4127" s="3"/>
      <c r="E4127" s="3"/>
      <c r="F4127" s="3"/>
      <c r="G4127" s="3"/>
      <c r="H4127" s="3"/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</row>
    <row r="4128">
      <c r="A4128" s="3"/>
      <c r="B4128" s="3"/>
      <c r="C4128" s="3"/>
      <c r="D4128" s="3"/>
      <c r="E4128" s="3"/>
      <c r="F4128" s="3"/>
      <c r="G4128" s="3"/>
      <c r="H4128" s="3"/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</row>
    <row r="4129">
      <c r="A4129" s="3"/>
      <c r="B4129" s="3"/>
      <c r="C4129" s="3"/>
      <c r="D4129" s="3"/>
      <c r="E4129" s="3"/>
      <c r="F4129" s="3"/>
      <c r="G4129" s="3"/>
      <c r="H4129" s="3"/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</row>
    <row r="4130">
      <c r="A4130" s="3"/>
      <c r="B4130" s="3"/>
      <c r="C4130" s="3"/>
      <c r="D4130" s="3"/>
      <c r="E4130" s="3"/>
      <c r="F4130" s="3"/>
      <c r="G4130" s="3"/>
      <c r="H4130" s="3"/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</row>
    <row r="4131">
      <c r="A4131" s="3"/>
      <c r="B4131" s="3"/>
      <c r="C4131" s="3"/>
      <c r="D4131" s="3"/>
      <c r="E4131" s="3"/>
      <c r="F4131" s="3"/>
      <c r="G4131" s="3"/>
      <c r="H4131" s="3"/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</row>
    <row r="4132">
      <c r="A4132" s="3"/>
      <c r="B4132" s="3"/>
      <c r="C4132" s="3"/>
      <c r="D4132" s="3"/>
      <c r="E4132" s="3"/>
      <c r="F4132" s="3"/>
      <c r="G4132" s="3"/>
      <c r="H4132" s="3"/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</row>
    <row r="4133">
      <c r="A4133" s="3"/>
      <c r="B4133" s="3"/>
      <c r="C4133" s="3"/>
      <c r="D4133" s="3"/>
      <c r="E4133" s="3"/>
      <c r="F4133" s="3"/>
      <c r="G4133" s="3"/>
      <c r="H4133" s="3"/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</row>
    <row r="4134">
      <c r="A4134" s="3"/>
      <c r="B4134" s="3"/>
      <c r="C4134" s="3"/>
      <c r="D4134" s="3"/>
      <c r="E4134" s="3"/>
      <c r="F4134" s="3"/>
      <c r="G4134" s="3"/>
      <c r="H4134" s="3"/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</row>
    <row r="4135">
      <c r="A4135" s="3"/>
      <c r="B4135" s="3"/>
      <c r="C4135" s="3"/>
      <c r="D4135" s="3"/>
      <c r="E4135" s="3"/>
      <c r="F4135" s="3"/>
      <c r="G4135" s="3"/>
      <c r="H4135" s="3"/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</row>
    <row r="4136">
      <c r="A4136" s="3"/>
      <c r="B4136" s="3"/>
      <c r="C4136" s="3"/>
      <c r="D4136" s="3"/>
      <c r="E4136" s="3"/>
      <c r="F4136" s="3"/>
      <c r="G4136" s="3"/>
      <c r="H4136" s="3"/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</row>
    <row r="4137">
      <c r="A4137" s="3"/>
      <c r="B4137" s="3"/>
      <c r="C4137" s="3"/>
      <c r="D4137" s="3"/>
      <c r="E4137" s="3"/>
      <c r="F4137" s="3"/>
      <c r="G4137" s="3"/>
      <c r="H4137" s="3"/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</row>
    <row r="4138">
      <c r="A4138" s="3"/>
      <c r="B4138" s="3"/>
      <c r="C4138" s="3"/>
      <c r="D4138" s="3"/>
      <c r="E4138" s="3"/>
      <c r="F4138" s="3"/>
      <c r="G4138" s="3"/>
      <c r="H4138" s="3"/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</row>
    <row r="4139">
      <c r="A4139" s="3"/>
      <c r="B4139" s="3"/>
      <c r="C4139" s="3"/>
      <c r="D4139" s="3"/>
      <c r="E4139" s="3"/>
      <c r="F4139" s="3"/>
      <c r="G4139" s="3"/>
      <c r="H4139" s="3"/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</row>
    <row r="4140">
      <c r="A4140" s="3"/>
      <c r="B4140" s="3"/>
      <c r="C4140" s="3"/>
      <c r="D4140" s="3"/>
      <c r="E4140" s="3"/>
      <c r="F4140" s="3"/>
      <c r="G4140" s="3"/>
      <c r="H4140" s="3"/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</row>
    <row r="4141">
      <c r="A4141" s="3"/>
      <c r="B4141" s="3"/>
      <c r="C4141" s="3"/>
      <c r="D4141" s="3"/>
      <c r="E4141" s="3"/>
      <c r="F4141" s="3"/>
      <c r="G4141" s="3"/>
      <c r="H4141" s="3"/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</row>
    <row r="4142">
      <c r="A4142" s="3"/>
      <c r="B4142" s="3"/>
      <c r="C4142" s="3"/>
      <c r="D4142" s="3"/>
      <c r="E4142" s="3"/>
      <c r="F4142" s="3"/>
      <c r="G4142" s="3"/>
      <c r="H4142" s="3"/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</row>
    <row r="4143">
      <c r="A4143" s="3"/>
      <c r="B4143" s="3"/>
      <c r="C4143" s="3"/>
      <c r="D4143" s="3"/>
      <c r="E4143" s="3"/>
      <c r="F4143" s="3"/>
      <c r="G4143" s="3"/>
      <c r="H4143" s="3"/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</row>
    <row r="4144">
      <c r="A4144" s="3"/>
      <c r="B4144" s="3"/>
      <c r="C4144" s="3"/>
      <c r="D4144" s="3"/>
      <c r="E4144" s="3"/>
      <c r="F4144" s="3"/>
      <c r="G4144" s="3"/>
      <c r="H4144" s="3"/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</row>
    <row r="4145">
      <c r="A4145" s="3"/>
      <c r="B4145" s="3"/>
      <c r="C4145" s="3"/>
      <c r="D4145" s="3"/>
      <c r="E4145" s="3"/>
      <c r="F4145" s="3"/>
      <c r="G4145" s="3"/>
      <c r="H4145" s="3"/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</row>
    <row r="4146">
      <c r="A4146" s="3"/>
      <c r="B4146" s="3"/>
      <c r="C4146" s="3"/>
      <c r="D4146" s="3"/>
      <c r="E4146" s="3"/>
      <c r="F4146" s="3"/>
      <c r="G4146" s="3"/>
      <c r="H4146" s="3"/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</row>
    <row r="4147">
      <c r="A4147" s="3"/>
      <c r="B4147" s="3"/>
      <c r="C4147" s="3"/>
      <c r="D4147" s="3"/>
      <c r="E4147" s="3"/>
      <c r="F4147" s="3"/>
      <c r="G4147" s="3"/>
      <c r="H4147" s="3"/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</row>
    <row r="4148">
      <c r="A4148" s="3"/>
      <c r="B4148" s="3"/>
      <c r="C4148" s="3"/>
      <c r="D4148" s="3"/>
      <c r="E4148" s="3"/>
      <c r="F4148" s="3"/>
      <c r="G4148" s="3"/>
      <c r="H4148" s="3"/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</row>
    <row r="4149">
      <c r="A4149" s="3"/>
      <c r="B4149" s="3"/>
      <c r="C4149" s="3"/>
      <c r="D4149" s="3"/>
      <c r="E4149" s="3"/>
      <c r="F4149" s="3"/>
      <c r="G4149" s="3"/>
      <c r="H4149" s="3"/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</row>
    <row r="4150">
      <c r="A4150" s="3"/>
      <c r="B4150" s="3"/>
      <c r="C4150" s="3"/>
      <c r="D4150" s="3"/>
      <c r="E4150" s="3"/>
      <c r="F4150" s="3"/>
      <c r="G4150" s="3"/>
      <c r="H4150" s="3"/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</row>
    <row r="4151">
      <c r="A4151" s="3"/>
      <c r="B4151" s="3"/>
      <c r="C4151" s="3"/>
      <c r="D4151" s="3"/>
      <c r="E4151" s="3"/>
      <c r="F4151" s="3"/>
      <c r="G4151" s="3"/>
      <c r="H4151" s="3"/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</row>
    <row r="4152">
      <c r="A4152" s="3"/>
      <c r="B4152" s="3"/>
      <c r="C4152" s="3"/>
      <c r="D4152" s="3"/>
      <c r="E4152" s="3"/>
      <c r="F4152" s="3"/>
      <c r="G4152" s="3"/>
      <c r="H4152" s="3"/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</row>
    <row r="4153">
      <c r="A4153" s="3"/>
      <c r="B4153" s="3"/>
      <c r="C4153" s="3"/>
      <c r="D4153" s="3"/>
      <c r="E4153" s="3"/>
      <c r="F4153" s="3"/>
      <c r="G4153" s="3"/>
      <c r="H4153" s="3"/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</row>
    <row r="4154">
      <c r="A4154" s="3"/>
      <c r="B4154" s="3"/>
      <c r="C4154" s="3"/>
      <c r="D4154" s="3"/>
      <c r="E4154" s="3"/>
      <c r="F4154" s="3"/>
      <c r="G4154" s="3"/>
      <c r="H4154" s="3"/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</row>
    <row r="4155">
      <c r="A4155" s="3"/>
      <c r="B4155" s="3"/>
      <c r="C4155" s="3"/>
      <c r="D4155" s="3"/>
      <c r="E4155" s="3"/>
      <c r="F4155" s="3"/>
      <c r="G4155" s="3"/>
      <c r="H4155" s="3"/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</row>
    <row r="4156">
      <c r="A4156" s="3"/>
      <c r="B4156" s="3"/>
      <c r="C4156" s="3"/>
      <c r="D4156" s="3"/>
      <c r="E4156" s="3"/>
      <c r="F4156" s="3"/>
      <c r="G4156" s="3"/>
      <c r="H4156" s="3"/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</row>
    <row r="4157">
      <c r="A4157" s="3"/>
      <c r="B4157" s="3"/>
      <c r="C4157" s="3"/>
      <c r="D4157" s="3"/>
      <c r="E4157" s="3"/>
      <c r="F4157" s="3"/>
      <c r="G4157" s="3"/>
      <c r="H4157" s="3"/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</row>
    <row r="4158">
      <c r="A4158" s="3"/>
      <c r="B4158" s="3"/>
      <c r="C4158" s="3"/>
      <c r="D4158" s="3"/>
      <c r="E4158" s="3"/>
      <c r="F4158" s="3"/>
      <c r="G4158" s="3"/>
      <c r="H4158" s="3"/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</row>
    <row r="4159">
      <c r="A4159" s="3"/>
      <c r="B4159" s="3"/>
      <c r="C4159" s="3"/>
      <c r="D4159" s="3"/>
      <c r="E4159" s="3"/>
      <c r="F4159" s="3"/>
      <c r="G4159" s="3"/>
      <c r="H4159" s="3"/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</row>
    <row r="4160">
      <c r="A4160" s="3"/>
      <c r="B4160" s="3"/>
      <c r="C4160" s="3"/>
      <c r="D4160" s="3"/>
      <c r="E4160" s="3"/>
      <c r="F4160" s="3"/>
      <c r="G4160" s="3"/>
      <c r="H4160" s="3"/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</row>
    <row r="4161">
      <c r="A4161" s="3"/>
      <c r="B4161" s="3"/>
      <c r="C4161" s="3"/>
      <c r="D4161" s="3"/>
      <c r="E4161" s="3"/>
      <c r="F4161" s="3"/>
      <c r="G4161" s="3"/>
      <c r="H4161" s="3"/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</row>
    <row r="4162">
      <c r="A4162" s="3"/>
      <c r="B4162" s="3"/>
      <c r="C4162" s="3"/>
      <c r="D4162" s="3"/>
      <c r="E4162" s="3"/>
      <c r="F4162" s="3"/>
      <c r="G4162" s="3"/>
      <c r="H4162" s="3"/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</row>
    <row r="4163">
      <c r="A4163" s="3"/>
      <c r="B4163" s="3"/>
      <c r="C4163" s="3"/>
      <c r="D4163" s="3"/>
      <c r="E4163" s="3"/>
      <c r="F4163" s="3"/>
      <c r="G4163" s="3"/>
      <c r="H4163" s="3"/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</row>
    <row r="4164">
      <c r="A4164" s="3"/>
      <c r="B4164" s="3"/>
      <c r="C4164" s="3"/>
      <c r="D4164" s="3"/>
      <c r="E4164" s="3"/>
      <c r="F4164" s="3"/>
      <c r="G4164" s="3"/>
      <c r="H4164" s="3"/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</row>
    <row r="4165">
      <c r="A4165" s="3"/>
      <c r="B4165" s="3"/>
      <c r="C4165" s="3"/>
      <c r="D4165" s="3"/>
      <c r="E4165" s="3"/>
      <c r="F4165" s="3"/>
      <c r="G4165" s="3"/>
      <c r="H4165" s="3"/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</row>
    <row r="4166">
      <c r="A4166" s="3"/>
      <c r="B4166" s="3"/>
      <c r="C4166" s="3"/>
      <c r="D4166" s="3"/>
      <c r="E4166" s="3"/>
      <c r="F4166" s="3"/>
      <c r="G4166" s="3"/>
      <c r="H4166" s="3"/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</row>
    <row r="4167">
      <c r="A4167" s="3"/>
      <c r="B4167" s="3"/>
      <c r="C4167" s="3"/>
      <c r="D4167" s="3"/>
      <c r="E4167" s="3"/>
      <c r="F4167" s="3"/>
      <c r="G4167" s="3"/>
      <c r="H4167" s="3"/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</row>
    <row r="4168">
      <c r="A4168" s="3"/>
      <c r="B4168" s="3"/>
      <c r="C4168" s="3"/>
      <c r="D4168" s="3"/>
      <c r="E4168" s="3"/>
      <c r="F4168" s="3"/>
      <c r="G4168" s="3"/>
      <c r="H4168" s="3"/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</row>
    <row r="4169">
      <c r="A4169" s="3"/>
      <c r="B4169" s="3"/>
      <c r="C4169" s="3"/>
      <c r="D4169" s="3"/>
      <c r="E4169" s="3"/>
      <c r="F4169" s="3"/>
      <c r="G4169" s="3"/>
      <c r="H4169" s="3"/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</row>
    <row r="4170">
      <c r="A4170" s="3"/>
      <c r="B4170" s="3"/>
      <c r="C4170" s="3"/>
      <c r="D4170" s="3"/>
      <c r="E4170" s="3"/>
      <c r="F4170" s="3"/>
      <c r="G4170" s="3"/>
      <c r="H4170" s="3"/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</row>
    <row r="4171">
      <c r="A4171" s="3"/>
      <c r="B4171" s="3"/>
      <c r="C4171" s="3"/>
      <c r="D4171" s="3"/>
      <c r="E4171" s="3"/>
      <c r="F4171" s="3"/>
      <c r="G4171" s="3"/>
      <c r="H4171" s="3"/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</row>
    <row r="4172">
      <c r="A4172" s="3"/>
      <c r="B4172" s="3"/>
      <c r="C4172" s="3"/>
      <c r="D4172" s="3"/>
      <c r="E4172" s="3"/>
      <c r="F4172" s="3"/>
      <c r="G4172" s="3"/>
      <c r="H4172" s="3"/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</row>
    <row r="4173">
      <c r="A4173" s="3"/>
      <c r="B4173" s="3"/>
      <c r="C4173" s="3"/>
      <c r="D4173" s="3"/>
      <c r="E4173" s="3"/>
      <c r="F4173" s="3"/>
      <c r="G4173" s="3"/>
      <c r="H4173" s="3"/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</row>
    <row r="4174">
      <c r="A4174" s="3"/>
      <c r="B4174" s="3"/>
      <c r="C4174" s="3"/>
      <c r="D4174" s="3"/>
      <c r="E4174" s="3"/>
      <c r="F4174" s="3"/>
      <c r="G4174" s="3"/>
      <c r="H4174" s="3"/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</row>
    <row r="4175">
      <c r="A4175" s="3"/>
      <c r="B4175" s="3"/>
      <c r="C4175" s="3"/>
      <c r="D4175" s="3"/>
      <c r="E4175" s="3"/>
      <c r="F4175" s="3"/>
      <c r="G4175" s="3"/>
      <c r="H4175" s="3"/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</row>
    <row r="4176">
      <c r="A4176" s="3"/>
      <c r="B4176" s="3"/>
      <c r="C4176" s="3"/>
      <c r="D4176" s="3"/>
      <c r="E4176" s="3"/>
      <c r="F4176" s="3"/>
      <c r="G4176" s="3"/>
      <c r="H4176" s="3"/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</row>
    <row r="4177">
      <c r="A4177" s="3"/>
      <c r="B4177" s="3"/>
      <c r="C4177" s="3"/>
      <c r="D4177" s="3"/>
      <c r="E4177" s="3"/>
      <c r="F4177" s="3"/>
      <c r="G4177" s="3"/>
      <c r="H4177" s="3"/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</row>
    <row r="4178">
      <c r="A4178" s="3"/>
      <c r="B4178" s="3"/>
      <c r="C4178" s="3"/>
      <c r="D4178" s="3"/>
      <c r="E4178" s="3"/>
      <c r="F4178" s="3"/>
      <c r="G4178" s="3"/>
      <c r="H4178" s="3"/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</row>
    <row r="4179">
      <c r="A4179" s="3"/>
      <c r="B4179" s="3"/>
      <c r="C4179" s="3"/>
      <c r="D4179" s="3"/>
      <c r="E4179" s="3"/>
      <c r="F4179" s="3"/>
      <c r="G4179" s="3"/>
      <c r="H4179" s="3"/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</row>
    <row r="4180">
      <c r="A4180" s="3"/>
      <c r="B4180" s="3"/>
      <c r="C4180" s="3"/>
      <c r="D4180" s="3"/>
      <c r="E4180" s="3"/>
      <c r="F4180" s="3"/>
      <c r="G4180" s="3"/>
      <c r="H4180" s="3"/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</row>
    <row r="4181">
      <c r="A4181" s="3"/>
      <c r="B4181" s="3"/>
      <c r="C4181" s="3"/>
      <c r="D4181" s="3"/>
      <c r="E4181" s="3"/>
      <c r="F4181" s="3"/>
      <c r="G4181" s="3"/>
      <c r="H4181" s="3"/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</row>
    <row r="4182">
      <c r="A4182" s="3"/>
      <c r="B4182" s="3"/>
      <c r="C4182" s="3"/>
      <c r="D4182" s="3"/>
      <c r="E4182" s="3"/>
      <c r="F4182" s="3"/>
      <c r="G4182" s="3"/>
      <c r="H4182" s="3"/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</row>
    <row r="4183">
      <c r="A4183" s="3"/>
      <c r="B4183" s="3"/>
      <c r="C4183" s="3"/>
      <c r="D4183" s="3"/>
      <c r="E4183" s="3"/>
      <c r="F4183" s="3"/>
      <c r="G4183" s="3"/>
      <c r="H4183" s="3"/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</row>
    <row r="4184">
      <c r="A4184" s="3"/>
      <c r="B4184" s="3"/>
      <c r="C4184" s="3"/>
      <c r="D4184" s="3"/>
      <c r="E4184" s="3"/>
      <c r="F4184" s="3"/>
      <c r="G4184" s="3"/>
      <c r="H4184" s="3"/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</row>
    <row r="4185">
      <c r="A4185" s="3"/>
      <c r="B4185" s="3"/>
      <c r="C4185" s="3"/>
      <c r="D4185" s="3"/>
      <c r="E4185" s="3"/>
      <c r="F4185" s="3"/>
      <c r="G4185" s="3"/>
      <c r="H4185" s="3"/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</row>
    <row r="4186">
      <c r="A4186" s="3"/>
      <c r="B4186" s="3"/>
      <c r="C4186" s="3"/>
      <c r="D4186" s="3"/>
      <c r="E4186" s="3"/>
      <c r="F4186" s="3"/>
      <c r="G4186" s="3"/>
      <c r="H4186" s="3"/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</row>
    <row r="4187">
      <c r="A4187" s="3"/>
      <c r="B4187" s="3"/>
      <c r="C4187" s="3"/>
      <c r="D4187" s="3"/>
      <c r="E4187" s="3"/>
      <c r="F4187" s="3"/>
      <c r="G4187" s="3"/>
      <c r="H4187" s="3"/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</row>
    <row r="4188">
      <c r="A4188" s="3"/>
      <c r="B4188" s="3"/>
      <c r="C4188" s="3"/>
      <c r="D4188" s="3"/>
      <c r="E4188" s="3"/>
      <c r="F4188" s="3"/>
      <c r="G4188" s="3"/>
      <c r="H4188" s="3"/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</row>
    <row r="4189">
      <c r="A4189" s="3"/>
      <c r="B4189" s="3"/>
      <c r="C4189" s="3"/>
      <c r="D4189" s="3"/>
      <c r="E4189" s="3"/>
      <c r="F4189" s="3"/>
      <c r="G4189" s="3"/>
      <c r="H4189" s="3"/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</row>
    <row r="4190">
      <c r="A4190" s="3"/>
      <c r="B4190" s="3"/>
      <c r="C4190" s="3"/>
      <c r="D4190" s="3"/>
      <c r="E4190" s="3"/>
      <c r="F4190" s="3"/>
      <c r="G4190" s="3"/>
      <c r="H4190" s="3"/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</row>
    <row r="4191">
      <c r="A4191" s="3"/>
      <c r="B4191" s="3"/>
      <c r="C4191" s="3"/>
      <c r="D4191" s="3"/>
      <c r="E4191" s="3"/>
      <c r="F4191" s="3"/>
      <c r="G4191" s="3"/>
      <c r="H4191" s="3"/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</row>
    <row r="4192">
      <c r="A4192" s="3"/>
      <c r="B4192" s="3"/>
      <c r="C4192" s="3"/>
      <c r="D4192" s="3"/>
      <c r="E4192" s="3"/>
      <c r="F4192" s="3"/>
      <c r="G4192" s="3"/>
      <c r="H4192" s="3"/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</row>
    <row r="4193">
      <c r="A4193" s="3"/>
      <c r="B4193" s="3"/>
      <c r="C4193" s="3"/>
      <c r="D4193" s="3"/>
      <c r="E4193" s="3"/>
      <c r="F4193" s="3"/>
      <c r="G4193" s="3"/>
      <c r="H4193" s="3"/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</row>
    <row r="4194">
      <c r="A4194" s="3"/>
      <c r="B4194" s="3"/>
      <c r="C4194" s="3"/>
      <c r="D4194" s="3"/>
      <c r="E4194" s="3"/>
      <c r="F4194" s="3"/>
      <c r="G4194" s="3"/>
      <c r="H4194" s="3"/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</row>
    <row r="4195">
      <c r="A4195" s="3"/>
      <c r="B4195" s="3"/>
      <c r="C4195" s="3"/>
      <c r="D4195" s="3"/>
      <c r="E4195" s="3"/>
      <c r="F4195" s="3"/>
      <c r="G4195" s="3"/>
      <c r="H4195" s="3"/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</row>
    <row r="4196">
      <c r="A4196" s="3"/>
      <c r="B4196" s="3"/>
      <c r="C4196" s="3"/>
      <c r="D4196" s="3"/>
      <c r="E4196" s="3"/>
      <c r="F4196" s="3"/>
      <c r="G4196" s="3"/>
      <c r="H4196" s="3"/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</row>
    <row r="4197">
      <c r="A4197" s="3"/>
      <c r="B4197" s="3"/>
      <c r="C4197" s="3"/>
      <c r="D4197" s="3"/>
      <c r="E4197" s="3"/>
      <c r="F4197" s="3"/>
      <c r="G4197" s="3"/>
      <c r="H4197" s="3"/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</row>
    <row r="4198">
      <c r="A4198" s="3"/>
      <c r="B4198" s="3"/>
      <c r="C4198" s="3"/>
      <c r="D4198" s="3"/>
      <c r="E4198" s="3"/>
      <c r="F4198" s="3"/>
      <c r="G4198" s="3"/>
      <c r="H4198" s="3"/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</row>
    <row r="4199">
      <c r="A4199" s="3"/>
      <c r="B4199" s="3"/>
      <c r="C4199" s="3"/>
      <c r="D4199" s="3"/>
      <c r="E4199" s="3"/>
      <c r="F4199" s="3"/>
      <c r="G4199" s="3"/>
      <c r="H4199" s="3"/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</row>
    <row r="4200">
      <c r="A4200" s="3"/>
      <c r="B4200" s="3"/>
      <c r="C4200" s="3"/>
      <c r="D4200" s="3"/>
      <c r="E4200" s="3"/>
      <c r="F4200" s="3"/>
      <c r="G4200" s="3"/>
      <c r="H4200" s="3"/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</row>
    <row r="4201">
      <c r="A4201" s="3"/>
      <c r="B4201" s="3"/>
      <c r="C4201" s="3"/>
      <c r="D4201" s="3"/>
      <c r="E4201" s="3"/>
      <c r="F4201" s="3"/>
      <c r="G4201" s="3"/>
      <c r="H4201" s="3"/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</row>
    <row r="4202">
      <c r="A4202" s="3"/>
      <c r="B4202" s="3"/>
      <c r="C4202" s="3"/>
      <c r="D4202" s="3"/>
      <c r="E4202" s="3"/>
      <c r="F4202" s="3"/>
      <c r="G4202" s="3"/>
      <c r="H4202" s="3"/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</row>
    <row r="4203">
      <c r="A4203" s="3"/>
      <c r="B4203" s="3"/>
      <c r="C4203" s="3"/>
      <c r="D4203" s="3"/>
      <c r="E4203" s="3"/>
      <c r="F4203" s="3"/>
      <c r="G4203" s="3"/>
      <c r="H4203" s="3"/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</row>
    <row r="4204">
      <c r="A4204" s="3"/>
      <c r="B4204" s="3"/>
      <c r="C4204" s="3"/>
      <c r="D4204" s="3"/>
      <c r="E4204" s="3"/>
      <c r="F4204" s="3"/>
      <c r="G4204" s="3"/>
      <c r="H4204" s="3"/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</row>
    <row r="4205">
      <c r="A4205" s="3"/>
      <c r="B4205" s="3"/>
      <c r="C4205" s="3"/>
      <c r="D4205" s="3"/>
      <c r="E4205" s="3"/>
      <c r="F4205" s="3"/>
      <c r="G4205" s="3"/>
      <c r="H4205" s="3"/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</row>
    <row r="4206">
      <c r="A4206" s="3"/>
      <c r="B4206" s="3"/>
      <c r="C4206" s="3"/>
      <c r="D4206" s="3"/>
      <c r="E4206" s="3"/>
      <c r="F4206" s="3"/>
      <c r="G4206" s="3"/>
      <c r="H4206" s="3"/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</row>
    <row r="4207">
      <c r="A4207" s="3"/>
      <c r="B4207" s="3"/>
      <c r="C4207" s="3"/>
      <c r="D4207" s="3"/>
      <c r="E4207" s="3"/>
      <c r="F4207" s="3"/>
      <c r="G4207" s="3"/>
      <c r="H4207" s="3"/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</row>
    <row r="4208">
      <c r="A4208" s="3"/>
      <c r="B4208" s="3"/>
      <c r="C4208" s="3"/>
      <c r="D4208" s="3"/>
      <c r="E4208" s="3"/>
      <c r="F4208" s="3"/>
      <c r="G4208" s="3"/>
      <c r="H4208" s="3"/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</row>
    <row r="4209">
      <c r="A4209" s="3"/>
      <c r="B4209" s="3"/>
      <c r="C4209" s="3"/>
      <c r="D4209" s="3"/>
      <c r="E4209" s="3"/>
      <c r="F4209" s="3"/>
      <c r="G4209" s="3"/>
      <c r="H4209" s="3"/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</row>
    <row r="4210">
      <c r="A4210" s="3"/>
      <c r="B4210" s="3"/>
      <c r="C4210" s="3"/>
      <c r="D4210" s="3"/>
      <c r="E4210" s="3"/>
      <c r="F4210" s="3"/>
      <c r="G4210" s="3"/>
      <c r="H4210" s="3"/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</row>
    <row r="4211">
      <c r="A4211" s="3"/>
      <c r="B4211" s="3"/>
      <c r="C4211" s="3"/>
      <c r="D4211" s="3"/>
      <c r="E4211" s="3"/>
      <c r="F4211" s="3"/>
      <c r="G4211" s="3"/>
      <c r="H4211" s="3"/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</row>
    <row r="4212">
      <c r="A4212" s="3"/>
      <c r="B4212" s="3"/>
      <c r="C4212" s="3"/>
      <c r="D4212" s="3"/>
      <c r="E4212" s="3"/>
      <c r="F4212" s="3"/>
      <c r="G4212" s="3"/>
      <c r="H4212" s="3"/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</row>
    <row r="4213">
      <c r="A4213" s="3"/>
      <c r="B4213" s="3"/>
      <c r="C4213" s="3"/>
      <c r="D4213" s="3"/>
      <c r="E4213" s="3"/>
      <c r="F4213" s="3"/>
      <c r="G4213" s="3"/>
      <c r="H4213" s="3"/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</row>
    <row r="4214">
      <c r="A4214" s="3"/>
      <c r="B4214" s="3"/>
      <c r="C4214" s="3"/>
      <c r="D4214" s="3"/>
      <c r="E4214" s="3"/>
      <c r="F4214" s="3"/>
      <c r="G4214" s="3"/>
      <c r="H4214" s="3"/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</row>
    <row r="4215">
      <c r="A4215" s="3"/>
      <c r="B4215" s="3"/>
      <c r="C4215" s="3"/>
      <c r="D4215" s="3"/>
      <c r="E4215" s="3"/>
      <c r="F4215" s="3"/>
      <c r="G4215" s="3"/>
      <c r="H4215" s="3"/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</row>
    <row r="4216">
      <c r="A4216" s="3"/>
      <c r="B4216" s="3"/>
      <c r="C4216" s="3"/>
      <c r="D4216" s="3"/>
      <c r="E4216" s="3"/>
      <c r="F4216" s="3"/>
      <c r="G4216" s="3"/>
      <c r="H4216" s="3"/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</row>
    <row r="4217">
      <c r="A4217" s="3"/>
      <c r="B4217" s="3"/>
      <c r="C4217" s="3"/>
      <c r="D4217" s="3"/>
      <c r="E4217" s="3"/>
      <c r="F4217" s="3"/>
      <c r="G4217" s="3"/>
      <c r="H4217" s="3"/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</row>
    <row r="4218">
      <c r="A4218" s="3"/>
      <c r="B4218" s="3"/>
      <c r="C4218" s="3"/>
      <c r="D4218" s="3"/>
      <c r="E4218" s="3"/>
      <c r="F4218" s="3"/>
      <c r="G4218" s="3"/>
      <c r="H4218" s="3"/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</row>
    <row r="4219">
      <c r="A4219" s="3"/>
      <c r="B4219" s="3"/>
      <c r="C4219" s="3"/>
      <c r="D4219" s="3"/>
      <c r="E4219" s="3"/>
      <c r="F4219" s="3"/>
      <c r="G4219" s="3"/>
      <c r="H4219" s="3"/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</row>
    <row r="4220">
      <c r="A4220" s="3"/>
      <c r="B4220" s="3"/>
      <c r="C4220" s="3"/>
      <c r="D4220" s="3"/>
      <c r="E4220" s="3"/>
      <c r="F4220" s="3"/>
      <c r="G4220" s="3"/>
      <c r="H4220" s="3"/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</row>
    <row r="4221">
      <c r="A4221" s="3"/>
      <c r="B4221" s="3"/>
      <c r="C4221" s="3"/>
      <c r="D4221" s="3"/>
      <c r="E4221" s="3"/>
      <c r="F4221" s="3"/>
      <c r="G4221" s="3"/>
      <c r="H4221" s="3"/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</row>
    <row r="4222">
      <c r="A4222" s="3"/>
      <c r="B4222" s="3"/>
      <c r="C4222" s="3"/>
      <c r="D4222" s="3"/>
      <c r="E4222" s="3"/>
      <c r="F4222" s="3"/>
      <c r="G4222" s="3"/>
      <c r="H4222" s="3"/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</row>
    <row r="4223">
      <c r="A4223" s="3"/>
      <c r="B4223" s="3"/>
      <c r="C4223" s="3"/>
      <c r="D4223" s="3"/>
      <c r="E4223" s="3"/>
      <c r="F4223" s="3"/>
      <c r="G4223" s="3"/>
      <c r="H4223" s="3"/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</row>
    <row r="4224">
      <c r="A4224" s="3"/>
      <c r="B4224" s="3"/>
      <c r="C4224" s="3"/>
      <c r="D4224" s="3"/>
      <c r="E4224" s="3"/>
      <c r="F4224" s="3"/>
      <c r="G4224" s="3"/>
      <c r="H4224" s="3"/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</row>
    <row r="4225">
      <c r="A4225" s="3"/>
      <c r="B4225" s="3"/>
      <c r="C4225" s="3"/>
      <c r="D4225" s="3"/>
      <c r="E4225" s="3"/>
      <c r="F4225" s="3"/>
      <c r="G4225" s="3"/>
      <c r="H4225" s="3"/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</row>
    <row r="4226">
      <c r="A4226" s="3"/>
      <c r="B4226" s="3"/>
      <c r="C4226" s="3"/>
      <c r="D4226" s="3"/>
      <c r="E4226" s="3"/>
      <c r="F4226" s="3"/>
      <c r="G4226" s="3"/>
      <c r="H4226" s="3"/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</row>
    <row r="4227">
      <c r="A4227" s="3"/>
      <c r="B4227" s="3"/>
      <c r="C4227" s="3"/>
      <c r="D4227" s="3"/>
      <c r="E4227" s="3"/>
      <c r="F4227" s="3"/>
      <c r="G4227" s="3"/>
      <c r="H4227" s="3"/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</row>
    <row r="4228">
      <c r="A4228" s="3"/>
      <c r="B4228" s="3"/>
      <c r="C4228" s="3"/>
      <c r="D4228" s="3"/>
      <c r="E4228" s="3"/>
      <c r="F4228" s="3"/>
      <c r="G4228" s="3"/>
      <c r="H4228" s="3"/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</row>
    <row r="4229">
      <c r="A4229" s="3"/>
      <c r="B4229" s="3"/>
      <c r="C4229" s="3"/>
      <c r="D4229" s="3"/>
      <c r="E4229" s="3"/>
      <c r="F4229" s="3"/>
      <c r="G4229" s="3"/>
      <c r="H4229" s="3"/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</row>
    <row r="4230">
      <c r="A4230" s="3"/>
      <c r="B4230" s="3"/>
      <c r="C4230" s="3"/>
      <c r="D4230" s="3"/>
      <c r="E4230" s="3"/>
      <c r="F4230" s="3"/>
      <c r="G4230" s="3"/>
      <c r="H4230" s="3"/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</row>
    <row r="4231">
      <c r="A4231" s="3"/>
      <c r="B4231" s="3"/>
      <c r="C4231" s="3"/>
      <c r="D4231" s="3"/>
      <c r="E4231" s="3"/>
      <c r="F4231" s="3"/>
      <c r="G4231" s="3"/>
      <c r="H4231" s="3"/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</row>
    <row r="4232">
      <c r="A4232" s="3"/>
      <c r="B4232" s="3"/>
      <c r="C4232" s="3"/>
      <c r="D4232" s="3"/>
      <c r="E4232" s="3"/>
      <c r="F4232" s="3"/>
      <c r="G4232" s="3"/>
      <c r="H4232" s="3"/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</row>
    <row r="4233">
      <c r="A4233" s="3"/>
      <c r="B4233" s="3"/>
      <c r="C4233" s="3"/>
      <c r="D4233" s="3"/>
      <c r="E4233" s="3"/>
      <c r="F4233" s="3"/>
      <c r="G4233" s="3"/>
      <c r="H4233" s="3"/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</row>
    <row r="4234">
      <c r="A4234" s="3"/>
      <c r="B4234" s="3"/>
      <c r="C4234" s="3"/>
      <c r="D4234" s="3"/>
      <c r="E4234" s="3"/>
      <c r="F4234" s="3"/>
      <c r="G4234" s="3"/>
      <c r="H4234" s="3"/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</row>
    <row r="4235">
      <c r="A4235" s="3"/>
      <c r="B4235" s="3"/>
      <c r="C4235" s="3"/>
      <c r="D4235" s="3"/>
      <c r="E4235" s="3"/>
      <c r="F4235" s="3"/>
      <c r="G4235" s="3"/>
      <c r="H4235" s="3"/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</row>
    <row r="4236">
      <c r="A4236" s="3"/>
      <c r="B4236" s="3"/>
      <c r="C4236" s="3"/>
      <c r="D4236" s="3"/>
      <c r="E4236" s="3"/>
      <c r="F4236" s="3"/>
      <c r="G4236" s="3"/>
      <c r="H4236" s="3"/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</row>
    <row r="4237">
      <c r="A4237" s="3"/>
      <c r="B4237" s="3"/>
      <c r="C4237" s="3"/>
      <c r="D4237" s="3"/>
      <c r="E4237" s="3"/>
      <c r="F4237" s="3"/>
      <c r="G4237" s="3"/>
      <c r="H4237" s="3"/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</row>
    <row r="4238">
      <c r="A4238" s="3"/>
      <c r="B4238" s="3"/>
      <c r="C4238" s="3"/>
      <c r="D4238" s="3"/>
      <c r="E4238" s="3"/>
      <c r="F4238" s="3"/>
      <c r="G4238" s="3"/>
      <c r="H4238" s="3"/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</row>
    <row r="4239">
      <c r="A4239" s="3"/>
      <c r="B4239" s="3"/>
      <c r="C4239" s="3"/>
      <c r="D4239" s="3"/>
      <c r="E4239" s="3"/>
      <c r="F4239" s="3"/>
      <c r="G4239" s="3"/>
      <c r="H4239" s="3"/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</row>
    <row r="4240">
      <c r="A4240" s="3"/>
      <c r="B4240" s="3"/>
      <c r="C4240" s="3"/>
      <c r="D4240" s="3"/>
      <c r="E4240" s="3"/>
      <c r="F4240" s="3"/>
      <c r="G4240" s="3"/>
      <c r="H4240" s="3"/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</row>
    <row r="4241">
      <c r="A4241" s="3"/>
      <c r="B4241" s="3"/>
      <c r="C4241" s="3"/>
      <c r="D4241" s="3"/>
      <c r="E4241" s="3"/>
      <c r="F4241" s="3"/>
      <c r="G4241" s="3"/>
      <c r="H4241" s="3"/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</row>
    <row r="4242">
      <c r="A4242" s="3"/>
      <c r="B4242" s="3"/>
      <c r="C4242" s="3"/>
      <c r="D4242" s="3"/>
      <c r="E4242" s="3"/>
      <c r="F4242" s="3"/>
      <c r="G4242" s="3"/>
      <c r="H4242" s="3"/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</row>
    <row r="4243">
      <c r="A4243" s="3"/>
      <c r="B4243" s="3"/>
      <c r="C4243" s="3"/>
      <c r="D4243" s="3"/>
      <c r="E4243" s="3"/>
      <c r="F4243" s="3"/>
      <c r="G4243" s="3"/>
      <c r="H4243" s="3"/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</row>
    <row r="4244">
      <c r="A4244" s="3"/>
      <c r="B4244" s="3"/>
      <c r="C4244" s="3"/>
      <c r="D4244" s="3"/>
      <c r="E4244" s="3"/>
      <c r="F4244" s="3"/>
      <c r="G4244" s="3"/>
      <c r="H4244" s="3"/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</row>
    <row r="4245">
      <c r="A4245" s="3"/>
      <c r="B4245" s="3"/>
      <c r="C4245" s="3"/>
      <c r="D4245" s="3"/>
      <c r="E4245" s="3"/>
      <c r="F4245" s="3"/>
      <c r="G4245" s="3"/>
      <c r="H4245" s="3"/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</row>
    <row r="4246">
      <c r="A4246" s="3"/>
      <c r="B4246" s="3"/>
      <c r="C4246" s="3"/>
      <c r="D4246" s="3"/>
      <c r="E4246" s="3"/>
      <c r="F4246" s="3"/>
      <c r="G4246" s="3"/>
      <c r="H4246" s="3"/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</row>
    <row r="4247">
      <c r="A4247" s="3"/>
      <c r="B4247" s="3"/>
      <c r="C4247" s="3"/>
      <c r="D4247" s="3"/>
      <c r="E4247" s="3"/>
      <c r="F4247" s="3"/>
      <c r="G4247" s="3"/>
      <c r="H4247" s="3"/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</row>
    <row r="4248">
      <c r="A4248" s="3"/>
      <c r="B4248" s="3"/>
      <c r="C4248" s="3"/>
      <c r="D4248" s="3"/>
      <c r="E4248" s="3"/>
      <c r="F4248" s="3"/>
      <c r="G4248" s="3"/>
      <c r="H4248" s="3"/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</row>
    <row r="4249">
      <c r="A4249" s="3"/>
      <c r="B4249" s="3"/>
      <c r="C4249" s="3"/>
      <c r="D4249" s="3"/>
      <c r="E4249" s="3"/>
      <c r="F4249" s="3"/>
      <c r="G4249" s="3"/>
      <c r="H4249" s="3"/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</row>
    <row r="4250">
      <c r="A4250" s="3"/>
      <c r="B4250" s="3"/>
      <c r="C4250" s="3"/>
      <c r="D4250" s="3"/>
      <c r="E4250" s="3"/>
      <c r="F4250" s="3"/>
      <c r="G4250" s="3"/>
      <c r="H4250" s="3"/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</row>
    <row r="4251">
      <c r="A4251" s="3"/>
      <c r="B4251" s="3"/>
      <c r="C4251" s="3"/>
      <c r="D4251" s="3"/>
      <c r="E4251" s="3"/>
      <c r="F4251" s="3"/>
      <c r="G4251" s="3"/>
      <c r="H4251" s="3"/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</row>
    <row r="4252">
      <c r="A4252" s="3"/>
      <c r="B4252" s="3"/>
      <c r="C4252" s="3"/>
      <c r="D4252" s="3"/>
      <c r="E4252" s="3"/>
      <c r="F4252" s="3"/>
      <c r="G4252" s="3"/>
      <c r="H4252" s="3"/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</row>
    <row r="4253">
      <c r="A4253" s="3"/>
      <c r="B4253" s="3"/>
      <c r="C4253" s="3"/>
      <c r="D4253" s="3"/>
      <c r="E4253" s="3"/>
      <c r="F4253" s="3"/>
      <c r="G4253" s="3"/>
      <c r="H4253" s="3"/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</row>
    <row r="4254">
      <c r="A4254" s="3"/>
      <c r="B4254" s="3"/>
      <c r="C4254" s="3"/>
      <c r="D4254" s="3"/>
      <c r="E4254" s="3"/>
      <c r="F4254" s="3"/>
      <c r="G4254" s="3"/>
      <c r="H4254" s="3"/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</row>
    <row r="4255">
      <c r="A4255" s="3"/>
      <c r="B4255" s="3"/>
      <c r="C4255" s="3"/>
      <c r="D4255" s="3"/>
      <c r="E4255" s="3"/>
      <c r="F4255" s="3"/>
      <c r="G4255" s="3"/>
      <c r="H4255" s="3"/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</row>
    <row r="4256">
      <c r="A4256" s="3"/>
      <c r="B4256" s="3"/>
      <c r="C4256" s="3"/>
      <c r="D4256" s="3"/>
      <c r="E4256" s="3"/>
      <c r="F4256" s="3"/>
      <c r="G4256" s="3"/>
      <c r="H4256" s="3"/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</row>
    <row r="4257">
      <c r="A4257" s="3"/>
      <c r="B4257" s="3"/>
      <c r="C4257" s="3"/>
      <c r="D4257" s="3"/>
      <c r="E4257" s="3"/>
      <c r="F4257" s="3"/>
      <c r="G4257" s="3"/>
      <c r="H4257" s="3"/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</row>
    <row r="4258">
      <c r="A4258" s="3"/>
      <c r="B4258" s="3"/>
      <c r="C4258" s="3"/>
      <c r="D4258" s="3"/>
      <c r="E4258" s="3"/>
      <c r="F4258" s="3"/>
      <c r="G4258" s="3"/>
      <c r="H4258" s="3"/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</row>
    <row r="4259">
      <c r="A4259" s="3"/>
      <c r="B4259" s="3"/>
      <c r="C4259" s="3"/>
      <c r="D4259" s="3"/>
      <c r="E4259" s="3"/>
      <c r="F4259" s="3"/>
      <c r="G4259" s="3"/>
      <c r="H4259" s="3"/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</row>
    <row r="4260">
      <c r="A4260" s="3"/>
      <c r="B4260" s="3"/>
      <c r="C4260" s="3"/>
      <c r="D4260" s="3"/>
      <c r="E4260" s="3"/>
      <c r="F4260" s="3"/>
      <c r="G4260" s="3"/>
      <c r="H4260" s="3"/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</row>
    <row r="4261">
      <c r="A4261" s="3"/>
      <c r="B4261" s="3"/>
      <c r="C4261" s="3"/>
      <c r="D4261" s="3"/>
      <c r="E4261" s="3"/>
      <c r="F4261" s="3"/>
      <c r="G4261" s="3"/>
      <c r="H4261" s="3"/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</row>
    <row r="4262">
      <c r="A4262" s="3"/>
      <c r="B4262" s="3"/>
      <c r="C4262" s="3"/>
      <c r="D4262" s="3"/>
      <c r="E4262" s="3"/>
      <c r="F4262" s="3"/>
      <c r="G4262" s="3"/>
      <c r="H4262" s="3"/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</row>
    <row r="4263">
      <c r="A4263" s="3"/>
      <c r="B4263" s="3"/>
      <c r="C4263" s="3"/>
      <c r="D4263" s="3"/>
      <c r="E4263" s="3"/>
      <c r="F4263" s="3"/>
      <c r="G4263" s="3"/>
      <c r="H4263" s="3"/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</row>
    <row r="4264">
      <c r="A4264" s="3"/>
      <c r="B4264" s="3"/>
      <c r="C4264" s="3"/>
      <c r="D4264" s="3"/>
      <c r="E4264" s="3"/>
      <c r="F4264" s="3"/>
      <c r="G4264" s="3"/>
      <c r="H4264" s="3"/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</row>
    <row r="4265">
      <c r="A4265" s="3"/>
      <c r="B4265" s="3"/>
      <c r="C4265" s="3"/>
      <c r="D4265" s="3"/>
      <c r="E4265" s="3"/>
      <c r="F4265" s="3"/>
      <c r="G4265" s="3"/>
      <c r="H4265" s="3"/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</row>
    <row r="4266">
      <c r="A4266" s="3"/>
      <c r="B4266" s="3"/>
      <c r="C4266" s="3"/>
      <c r="D4266" s="3"/>
      <c r="E4266" s="3"/>
      <c r="F4266" s="3"/>
      <c r="G4266" s="3"/>
      <c r="H4266" s="3"/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</row>
    <row r="4267">
      <c r="A4267" s="3"/>
      <c r="B4267" s="3"/>
      <c r="C4267" s="3"/>
      <c r="D4267" s="3"/>
      <c r="E4267" s="3"/>
      <c r="F4267" s="3"/>
      <c r="G4267" s="3"/>
      <c r="H4267" s="3"/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</row>
    <row r="4268">
      <c r="A4268" s="3"/>
      <c r="B4268" s="3"/>
      <c r="C4268" s="3"/>
      <c r="D4268" s="3"/>
      <c r="E4268" s="3"/>
      <c r="F4268" s="3"/>
      <c r="G4268" s="3"/>
      <c r="H4268" s="3"/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</row>
    <row r="4269">
      <c r="A4269" s="3"/>
      <c r="B4269" s="3"/>
      <c r="C4269" s="3"/>
      <c r="D4269" s="3"/>
      <c r="E4269" s="3"/>
      <c r="F4269" s="3"/>
      <c r="G4269" s="3"/>
      <c r="H4269" s="3"/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</row>
    <row r="4270">
      <c r="A4270" s="3"/>
      <c r="B4270" s="3"/>
      <c r="C4270" s="3"/>
      <c r="D4270" s="3"/>
      <c r="E4270" s="3"/>
      <c r="F4270" s="3"/>
      <c r="G4270" s="3"/>
      <c r="H4270" s="3"/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</row>
    <row r="4271">
      <c r="A4271" s="3"/>
      <c r="B4271" s="3"/>
      <c r="C4271" s="3"/>
      <c r="D4271" s="3"/>
      <c r="E4271" s="3"/>
      <c r="F4271" s="3"/>
      <c r="G4271" s="3"/>
      <c r="H4271" s="3"/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</row>
    <row r="4272">
      <c r="A4272" s="3"/>
      <c r="B4272" s="3"/>
      <c r="C4272" s="3"/>
      <c r="D4272" s="3"/>
      <c r="E4272" s="3"/>
      <c r="F4272" s="3"/>
      <c r="G4272" s="3"/>
      <c r="H4272" s="3"/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</row>
    <row r="4273">
      <c r="A4273" s="3"/>
      <c r="B4273" s="3"/>
      <c r="C4273" s="3"/>
      <c r="D4273" s="3"/>
      <c r="E4273" s="3"/>
      <c r="F4273" s="3"/>
      <c r="G4273" s="3"/>
      <c r="H4273" s="3"/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</row>
    <row r="4274">
      <c r="A4274" s="3"/>
      <c r="B4274" s="3"/>
      <c r="C4274" s="3"/>
      <c r="D4274" s="3"/>
      <c r="E4274" s="3"/>
      <c r="F4274" s="3"/>
      <c r="G4274" s="3"/>
      <c r="H4274" s="3"/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</row>
    <row r="4275">
      <c r="A4275" s="3"/>
      <c r="B4275" s="3"/>
      <c r="C4275" s="3"/>
      <c r="D4275" s="3"/>
      <c r="E4275" s="3"/>
      <c r="F4275" s="3"/>
      <c r="G4275" s="3"/>
      <c r="H4275" s="3"/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</row>
    <row r="4276">
      <c r="A4276" s="3"/>
      <c r="B4276" s="3"/>
      <c r="C4276" s="3"/>
      <c r="D4276" s="3"/>
      <c r="E4276" s="3"/>
      <c r="F4276" s="3"/>
      <c r="G4276" s="3"/>
      <c r="H4276" s="3"/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</row>
    <row r="4277">
      <c r="A4277" s="3"/>
      <c r="B4277" s="3"/>
      <c r="C4277" s="3"/>
      <c r="D4277" s="3"/>
      <c r="E4277" s="3"/>
      <c r="F4277" s="3"/>
      <c r="G4277" s="3"/>
      <c r="H4277" s="3"/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</row>
    <row r="4278">
      <c r="A4278" s="3"/>
      <c r="B4278" s="3"/>
      <c r="C4278" s="3"/>
      <c r="D4278" s="3"/>
      <c r="E4278" s="3"/>
      <c r="F4278" s="3"/>
      <c r="G4278" s="3"/>
      <c r="H4278" s="3"/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</row>
    <row r="4279">
      <c r="A4279" s="3"/>
      <c r="B4279" s="3"/>
      <c r="C4279" s="3"/>
      <c r="D4279" s="3"/>
      <c r="E4279" s="3"/>
      <c r="F4279" s="3"/>
      <c r="G4279" s="3"/>
      <c r="H4279" s="3"/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</row>
    <row r="4280">
      <c r="A4280" s="3"/>
      <c r="B4280" s="3"/>
      <c r="C4280" s="3"/>
      <c r="D4280" s="3"/>
      <c r="E4280" s="3"/>
      <c r="F4280" s="3"/>
      <c r="G4280" s="3"/>
      <c r="H4280" s="3"/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</row>
    <row r="4281">
      <c r="A4281" s="3"/>
      <c r="B4281" s="3"/>
      <c r="C4281" s="3"/>
      <c r="D4281" s="3"/>
      <c r="E4281" s="3"/>
      <c r="F4281" s="3"/>
      <c r="G4281" s="3"/>
      <c r="H4281" s="3"/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</row>
    <row r="4282">
      <c r="A4282" s="3"/>
      <c r="B4282" s="3"/>
      <c r="C4282" s="3"/>
      <c r="D4282" s="3"/>
      <c r="E4282" s="3"/>
      <c r="F4282" s="3"/>
      <c r="G4282" s="3"/>
      <c r="H4282" s="3"/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</row>
    <row r="4283">
      <c r="A4283" s="3"/>
      <c r="B4283" s="3"/>
      <c r="C4283" s="3"/>
      <c r="D4283" s="3"/>
      <c r="E4283" s="3"/>
      <c r="F4283" s="3"/>
      <c r="G4283" s="3"/>
      <c r="H4283" s="3"/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</row>
    <row r="4284">
      <c r="A4284" s="3"/>
      <c r="B4284" s="3"/>
      <c r="C4284" s="3"/>
      <c r="D4284" s="3"/>
      <c r="E4284" s="3"/>
      <c r="F4284" s="3"/>
      <c r="G4284" s="3"/>
      <c r="H4284" s="3"/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</row>
    <row r="4285">
      <c r="A4285" s="3"/>
      <c r="B4285" s="3"/>
      <c r="C4285" s="3"/>
      <c r="D4285" s="3"/>
      <c r="E4285" s="3"/>
      <c r="F4285" s="3"/>
      <c r="G4285" s="3"/>
      <c r="H4285" s="3"/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</row>
    <row r="4286">
      <c r="A4286" s="3"/>
      <c r="B4286" s="3"/>
      <c r="C4286" s="3"/>
      <c r="D4286" s="3"/>
      <c r="E4286" s="3"/>
      <c r="F4286" s="3"/>
      <c r="G4286" s="3"/>
      <c r="H4286" s="3"/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</row>
    <row r="4287">
      <c r="A4287" s="3"/>
      <c r="B4287" s="3"/>
      <c r="C4287" s="3"/>
      <c r="D4287" s="3"/>
      <c r="E4287" s="3"/>
      <c r="F4287" s="3"/>
      <c r="G4287" s="3"/>
      <c r="H4287" s="3"/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</row>
    <row r="4288">
      <c r="A4288" s="3"/>
      <c r="B4288" s="3"/>
      <c r="C4288" s="3"/>
      <c r="D4288" s="3"/>
      <c r="E4288" s="3"/>
      <c r="F4288" s="3"/>
      <c r="G4288" s="3"/>
      <c r="H4288" s="3"/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</row>
    <row r="4289">
      <c r="A4289" s="3"/>
      <c r="B4289" s="3"/>
      <c r="C4289" s="3"/>
      <c r="D4289" s="3"/>
      <c r="E4289" s="3"/>
      <c r="F4289" s="3"/>
      <c r="G4289" s="3"/>
      <c r="H4289" s="3"/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</row>
    <row r="4290">
      <c r="A4290" s="3"/>
      <c r="B4290" s="3"/>
      <c r="C4290" s="3"/>
      <c r="D4290" s="3"/>
      <c r="E4290" s="3"/>
      <c r="F4290" s="3"/>
      <c r="G4290" s="3"/>
      <c r="H4290" s="3"/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</row>
    <row r="4291">
      <c r="A4291" s="3"/>
      <c r="B4291" s="3"/>
      <c r="C4291" s="3"/>
      <c r="D4291" s="3"/>
      <c r="E4291" s="3"/>
      <c r="F4291" s="3"/>
      <c r="G4291" s="3"/>
      <c r="H4291" s="3"/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</row>
    <row r="4292">
      <c r="A4292" s="3"/>
      <c r="B4292" s="3"/>
      <c r="C4292" s="3"/>
      <c r="D4292" s="3"/>
      <c r="E4292" s="3"/>
      <c r="F4292" s="3"/>
      <c r="G4292" s="3"/>
      <c r="H4292" s="3"/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</row>
    <row r="4293">
      <c r="A4293" s="3"/>
      <c r="B4293" s="3"/>
      <c r="C4293" s="3"/>
      <c r="D4293" s="3"/>
      <c r="E4293" s="3"/>
      <c r="F4293" s="3"/>
      <c r="G4293" s="3"/>
      <c r="H4293" s="3"/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</row>
    <row r="4294">
      <c r="A4294" s="3"/>
      <c r="B4294" s="3"/>
      <c r="C4294" s="3"/>
      <c r="D4294" s="3"/>
      <c r="E4294" s="3"/>
      <c r="F4294" s="3"/>
      <c r="G4294" s="3"/>
      <c r="H4294" s="3"/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</row>
    <row r="4295">
      <c r="A4295" s="3"/>
      <c r="B4295" s="3"/>
      <c r="C4295" s="3"/>
      <c r="D4295" s="3"/>
      <c r="E4295" s="3"/>
      <c r="F4295" s="3"/>
      <c r="G4295" s="3"/>
      <c r="H4295" s="3"/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</row>
    <row r="4296">
      <c r="A4296" s="3"/>
      <c r="B4296" s="3"/>
      <c r="C4296" s="3"/>
      <c r="D4296" s="3"/>
      <c r="E4296" s="3"/>
      <c r="F4296" s="3"/>
      <c r="G4296" s="3"/>
      <c r="H4296" s="3"/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</row>
    <row r="4297">
      <c r="A4297" s="3"/>
      <c r="B4297" s="3"/>
      <c r="C4297" s="3"/>
      <c r="D4297" s="3"/>
      <c r="E4297" s="3"/>
      <c r="F4297" s="3"/>
      <c r="G4297" s="3"/>
      <c r="H4297" s="3"/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</row>
    <row r="4298">
      <c r="A4298" s="3"/>
      <c r="B4298" s="3"/>
      <c r="C4298" s="3"/>
      <c r="D4298" s="3"/>
      <c r="E4298" s="3"/>
      <c r="F4298" s="3"/>
      <c r="G4298" s="3"/>
      <c r="H4298" s="3"/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</row>
    <row r="4299">
      <c r="A4299" s="3"/>
      <c r="B4299" s="3"/>
      <c r="C4299" s="3"/>
      <c r="D4299" s="3"/>
      <c r="E4299" s="3"/>
      <c r="F4299" s="3"/>
      <c r="G4299" s="3"/>
      <c r="H4299" s="3"/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</row>
    <row r="4300">
      <c r="A4300" s="3"/>
      <c r="B4300" s="3"/>
      <c r="C4300" s="3"/>
      <c r="D4300" s="3"/>
      <c r="E4300" s="3"/>
      <c r="F4300" s="3"/>
      <c r="G4300" s="3"/>
      <c r="H4300" s="3"/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</row>
    <row r="4301">
      <c r="A4301" s="3"/>
      <c r="B4301" s="3"/>
      <c r="C4301" s="3"/>
      <c r="D4301" s="3"/>
      <c r="E4301" s="3"/>
      <c r="F4301" s="3"/>
      <c r="G4301" s="3"/>
      <c r="H4301" s="3"/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</row>
    <row r="4302">
      <c r="A4302" s="3"/>
      <c r="B4302" s="3"/>
      <c r="C4302" s="3"/>
      <c r="D4302" s="3"/>
      <c r="E4302" s="3"/>
      <c r="F4302" s="3"/>
      <c r="G4302" s="3"/>
      <c r="H4302" s="3"/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</row>
    <row r="4303">
      <c r="A4303" s="3"/>
      <c r="B4303" s="3"/>
      <c r="C4303" s="3"/>
      <c r="D4303" s="3"/>
      <c r="E4303" s="3"/>
      <c r="F4303" s="3"/>
      <c r="G4303" s="3"/>
      <c r="H4303" s="3"/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</row>
    <row r="4304">
      <c r="A4304" s="3"/>
      <c r="B4304" s="3"/>
      <c r="C4304" s="3"/>
      <c r="D4304" s="3"/>
      <c r="E4304" s="3"/>
      <c r="F4304" s="3"/>
      <c r="G4304" s="3"/>
      <c r="H4304" s="3"/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</row>
    <row r="4305">
      <c r="A4305" s="3"/>
      <c r="B4305" s="3"/>
      <c r="C4305" s="3"/>
      <c r="D4305" s="3"/>
      <c r="E4305" s="3"/>
      <c r="F4305" s="3"/>
      <c r="G4305" s="3"/>
      <c r="H4305" s="3"/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</row>
    <row r="4306">
      <c r="A4306" s="3"/>
      <c r="B4306" s="3"/>
      <c r="C4306" s="3"/>
      <c r="D4306" s="3"/>
      <c r="E4306" s="3"/>
      <c r="F4306" s="3"/>
      <c r="G4306" s="3"/>
      <c r="H4306" s="3"/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</row>
    <row r="4307">
      <c r="A4307" s="3"/>
      <c r="B4307" s="3"/>
      <c r="C4307" s="3"/>
      <c r="D4307" s="3"/>
      <c r="E4307" s="3"/>
      <c r="F4307" s="3"/>
      <c r="G4307" s="3"/>
      <c r="H4307" s="3"/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</row>
    <row r="4308">
      <c r="A4308" s="3"/>
      <c r="B4308" s="3"/>
      <c r="C4308" s="3"/>
      <c r="D4308" s="3"/>
      <c r="E4308" s="3"/>
      <c r="F4308" s="3"/>
      <c r="G4308" s="3"/>
      <c r="H4308" s="3"/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</row>
    <row r="4309">
      <c r="A4309" s="3"/>
      <c r="B4309" s="3"/>
      <c r="C4309" s="3"/>
      <c r="D4309" s="3"/>
      <c r="E4309" s="3"/>
      <c r="F4309" s="3"/>
      <c r="G4309" s="3"/>
      <c r="H4309" s="3"/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</row>
    <row r="4310">
      <c r="A4310" s="3"/>
      <c r="B4310" s="3"/>
      <c r="C4310" s="3"/>
      <c r="D4310" s="3"/>
      <c r="E4310" s="3"/>
      <c r="F4310" s="3"/>
      <c r="G4310" s="3"/>
      <c r="H4310" s="3"/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</row>
    <row r="4311">
      <c r="A4311" s="3"/>
      <c r="B4311" s="3"/>
      <c r="C4311" s="3"/>
      <c r="D4311" s="3"/>
      <c r="E4311" s="3"/>
      <c r="F4311" s="3"/>
      <c r="G4311" s="3"/>
      <c r="H4311" s="3"/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</row>
    <row r="4312">
      <c r="A4312" s="3"/>
      <c r="B4312" s="3"/>
      <c r="C4312" s="3"/>
      <c r="D4312" s="3"/>
      <c r="E4312" s="3"/>
      <c r="F4312" s="3"/>
      <c r="G4312" s="3"/>
      <c r="H4312" s="3"/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</row>
    <row r="4313">
      <c r="A4313" s="3"/>
      <c r="B4313" s="3"/>
      <c r="C4313" s="3"/>
      <c r="D4313" s="3"/>
      <c r="E4313" s="3"/>
      <c r="F4313" s="3"/>
      <c r="G4313" s="3"/>
      <c r="H4313" s="3"/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</row>
    <row r="4314">
      <c r="A4314" s="3"/>
      <c r="B4314" s="3"/>
      <c r="C4314" s="3"/>
      <c r="D4314" s="3"/>
      <c r="E4314" s="3"/>
      <c r="F4314" s="3"/>
      <c r="G4314" s="3"/>
      <c r="H4314" s="3"/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</row>
    <row r="4315">
      <c r="A4315" s="3"/>
      <c r="B4315" s="3"/>
      <c r="C4315" s="3"/>
      <c r="D4315" s="3"/>
      <c r="E4315" s="3"/>
      <c r="F4315" s="3"/>
      <c r="G4315" s="3"/>
      <c r="H4315" s="3"/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</row>
    <row r="4316">
      <c r="A4316" s="3"/>
      <c r="B4316" s="3"/>
      <c r="C4316" s="3"/>
      <c r="D4316" s="3"/>
      <c r="E4316" s="3"/>
      <c r="F4316" s="3"/>
      <c r="G4316" s="3"/>
      <c r="H4316" s="3"/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</row>
    <row r="4317">
      <c r="A4317" s="3"/>
      <c r="B4317" s="3"/>
      <c r="C4317" s="3"/>
      <c r="D4317" s="3"/>
      <c r="E4317" s="3"/>
      <c r="F4317" s="3"/>
      <c r="G4317" s="3"/>
      <c r="H4317" s="3"/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</row>
    <row r="4318">
      <c r="A4318" s="3"/>
      <c r="B4318" s="3"/>
      <c r="C4318" s="3"/>
      <c r="D4318" s="3"/>
      <c r="E4318" s="3"/>
      <c r="F4318" s="3"/>
      <c r="G4318" s="3"/>
      <c r="H4318" s="3"/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</row>
    <row r="4319">
      <c r="A4319" s="3"/>
      <c r="B4319" s="3"/>
      <c r="C4319" s="3"/>
      <c r="D4319" s="3"/>
      <c r="E4319" s="3"/>
      <c r="F4319" s="3"/>
      <c r="G4319" s="3"/>
      <c r="H4319" s="3"/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</row>
    <row r="4320">
      <c r="A4320" s="3"/>
      <c r="B4320" s="3"/>
      <c r="C4320" s="3"/>
      <c r="D4320" s="3"/>
      <c r="E4320" s="3"/>
      <c r="F4320" s="3"/>
      <c r="G4320" s="3"/>
      <c r="H4320" s="3"/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</row>
    <row r="4321">
      <c r="A4321" s="3"/>
      <c r="B4321" s="3"/>
      <c r="C4321" s="3"/>
      <c r="D4321" s="3"/>
      <c r="E4321" s="3"/>
      <c r="F4321" s="3"/>
      <c r="G4321" s="3"/>
      <c r="H4321" s="3"/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</row>
    <row r="4322">
      <c r="A4322" s="3"/>
      <c r="B4322" s="3"/>
      <c r="C4322" s="3"/>
      <c r="D4322" s="3"/>
      <c r="E4322" s="3"/>
      <c r="F4322" s="3"/>
      <c r="G4322" s="3"/>
      <c r="H4322" s="3"/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</row>
    <row r="4323">
      <c r="A4323" s="3"/>
      <c r="B4323" s="3"/>
      <c r="C4323" s="3"/>
      <c r="D4323" s="3"/>
      <c r="E4323" s="3"/>
      <c r="F4323" s="3"/>
      <c r="G4323" s="3"/>
      <c r="H4323" s="3"/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</row>
    <row r="4324">
      <c r="A4324" s="3"/>
      <c r="B4324" s="3"/>
      <c r="C4324" s="3"/>
      <c r="D4324" s="3"/>
      <c r="E4324" s="3"/>
      <c r="F4324" s="3"/>
      <c r="G4324" s="3"/>
      <c r="H4324" s="3"/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</row>
    <row r="4325">
      <c r="A4325" s="3"/>
      <c r="B4325" s="3"/>
      <c r="C4325" s="3"/>
      <c r="D4325" s="3"/>
      <c r="E4325" s="3"/>
      <c r="F4325" s="3"/>
      <c r="G4325" s="3"/>
      <c r="H4325" s="3"/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</row>
    <row r="4326">
      <c r="A4326" s="3"/>
      <c r="B4326" s="3"/>
      <c r="C4326" s="3"/>
      <c r="D4326" s="3"/>
      <c r="E4326" s="3"/>
      <c r="F4326" s="3"/>
      <c r="G4326" s="3"/>
      <c r="H4326" s="3"/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</row>
    <row r="4327">
      <c r="A4327" s="3"/>
      <c r="B4327" s="3"/>
      <c r="C4327" s="3"/>
      <c r="D4327" s="3"/>
      <c r="E4327" s="3"/>
      <c r="F4327" s="3"/>
      <c r="G4327" s="3"/>
      <c r="H4327" s="3"/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</row>
    <row r="4328">
      <c r="A4328" s="3"/>
      <c r="B4328" s="3"/>
      <c r="C4328" s="3"/>
      <c r="D4328" s="3"/>
      <c r="E4328" s="3"/>
      <c r="F4328" s="3"/>
      <c r="G4328" s="3"/>
      <c r="H4328" s="3"/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</row>
    <row r="4329">
      <c r="A4329" s="3"/>
      <c r="B4329" s="3"/>
      <c r="C4329" s="3"/>
      <c r="D4329" s="3"/>
      <c r="E4329" s="3"/>
      <c r="F4329" s="3"/>
      <c r="G4329" s="3"/>
      <c r="H4329" s="3"/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</row>
    <row r="4330">
      <c r="A4330" s="3"/>
      <c r="B4330" s="3"/>
      <c r="C4330" s="3"/>
      <c r="D4330" s="3"/>
      <c r="E4330" s="3"/>
      <c r="F4330" s="3"/>
      <c r="G4330" s="3"/>
      <c r="H4330" s="3"/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</row>
    <row r="4331">
      <c r="A4331" s="3"/>
      <c r="B4331" s="3"/>
      <c r="C4331" s="3"/>
      <c r="D4331" s="3"/>
      <c r="E4331" s="3"/>
      <c r="F4331" s="3"/>
      <c r="G4331" s="3"/>
      <c r="H4331" s="3"/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</row>
    <row r="4332">
      <c r="A4332" s="3"/>
      <c r="B4332" s="3"/>
      <c r="C4332" s="3"/>
      <c r="D4332" s="3"/>
      <c r="E4332" s="3"/>
      <c r="F4332" s="3"/>
      <c r="G4332" s="3"/>
      <c r="H4332" s="3"/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</row>
    <row r="4333">
      <c r="A4333" s="3"/>
      <c r="B4333" s="3"/>
      <c r="C4333" s="3"/>
      <c r="D4333" s="3"/>
      <c r="E4333" s="3"/>
      <c r="F4333" s="3"/>
      <c r="G4333" s="3"/>
      <c r="H4333" s="3"/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</row>
    <row r="4334">
      <c r="A4334" s="3"/>
      <c r="B4334" s="3"/>
      <c r="C4334" s="3"/>
      <c r="D4334" s="3"/>
      <c r="E4334" s="3"/>
      <c r="F4334" s="3"/>
      <c r="G4334" s="3"/>
      <c r="H4334" s="3"/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</row>
    <row r="4335">
      <c r="A4335" s="3"/>
      <c r="B4335" s="3"/>
      <c r="C4335" s="3"/>
      <c r="D4335" s="3"/>
      <c r="E4335" s="3"/>
      <c r="F4335" s="3"/>
      <c r="G4335" s="3"/>
      <c r="H4335" s="3"/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</row>
    <row r="4336">
      <c r="A4336" s="3"/>
      <c r="B4336" s="3"/>
      <c r="C4336" s="3"/>
      <c r="D4336" s="3"/>
      <c r="E4336" s="3"/>
      <c r="F4336" s="3"/>
      <c r="G4336" s="3"/>
      <c r="H4336" s="3"/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</row>
    <row r="4337">
      <c r="A4337" s="3"/>
      <c r="B4337" s="3"/>
      <c r="C4337" s="3"/>
      <c r="D4337" s="3"/>
      <c r="E4337" s="3"/>
      <c r="F4337" s="3"/>
      <c r="G4337" s="3"/>
      <c r="H4337" s="3"/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</row>
    <row r="4338">
      <c r="A4338" s="3"/>
      <c r="B4338" s="3"/>
      <c r="C4338" s="3"/>
      <c r="D4338" s="3"/>
      <c r="E4338" s="3"/>
      <c r="F4338" s="3"/>
      <c r="G4338" s="3"/>
      <c r="H4338" s="3"/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</row>
    <row r="4339">
      <c r="A4339" s="3"/>
      <c r="B4339" s="3"/>
      <c r="C4339" s="3"/>
      <c r="D4339" s="3"/>
      <c r="E4339" s="3"/>
      <c r="F4339" s="3"/>
      <c r="G4339" s="3"/>
      <c r="H4339" s="3"/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</row>
    <row r="4340">
      <c r="A4340" s="3"/>
      <c r="B4340" s="3"/>
      <c r="C4340" s="3"/>
      <c r="D4340" s="3"/>
      <c r="E4340" s="3"/>
      <c r="F4340" s="3"/>
      <c r="G4340" s="3"/>
      <c r="H4340" s="3"/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</row>
    <row r="4341">
      <c r="A4341" s="3"/>
      <c r="B4341" s="3"/>
      <c r="C4341" s="3"/>
      <c r="D4341" s="3"/>
      <c r="E4341" s="3"/>
      <c r="F4341" s="3"/>
      <c r="G4341" s="3"/>
      <c r="H4341" s="3"/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</row>
    <row r="4342">
      <c r="A4342" s="3"/>
      <c r="B4342" s="3"/>
      <c r="C4342" s="3"/>
      <c r="D4342" s="3"/>
      <c r="E4342" s="3"/>
      <c r="F4342" s="3"/>
      <c r="G4342" s="3"/>
      <c r="H4342" s="3"/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</row>
    <row r="4343">
      <c r="A4343" s="3"/>
      <c r="B4343" s="3"/>
      <c r="C4343" s="3"/>
      <c r="D4343" s="3"/>
      <c r="E4343" s="3"/>
      <c r="F4343" s="3"/>
      <c r="G4343" s="3"/>
      <c r="H4343" s="3"/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</row>
    <row r="4344">
      <c r="A4344" s="3"/>
      <c r="B4344" s="3"/>
      <c r="C4344" s="3"/>
      <c r="D4344" s="3"/>
      <c r="E4344" s="3"/>
      <c r="F4344" s="3"/>
      <c r="G4344" s="3"/>
      <c r="H4344" s="3"/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</row>
    <row r="4345">
      <c r="A4345" s="3"/>
      <c r="B4345" s="3"/>
      <c r="C4345" s="3"/>
      <c r="D4345" s="3"/>
      <c r="E4345" s="3"/>
      <c r="F4345" s="3"/>
      <c r="G4345" s="3"/>
      <c r="H4345" s="3"/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</row>
    <row r="4346">
      <c r="A4346" s="3"/>
      <c r="B4346" s="3"/>
      <c r="C4346" s="3"/>
      <c r="D4346" s="3"/>
      <c r="E4346" s="3"/>
      <c r="F4346" s="3"/>
      <c r="G4346" s="3"/>
      <c r="H4346" s="3"/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</row>
    <row r="4347">
      <c r="A4347" s="3"/>
      <c r="B4347" s="3"/>
      <c r="C4347" s="3"/>
      <c r="D4347" s="3"/>
      <c r="E4347" s="3"/>
      <c r="F4347" s="3"/>
      <c r="G4347" s="3"/>
      <c r="H4347" s="3"/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</row>
    <row r="4348">
      <c r="A4348" s="3"/>
      <c r="B4348" s="3"/>
      <c r="C4348" s="3"/>
      <c r="D4348" s="3"/>
      <c r="E4348" s="3"/>
      <c r="F4348" s="3"/>
      <c r="G4348" s="3"/>
      <c r="H4348" s="3"/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</row>
    <row r="4349">
      <c r="A4349" s="3"/>
      <c r="B4349" s="3"/>
      <c r="C4349" s="3"/>
      <c r="D4349" s="3"/>
      <c r="E4349" s="3"/>
      <c r="F4349" s="3"/>
      <c r="G4349" s="3"/>
      <c r="H4349" s="3"/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</row>
    <row r="4350">
      <c r="A4350" s="3"/>
      <c r="B4350" s="3"/>
      <c r="C4350" s="3"/>
      <c r="D4350" s="3"/>
      <c r="E4350" s="3"/>
      <c r="F4350" s="3"/>
      <c r="G4350" s="3"/>
      <c r="H4350" s="3"/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</row>
    <row r="4351">
      <c r="A4351" s="3"/>
      <c r="B4351" s="3"/>
      <c r="C4351" s="3"/>
      <c r="D4351" s="3"/>
      <c r="E4351" s="3"/>
      <c r="F4351" s="3"/>
      <c r="G4351" s="3"/>
      <c r="H4351" s="3"/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</row>
    <row r="4352">
      <c r="A4352" s="3"/>
      <c r="B4352" s="3"/>
      <c r="C4352" s="3"/>
      <c r="D4352" s="3"/>
      <c r="E4352" s="3"/>
      <c r="F4352" s="3"/>
      <c r="G4352" s="3"/>
      <c r="H4352" s="3"/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</row>
    <row r="4353">
      <c r="A4353" s="3"/>
      <c r="B4353" s="3"/>
      <c r="C4353" s="3"/>
      <c r="D4353" s="3"/>
      <c r="E4353" s="3"/>
      <c r="F4353" s="3"/>
      <c r="G4353" s="3"/>
      <c r="H4353" s="3"/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</row>
    <row r="4354">
      <c r="A4354" s="3"/>
      <c r="B4354" s="3"/>
      <c r="C4354" s="3"/>
      <c r="D4354" s="3"/>
      <c r="E4354" s="3"/>
      <c r="F4354" s="3"/>
      <c r="G4354" s="3"/>
      <c r="H4354" s="3"/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</row>
    <row r="4355">
      <c r="A4355" s="3"/>
      <c r="B4355" s="3"/>
      <c r="C4355" s="3"/>
      <c r="D4355" s="3"/>
      <c r="E4355" s="3"/>
      <c r="F4355" s="3"/>
      <c r="G4355" s="3"/>
      <c r="H4355" s="3"/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</row>
    <row r="4356">
      <c r="A4356" s="3"/>
      <c r="B4356" s="3"/>
      <c r="C4356" s="3"/>
      <c r="D4356" s="3"/>
      <c r="E4356" s="3"/>
      <c r="F4356" s="3"/>
      <c r="G4356" s="3"/>
      <c r="H4356" s="3"/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</row>
    <row r="4357">
      <c r="A4357" s="3"/>
      <c r="B4357" s="3"/>
      <c r="C4357" s="3"/>
      <c r="D4357" s="3"/>
      <c r="E4357" s="3"/>
      <c r="F4357" s="3"/>
      <c r="G4357" s="3"/>
      <c r="H4357" s="3"/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</row>
    <row r="4358">
      <c r="A4358" s="3"/>
      <c r="B4358" s="3"/>
      <c r="C4358" s="3"/>
      <c r="D4358" s="3"/>
      <c r="E4358" s="3"/>
      <c r="F4358" s="3"/>
      <c r="G4358" s="3"/>
      <c r="H4358" s="3"/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</row>
    <row r="4359">
      <c r="A4359" s="3"/>
      <c r="B4359" s="3"/>
      <c r="C4359" s="3"/>
      <c r="D4359" s="3"/>
      <c r="E4359" s="3"/>
      <c r="F4359" s="3"/>
      <c r="G4359" s="3"/>
      <c r="H4359" s="3"/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</row>
    <row r="4360">
      <c r="A4360" s="3"/>
      <c r="B4360" s="3"/>
      <c r="C4360" s="3"/>
      <c r="D4360" s="3"/>
      <c r="E4360" s="3"/>
      <c r="F4360" s="3"/>
      <c r="G4360" s="3"/>
      <c r="H4360" s="3"/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</row>
    <row r="4361">
      <c r="A4361" s="3"/>
      <c r="B4361" s="3"/>
      <c r="C4361" s="3"/>
      <c r="D4361" s="3"/>
      <c r="E4361" s="3"/>
      <c r="F4361" s="3"/>
      <c r="G4361" s="3"/>
      <c r="H4361" s="3"/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</row>
    <row r="4362">
      <c r="A4362" s="3"/>
      <c r="B4362" s="3"/>
      <c r="C4362" s="3"/>
      <c r="D4362" s="3"/>
      <c r="E4362" s="3"/>
      <c r="F4362" s="3"/>
      <c r="G4362" s="3"/>
      <c r="H4362" s="3"/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</row>
    <row r="4363">
      <c r="A4363" s="3"/>
      <c r="B4363" s="3"/>
      <c r="C4363" s="3"/>
      <c r="D4363" s="3"/>
      <c r="E4363" s="3"/>
      <c r="F4363" s="3"/>
      <c r="G4363" s="3"/>
      <c r="H4363" s="3"/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</row>
    <row r="4364">
      <c r="A4364" s="3"/>
      <c r="B4364" s="3"/>
      <c r="C4364" s="3"/>
      <c r="D4364" s="3"/>
      <c r="E4364" s="3"/>
      <c r="F4364" s="3"/>
      <c r="G4364" s="3"/>
      <c r="H4364" s="3"/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</row>
    <row r="4365">
      <c r="A4365" s="3"/>
      <c r="B4365" s="3"/>
      <c r="C4365" s="3"/>
      <c r="D4365" s="3"/>
      <c r="E4365" s="3"/>
      <c r="F4365" s="3"/>
      <c r="G4365" s="3"/>
      <c r="H4365" s="3"/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</row>
    <row r="4366">
      <c r="A4366" s="3"/>
      <c r="B4366" s="3"/>
      <c r="C4366" s="3"/>
      <c r="D4366" s="3"/>
      <c r="E4366" s="3"/>
      <c r="F4366" s="3"/>
      <c r="G4366" s="3"/>
      <c r="H4366" s="3"/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</row>
    <row r="4367">
      <c r="A4367" s="3"/>
      <c r="B4367" s="3"/>
      <c r="C4367" s="3"/>
      <c r="D4367" s="3"/>
      <c r="E4367" s="3"/>
      <c r="F4367" s="3"/>
      <c r="G4367" s="3"/>
      <c r="H4367" s="3"/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</row>
    <row r="4368">
      <c r="A4368" s="3"/>
      <c r="B4368" s="3"/>
      <c r="C4368" s="3"/>
      <c r="D4368" s="3"/>
      <c r="E4368" s="3"/>
      <c r="F4368" s="3"/>
      <c r="G4368" s="3"/>
      <c r="H4368" s="3"/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</row>
    <row r="4369">
      <c r="A4369" s="3"/>
      <c r="B4369" s="3"/>
      <c r="C4369" s="3"/>
      <c r="D4369" s="3"/>
      <c r="E4369" s="3"/>
      <c r="F4369" s="3"/>
      <c r="G4369" s="3"/>
      <c r="H4369" s="3"/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</row>
    <row r="4370">
      <c r="A4370" s="3"/>
      <c r="B4370" s="3"/>
      <c r="C4370" s="3"/>
      <c r="D4370" s="3"/>
      <c r="E4370" s="3"/>
      <c r="F4370" s="3"/>
      <c r="G4370" s="3"/>
      <c r="H4370" s="3"/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</row>
    <row r="4371">
      <c r="A4371" s="3"/>
      <c r="B4371" s="3"/>
      <c r="C4371" s="3"/>
      <c r="D4371" s="3"/>
      <c r="E4371" s="3"/>
      <c r="F4371" s="3"/>
      <c r="G4371" s="3"/>
      <c r="H4371" s="3"/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</row>
    <row r="4372">
      <c r="A4372" s="3"/>
      <c r="B4372" s="3"/>
      <c r="C4372" s="3"/>
      <c r="D4372" s="3"/>
      <c r="E4372" s="3"/>
      <c r="F4372" s="3"/>
      <c r="G4372" s="3"/>
      <c r="H4372" s="3"/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</row>
    <row r="4373">
      <c r="A4373" s="3"/>
      <c r="B4373" s="3"/>
      <c r="C4373" s="3"/>
      <c r="D4373" s="3"/>
      <c r="E4373" s="3"/>
      <c r="F4373" s="3"/>
      <c r="G4373" s="3"/>
      <c r="H4373" s="3"/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</row>
    <row r="4374">
      <c r="A4374" s="3"/>
      <c r="B4374" s="3"/>
      <c r="C4374" s="3"/>
      <c r="D4374" s="3"/>
      <c r="E4374" s="3"/>
      <c r="F4374" s="3"/>
      <c r="G4374" s="3"/>
      <c r="H4374" s="3"/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</row>
    <row r="4375">
      <c r="A4375" s="3"/>
      <c r="B4375" s="3"/>
      <c r="C4375" s="3"/>
      <c r="D4375" s="3"/>
      <c r="E4375" s="3"/>
      <c r="F4375" s="3"/>
      <c r="G4375" s="3"/>
      <c r="H4375" s="3"/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</row>
    <row r="4376">
      <c r="A4376" s="3"/>
      <c r="B4376" s="3"/>
      <c r="C4376" s="3"/>
      <c r="D4376" s="3"/>
      <c r="E4376" s="3"/>
      <c r="F4376" s="3"/>
      <c r="G4376" s="3"/>
      <c r="H4376" s="3"/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</row>
    <row r="4377">
      <c r="A4377" s="3"/>
      <c r="B4377" s="3"/>
      <c r="C4377" s="3"/>
      <c r="D4377" s="3"/>
      <c r="E4377" s="3"/>
      <c r="F4377" s="3"/>
      <c r="G4377" s="3"/>
      <c r="H4377" s="3"/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</row>
    <row r="4378">
      <c r="A4378" s="3"/>
      <c r="B4378" s="3"/>
      <c r="C4378" s="3"/>
      <c r="D4378" s="3"/>
      <c r="E4378" s="3"/>
      <c r="F4378" s="3"/>
      <c r="G4378" s="3"/>
      <c r="H4378" s="3"/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</row>
    <row r="4379">
      <c r="A4379" s="3"/>
      <c r="B4379" s="3"/>
      <c r="C4379" s="3"/>
      <c r="D4379" s="3"/>
      <c r="E4379" s="3"/>
      <c r="F4379" s="3"/>
      <c r="G4379" s="3"/>
      <c r="H4379" s="3"/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</row>
    <row r="4380">
      <c r="A4380" s="3"/>
      <c r="B4380" s="3"/>
      <c r="C4380" s="3"/>
      <c r="D4380" s="3"/>
      <c r="E4380" s="3"/>
      <c r="F4380" s="3"/>
      <c r="G4380" s="3"/>
      <c r="H4380" s="3"/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</row>
    <row r="4381">
      <c r="A4381" s="3"/>
      <c r="B4381" s="3"/>
      <c r="C4381" s="3"/>
      <c r="D4381" s="3"/>
      <c r="E4381" s="3"/>
      <c r="F4381" s="3"/>
      <c r="G4381" s="3"/>
      <c r="H4381" s="3"/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</row>
    <row r="4382">
      <c r="A4382" s="3"/>
      <c r="B4382" s="3"/>
      <c r="C4382" s="3"/>
      <c r="D4382" s="3"/>
      <c r="E4382" s="3"/>
      <c r="F4382" s="3"/>
      <c r="G4382" s="3"/>
      <c r="H4382" s="3"/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</row>
    <row r="4383">
      <c r="A4383" s="3"/>
      <c r="B4383" s="3"/>
      <c r="C4383" s="3"/>
      <c r="D4383" s="3"/>
      <c r="E4383" s="3"/>
      <c r="F4383" s="3"/>
      <c r="G4383" s="3"/>
      <c r="H4383" s="3"/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</row>
    <row r="4384">
      <c r="A4384" s="3"/>
      <c r="B4384" s="3"/>
      <c r="C4384" s="3"/>
      <c r="D4384" s="3"/>
      <c r="E4384" s="3"/>
      <c r="F4384" s="3"/>
      <c r="G4384" s="3"/>
      <c r="H4384" s="3"/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</row>
    <row r="4385">
      <c r="A4385" s="3"/>
      <c r="B4385" s="3"/>
      <c r="C4385" s="3"/>
      <c r="D4385" s="3"/>
      <c r="E4385" s="3"/>
      <c r="F4385" s="3"/>
      <c r="G4385" s="3"/>
      <c r="H4385" s="3"/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</row>
    <row r="4386">
      <c r="A4386" s="3"/>
      <c r="B4386" s="3"/>
      <c r="C4386" s="3"/>
      <c r="D4386" s="3"/>
      <c r="E4386" s="3"/>
      <c r="F4386" s="3"/>
      <c r="G4386" s="3"/>
      <c r="H4386" s="3"/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</row>
    <row r="4387">
      <c r="A4387" s="3"/>
      <c r="B4387" s="3"/>
      <c r="C4387" s="3"/>
      <c r="D4387" s="3"/>
      <c r="E4387" s="3"/>
      <c r="F4387" s="3"/>
      <c r="G4387" s="3"/>
      <c r="H4387" s="3"/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</row>
    <row r="4388">
      <c r="A4388" s="3"/>
      <c r="B4388" s="3"/>
      <c r="C4388" s="3"/>
      <c r="D4388" s="3"/>
      <c r="E4388" s="3"/>
      <c r="F4388" s="3"/>
      <c r="G4388" s="3"/>
      <c r="H4388" s="3"/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</row>
    <row r="4389">
      <c r="A4389" s="3"/>
      <c r="B4389" s="3"/>
      <c r="C4389" s="3"/>
      <c r="D4389" s="3"/>
      <c r="E4389" s="3"/>
      <c r="F4389" s="3"/>
      <c r="G4389" s="3"/>
      <c r="H4389" s="3"/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</row>
    <row r="4390">
      <c r="A4390" s="3"/>
      <c r="B4390" s="3"/>
      <c r="C4390" s="3"/>
      <c r="D4390" s="3"/>
      <c r="E4390" s="3"/>
      <c r="F4390" s="3"/>
      <c r="G4390" s="3"/>
      <c r="H4390" s="3"/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</row>
    <row r="4391">
      <c r="A4391" s="3"/>
      <c r="B4391" s="3"/>
      <c r="C4391" s="3"/>
      <c r="D4391" s="3"/>
      <c r="E4391" s="3"/>
      <c r="F4391" s="3"/>
      <c r="G4391" s="3"/>
      <c r="H4391" s="3"/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</row>
    <row r="4392">
      <c r="A4392" s="3"/>
      <c r="B4392" s="3"/>
      <c r="C4392" s="3"/>
      <c r="D4392" s="3"/>
      <c r="E4392" s="3"/>
      <c r="F4392" s="3"/>
      <c r="G4392" s="3"/>
      <c r="H4392" s="3"/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</row>
    <row r="4393">
      <c r="A4393" s="3"/>
      <c r="B4393" s="3"/>
      <c r="C4393" s="3"/>
      <c r="D4393" s="3"/>
      <c r="E4393" s="3"/>
      <c r="F4393" s="3"/>
      <c r="G4393" s="3"/>
      <c r="H4393" s="3"/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</row>
    <row r="4394">
      <c r="A4394" s="3"/>
      <c r="B4394" s="3"/>
      <c r="C4394" s="3"/>
      <c r="D4394" s="3"/>
      <c r="E4394" s="3"/>
      <c r="F4394" s="3"/>
      <c r="G4394" s="3"/>
      <c r="H4394" s="3"/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</row>
    <row r="4395">
      <c r="A4395" s="3"/>
      <c r="B4395" s="3"/>
      <c r="C4395" s="3"/>
      <c r="D4395" s="3"/>
      <c r="E4395" s="3"/>
      <c r="F4395" s="3"/>
      <c r="G4395" s="3"/>
      <c r="H4395" s="3"/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</row>
    <row r="4396">
      <c r="A4396" s="3"/>
      <c r="B4396" s="3"/>
      <c r="C4396" s="3"/>
      <c r="D4396" s="3"/>
      <c r="E4396" s="3"/>
      <c r="F4396" s="3"/>
      <c r="G4396" s="3"/>
      <c r="H4396" s="3"/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</row>
    <row r="4397">
      <c r="A4397" s="3"/>
      <c r="B4397" s="3"/>
      <c r="C4397" s="3"/>
      <c r="D4397" s="3"/>
      <c r="E4397" s="3"/>
      <c r="F4397" s="3"/>
      <c r="G4397" s="3"/>
      <c r="H4397" s="3"/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</row>
    <row r="4398">
      <c r="A4398" s="3"/>
      <c r="B4398" s="3"/>
      <c r="C4398" s="3"/>
      <c r="D4398" s="3"/>
      <c r="E4398" s="3"/>
      <c r="F4398" s="3"/>
      <c r="G4398" s="3"/>
      <c r="H4398" s="3"/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</row>
    <row r="4399">
      <c r="A4399" s="3"/>
      <c r="B4399" s="3"/>
      <c r="C4399" s="3"/>
      <c r="D4399" s="3"/>
      <c r="E4399" s="3"/>
      <c r="F4399" s="3"/>
      <c r="G4399" s="3"/>
      <c r="H4399" s="3"/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</row>
    <row r="4400">
      <c r="A4400" s="3"/>
      <c r="B4400" s="3"/>
      <c r="C4400" s="3"/>
      <c r="D4400" s="3"/>
      <c r="E4400" s="3"/>
      <c r="F4400" s="3"/>
      <c r="G4400" s="3"/>
      <c r="H4400" s="3"/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</row>
    <row r="4401">
      <c r="A4401" s="3"/>
      <c r="B4401" s="3"/>
      <c r="C4401" s="3"/>
      <c r="D4401" s="3"/>
      <c r="E4401" s="3"/>
      <c r="F4401" s="3"/>
      <c r="G4401" s="3"/>
      <c r="H4401" s="3"/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</row>
    <row r="4402">
      <c r="A4402" s="3"/>
      <c r="B4402" s="3"/>
      <c r="C4402" s="3"/>
      <c r="D4402" s="3"/>
      <c r="E4402" s="3"/>
      <c r="F4402" s="3"/>
      <c r="G4402" s="3"/>
      <c r="H4402" s="3"/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</row>
    <row r="4403">
      <c r="A4403" s="3"/>
      <c r="B4403" s="3"/>
      <c r="C4403" s="3"/>
      <c r="D4403" s="3"/>
      <c r="E4403" s="3"/>
      <c r="F4403" s="3"/>
      <c r="G4403" s="3"/>
      <c r="H4403" s="3"/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</row>
    <row r="4404">
      <c r="A4404" s="3"/>
      <c r="B4404" s="3"/>
      <c r="C4404" s="3"/>
      <c r="D4404" s="3"/>
      <c r="E4404" s="3"/>
      <c r="F4404" s="3"/>
      <c r="G4404" s="3"/>
      <c r="H4404" s="3"/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</row>
    <row r="4405">
      <c r="A4405" s="3"/>
      <c r="B4405" s="3"/>
      <c r="C4405" s="3"/>
      <c r="D4405" s="3"/>
      <c r="E4405" s="3"/>
      <c r="F4405" s="3"/>
      <c r="G4405" s="3"/>
      <c r="H4405" s="3"/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</row>
    <row r="4406">
      <c r="A4406" s="3"/>
      <c r="B4406" s="3"/>
      <c r="C4406" s="3"/>
      <c r="D4406" s="3"/>
      <c r="E4406" s="3"/>
      <c r="F4406" s="3"/>
      <c r="G4406" s="3"/>
      <c r="H4406" s="3"/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</row>
    <row r="4407">
      <c r="A4407" s="3"/>
      <c r="B4407" s="3"/>
      <c r="C4407" s="3"/>
      <c r="D4407" s="3"/>
      <c r="E4407" s="3"/>
      <c r="F4407" s="3"/>
      <c r="G4407" s="3"/>
      <c r="H4407" s="3"/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</row>
    <row r="4408">
      <c r="A4408" s="3"/>
      <c r="B4408" s="3"/>
      <c r="C4408" s="3"/>
      <c r="D4408" s="3"/>
      <c r="E4408" s="3"/>
      <c r="F4408" s="3"/>
      <c r="G4408" s="3"/>
      <c r="H4408" s="3"/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</row>
    <row r="4409">
      <c r="A4409" s="3"/>
      <c r="B4409" s="3"/>
      <c r="C4409" s="3"/>
      <c r="D4409" s="3"/>
      <c r="E4409" s="3"/>
      <c r="F4409" s="3"/>
      <c r="G4409" s="3"/>
      <c r="H4409" s="3"/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</row>
    <row r="4410">
      <c r="A4410" s="3"/>
      <c r="B4410" s="3"/>
      <c r="C4410" s="3"/>
      <c r="D4410" s="3"/>
      <c r="E4410" s="3"/>
      <c r="F4410" s="3"/>
      <c r="G4410" s="3"/>
      <c r="H4410" s="3"/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</row>
    <row r="4411">
      <c r="A4411" s="3"/>
      <c r="B4411" s="3"/>
      <c r="C4411" s="3"/>
      <c r="D4411" s="3"/>
      <c r="E4411" s="3"/>
      <c r="F4411" s="3"/>
      <c r="G4411" s="3"/>
      <c r="H4411" s="3"/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</row>
    <row r="4412">
      <c r="A4412" s="3"/>
      <c r="B4412" s="3"/>
      <c r="C4412" s="3"/>
      <c r="D4412" s="3"/>
      <c r="E4412" s="3"/>
      <c r="F4412" s="3"/>
      <c r="G4412" s="3"/>
      <c r="H4412" s="3"/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</row>
    <row r="4413">
      <c r="A4413" s="3"/>
      <c r="B4413" s="3"/>
      <c r="C4413" s="3"/>
      <c r="D4413" s="3"/>
      <c r="E4413" s="3"/>
      <c r="F4413" s="3"/>
      <c r="G4413" s="3"/>
      <c r="H4413" s="3"/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</row>
    <row r="4414">
      <c r="A4414" s="3"/>
      <c r="B4414" s="3"/>
      <c r="C4414" s="3"/>
      <c r="D4414" s="3"/>
      <c r="E4414" s="3"/>
      <c r="F4414" s="3"/>
      <c r="G4414" s="3"/>
      <c r="H4414" s="3"/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</row>
    <row r="4415">
      <c r="A4415" s="3"/>
      <c r="B4415" s="3"/>
      <c r="C4415" s="3"/>
      <c r="D4415" s="3"/>
      <c r="E4415" s="3"/>
      <c r="F4415" s="3"/>
      <c r="G4415" s="3"/>
      <c r="H4415" s="3"/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</row>
    <row r="4416">
      <c r="A4416" s="3"/>
      <c r="B4416" s="3"/>
      <c r="C4416" s="3"/>
      <c r="D4416" s="3"/>
      <c r="E4416" s="3"/>
      <c r="F4416" s="3"/>
      <c r="G4416" s="3"/>
      <c r="H4416" s="3"/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</row>
    <row r="4417">
      <c r="A4417" s="3"/>
      <c r="B4417" s="3"/>
      <c r="C4417" s="3"/>
      <c r="D4417" s="3"/>
      <c r="E4417" s="3"/>
      <c r="F4417" s="3"/>
      <c r="G4417" s="3"/>
      <c r="H4417" s="3"/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</row>
    <row r="4418">
      <c r="A4418" s="3"/>
      <c r="B4418" s="3"/>
      <c r="C4418" s="3"/>
      <c r="D4418" s="3"/>
      <c r="E4418" s="3"/>
      <c r="F4418" s="3"/>
      <c r="G4418" s="3"/>
      <c r="H4418" s="3"/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</row>
    <row r="4419">
      <c r="A4419" s="3"/>
      <c r="B4419" s="3"/>
      <c r="C4419" s="3"/>
      <c r="D4419" s="3"/>
      <c r="E4419" s="3"/>
      <c r="F4419" s="3"/>
      <c r="G4419" s="3"/>
      <c r="H4419" s="3"/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</row>
    <row r="4420">
      <c r="A4420" s="3"/>
      <c r="B4420" s="3"/>
      <c r="C4420" s="3"/>
      <c r="D4420" s="3"/>
      <c r="E4420" s="3"/>
      <c r="F4420" s="3"/>
      <c r="G4420" s="3"/>
      <c r="H4420" s="3"/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</row>
    <row r="4421">
      <c r="A4421" s="3"/>
      <c r="B4421" s="3"/>
      <c r="C4421" s="3"/>
      <c r="D4421" s="3"/>
      <c r="E4421" s="3"/>
      <c r="F4421" s="3"/>
      <c r="G4421" s="3"/>
      <c r="H4421" s="3"/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</row>
    <row r="4422">
      <c r="A4422" s="3"/>
      <c r="B4422" s="3"/>
      <c r="C4422" s="3"/>
      <c r="D4422" s="3"/>
      <c r="E4422" s="3"/>
      <c r="F4422" s="3"/>
      <c r="G4422" s="3"/>
      <c r="H4422" s="3"/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</row>
    <row r="4423">
      <c r="A4423" s="3"/>
      <c r="B4423" s="3"/>
      <c r="C4423" s="3"/>
      <c r="D4423" s="3"/>
      <c r="E4423" s="3"/>
      <c r="F4423" s="3"/>
      <c r="G4423" s="3"/>
      <c r="H4423" s="3"/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</row>
    <row r="4424">
      <c r="A4424" s="3"/>
      <c r="B4424" s="3"/>
      <c r="C4424" s="3"/>
      <c r="D4424" s="3"/>
      <c r="E4424" s="3"/>
      <c r="F4424" s="3"/>
      <c r="G4424" s="3"/>
      <c r="H4424" s="3"/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</row>
    <row r="4425">
      <c r="A4425" s="3"/>
      <c r="B4425" s="3"/>
      <c r="C4425" s="3"/>
      <c r="D4425" s="3"/>
      <c r="E4425" s="3"/>
      <c r="F4425" s="3"/>
      <c r="G4425" s="3"/>
      <c r="H4425" s="3"/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</row>
    <row r="4426">
      <c r="A4426" s="3"/>
      <c r="B4426" s="3"/>
      <c r="C4426" s="3"/>
      <c r="D4426" s="3"/>
      <c r="E4426" s="3"/>
      <c r="F4426" s="3"/>
      <c r="G4426" s="3"/>
      <c r="H4426" s="3"/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</row>
    <row r="4427">
      <c r="A4427" s="3"/>
      <c r="B4427" s="3"/>
      <c r="C4427" s="3"/>
      <c r="D4427" s="3"/>
      <c r="E4427" s="3"/>
      <c r="F4427" s="3"/>
      <c r="G4427" s="3"/>
      <c r="H4427" s="3"/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</row>
    <row r="4428">
      <c r="A4428" s="3"/>
      <c r="B4428" s="3"/>
      <c r="C4428" s="3"/>
      <c r="D4428" s="3"/>
      <c r="E4428" s="3"/>
      <c r="F4428" s="3"/>
      <c r="G4428" s="3"/>
      <c r="H4428" s="3"/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</row>
    <row r="4429">
      <c r="A4429" s="3"/>
      <c r="B4429" s="3"/>
      <c r="C4429" s="3"/>
      <c r="D4429" s="3"/>
      <c r="E4429" s="3"/>
      <c r="F4429" s="3"/>
      <c r="G4429" s="3"/>
      <c r="H4429" s="3"/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</row>
    <row r="4430">
      <c r="A4430" s="3"/>
      <c r="B4430" s="3"/>
      <c r="C4430" s="3"/>
      <c r="D4430" s="3"/>
      <c r="E4430" s="3"/>
      <c r="F4430" s="3"/>
      <c r="G4430" s="3"/>
      <c r="H4430" s="3"/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</row>
    <row r="4431">
      <c r="A4431" s="3"/>
      <c r="B4431" s="3"/>
      <c r="C4431" s="3"/>
      <c r="D4431" s="3"/>
      <c r="E4431" s="3"/>
      <c r="F4431" s="3"/>
      <c r="G4431" s="3"/>
      <c r="H4431" s="3"/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</row>
    <row r="4432">
      <c r="A4432" s="3"/>
      <c r="B4432" s="3"/>
      <c r="C4432" s="3"/>
      <c r="D4432" s="3"/>
      <c r="E4432" s="3"/>
      <c r="F4432" s="3"/>
      <c r="G4432" s="3"/>
      <c r="H4432" s="3"/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</row>
    <row r="4433">
      <c r="A4433" s="3"/>
      <c r="B4433" s="3"/>
      <c r="C4433" s="3"/>
      <c r="D4433" s="3"/>
      <c r="E4433" s="3"/>
      <c r="F4433" s="3"/>
      <c r="G4433" s="3"/>
      <c r="H4433" s="3"/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</row>
    <row r="4434">
      <c r="A4434" s="3"/>
      <c r="B4434" s="3"/>
      <c r="C4434" s="3"/>
      <c r="D4434" s="3"/>
      <c r="E4434" s="3"/>
      <c r="F4434" s="3"/>
      <c r="G4434" s="3"/>
      <c r="H4434" s="3"/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</row>
    <row r="4435">
      <c r="A4435" s="3"/>
      <c r="B4435" s="3"/>
      <c r="C4435" s="3"/>
      <c r="D4435" s="3"/>
      <c r="E4435" s="3"/>
      <c r="F4435" s="3"/>
      <c r="G4435" s="3"/>
      <c r="H4435" s="3"/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</row>
    <row r="4436">
      <c r="A4436" s="3"/>
      <c r="B4436" s="3"/>
      <c r="C4436" s="3"/>
      <c r="D4436" s="3"/>
      <c r="E4436" s="3"/>
      <c r="F4436" s="3"/>
      <c r="G4436" s="3"/>
      <c r="H4436" s="3"/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</row>
    <row r="4437">
      <c r="A4437" s="3"/>
      <c r="B4437" s="3"/>
      <c r="C4437" s="3"/>
      <c r="D4437" s="3"/>
      <c r="E4437" s="3"/>
      <c r="F4437" s="3"/>
      <c r="G4437" s="3"/>
      <c r="H4437" s="3"/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</row>
    <row r="4438">
      <c r="A4438" s="3"/>
      <c r="B4438" s="3"/>
      <c r="C4438" s="3"/>
      <c r="D4438" s="3"/>
      <c r="E4438" s="3"/>
      <c r="F4438" s="3"/>
      <c r="G4438" s="3"/>
      <c r="H4438" s="3"/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</row>
    <row r="4439">
      <c r="A4439" s="3"/>
      <c r="B4439" s="3"/>
      <c r="C4439" s="3"/>
      <c r="D4439" s="3"/>
      <c r="E4439" s="3"/>
      <c r="F4439" s="3"/>
      <c r="G4439" s="3"/>
      <c r="H4439" s="3"/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</row>
    <row r="4440">
      <c r="A4440" s="3"/>
      <c r="B4440" s="3"/>
      <c r="C4440" s="3"/>
      <c r="D4440" s="3"/>
      <c r="E4440" s="3"/>
      <c r="F4440" s="3"/>
      <c r="G4440" s="3"/>
      <c r="H4440" s="3"/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</row>
    <row r="4441">
      <c r="A4441" s="3"/>
      <c r="B4441" s="3"/>
      <c r="C4441" s="3"/>
      <c r="D4441" s="3"/>
      <c r="E4441" s="3"/>
      <c r="F4441" s="3"/>
      <c r="G4441" s="3"/>
      <c r="H4441" s="3"/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</row>
    <row r="4442">
      <c r="A4442" s="3"/>
      <c r="B4442" s="3"/>
      <c r="C4442" s="3"/>
      <c r="D4442" s="3"/>
      <c r="E4442" s="3"/>
      <c r="F4442" s="3"/>
      <c r="G4442" s="3"/>
      <c r="H4442" s="3"/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</row>
    <row r="4443">
      <c r="A4443" s="3"/>
      <c r="B4443" s="3"/>
      <c r="C4443" s="3"/>
      <c r="D4443" s="3"/>
      <c r="E4443" s="3"/>
      <c r="F4443" s="3"/>
      <c r="G4443" s="3"/>
      <c r="H4443" s="3"/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</row>
    <row r="4444">
      <c r="A4444" s="3"/>
      <c r="B4444" s="3"/>
      <c r="C4444" s="3"/>
      <c r="D4444" s="3"/>
      <c r="E4444" s="3"/>
      <c r="F4444" s="3"/>
      <c r="G4444" s="3"/>
      <c r="H4444" s="3"/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</row>
    <row r="4445">
      <c r="A4445" s="3"/>
      <c r="B4445" s="3"/>
      <c r="C4445" s="3"/>
      <c r="D4445" s="3"/>
      <c r="E4445" s="3"/>
      <c r="F4445" s="3"/>
      <c r="G4445" s="3"/>
      <c r="H4445" s="3"/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</row>
    <row r="4446">
      <c r="A4446" s="3"/>
      <c r="B4446" s="3"/>
      <c r="C4446" s="3"/>
      <c r="D4446" s="3"/>
      <c r="E4446" s="3"/>
      <c r="F4446" s="3"/>
      <c r="G4446" s="3"/>
      <c r="H4446" s="3"/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</row>
    <row r="4447">
      <c r="A4447" s="3"/>
      <c r="B4447" s="3"/>
      <c r="C4447" s="3"/>
      <c r="D4447" s="3"/>
      <c r="E4447" s="3"/>
      <c r="F4447" s="3"/>
      <c r="G4447" s="3"/>
      <c r="H4447" s="3"/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</row>
    <row r="4448">
      <c r="A4448" s="3"/>
      <c r="B4448" s="3"/>
      <c r="C4448" s="3"/>
      <c r="D4448" s="3"/>
      <c r="E4448" s="3"/>
      <c r="F4448" s="3"/>
      <c r="G4448" s="3"/>
      <c r="H4448" s="3"/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</row>
    <row r="4449">
      <c r="A4449" s="3"/>
      <c r="B4449" s="3"/>
      <c r="C4449" s="3"/>
      <c r="D4449" s="3"/>
      <c r="E4449" s="3"/>
      <c r="F4449" s="3"/>
      <c r="G4449" s="3"/>
      <c r="H4449" s="3"/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</row>
    <row r="4450">
      <c r="A4450" s="3"/>
      <c r="B4450" s="3"/>
      <c r="C4450" s="3"/>
      <c r="D4450" s="3"/>
      <c r="E4450" s="3"/>
      <c r="F4450" s="3"/>
      <c r="G4450" s="3"/>
      <c r="H4450" s="3"/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</row>
    <row r="4451">
      <c r="A4451" s="3"/>
      <c r="B4451" s="3"/>
      <c r="C4451" s="3"/>
      <c r="D4451" s="3"/>
      <c r="E4451" s="3"/>
      <c r="F4451" s="3"/>
      <c r="G4451" s="3"/>
      <c r="H4451" s="3"/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</row>
    <row r="4452">
      <c r="A4452" s="3"/>
      <c r="B4452" s="3"/>
      <c r="C4452" s="3"/>
      <c r="D4452" s="3"/>
      <c r="E4452" s="3"/>
      <c r="F4452" s="3"/>
      <c r="G4452" s="3"/>
      <c r="H4452" s="3"/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</row>
    <row r="4453">
      <c r="A4453" s="3"/>
      <c r="B4453" s="3"/>
      <c r="C4453" s="3"/>
      <c r="D4453" s="3"/>
      <c r="E4453" s="3"/>
      <c r="F4453" s="3"/>
      <c r="G4453" s="3"/>
      <c r="H4453" s="3"/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</row>
    <row r="4454">
      <c r="A4454" s="3"/>
      <c r="B4454" s="3"/>
      <c r="C4454" s="3"/>
      <c r="D4454" s="3"/>
      <c r="E4454" s="3"/>
      <c r="F4454" s="3"/>
      <c r="G4454" s="3"/>
      <c r="H4454" s="3"/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</row>
    <row r="4455">
      <c r="A4455" s="3"/>
      <c r="B4455" s="3"/>
      <c r="C4455" s="3"/>
      <c r="D4455" s="3"/>
      <c r="E4455" s="3"/>
      <c r="F4455" s="3"/>
      <c r="G4455" s="3"/>
      <c r="H4455" s="3"/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</row>
    <row r="4456">
      <c r="A4456" s="3"/>
      <c r="B4456" s="3"/>
      <c r="C4456" s="3"/>
      <c r="D4456" s="3"/>
      <c r="E4456" s="3"/>
      <c r="F4456" s="3"/>
      <c r="G4456" s="3"/>
      <c r="H4456" s="3"/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</row>
    <row r="4457">
      <c r="A4457" s="3"/>
      <c r="B4457" s="3"/>
      <c r="C4457" s="3"/>
      <c r="D4457" s="3"/>
      <c r="E4457" s="3"/>
      <c r="F4457" s="3"/>
      <c r="G4457" s="3"/>
      <c r="H4457" s="3"/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</row>
    <row r="4458">
      <c r="A4458" s="3"/>
      <c r="B4458" s="3"/>
      <c r="C4458" s="3"/>
      <c r="D4458" s="3"/>
      <c r="E4458" s="3"/>
      <c r="F4458" s="3"/>
      <c r="G4458" s="3"/>
      <c r="H4458" s="3"/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</row>
    <row r="4459">
      <c r="A4459" s="3"/>
      <c r="B4459" s="3"/>
      <c r="C4459" s="3"/>
      <c r="D4459" s="3"/>
      <c r="E4459" s="3"/>
      <c r="F4459" s="3"/>
      <c r="G4459" s="3"/>
      <c r="H4459" s="3"/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</row>
    <row r="4460">
      <c r="A4460" s="3"/>
      <c r="B4460" s="3"/>
      <c r="C4460" s="3"/>
      <c r="D4460" s="3"/>
      <c r="E4460" s="3"/>
      <c r="F4460" s="3"/>
      <c r="G4460" s="3"/>
      <c r="H4460" s="3"/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</row>
    <row r="4461">
      <c r="A4461" s="3"/>
      <c r="B4461" s="3"/>
      <c r="C4461" s="3"/>
      <c r="D4461" s="3"/>
      <c r="E4461" s="3"/>
      <c r="F4461" s="3"/>
      <c r="G4461" s="3"/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</row>
    <row r="4462">
      <c r="A4462" s="3"/>
      <c r="B4462" s="3"/>
      <c r="C4462" s="3"/>
      <c r="D4462" s="3"/>
      <c r="E4462" s="3"/>
      <c r="F4462" s="3"/>
      <c r="G4462" s="3"/>
      <c r="H4462" s="3"/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</row>
    <row r="4463">
      <c r="A4463" s="3"/>
      <c r="B4463" s="3"/>
      <c r="C4463" s="3"/>
      <c r="D4463" s="3"/>
      <c r="E4463" s="3"/>
      <c r="F4463" s="3"/>
      <c r="G4463" s="3"/>
      <c r="H4463" s="3"/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</row>
    <row r="4464">
      <c r="A4464" s="3"/>
      <c r="B4464" s="3"/>
      <c r="C4464" s="3"/>
      <c r="D4464" s="3"/>
      <c r="E4464" s="3"/>
      <c r="F4464" s="3"/>
      <c r="G4464" s="3"/>
      <c r="H4464" s="3"/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</row>
    <row r="4465">
      <c r="A4465" s="3"/>
      <c r="B4465" s="3"/>
      <c r="C4465" s="3"/>
      <c r="D4465" s="3"/>
      <c r="E4465" s="3"/>
      <c r="F4465" s="3"/>
      <c r="G4465" s="3"/>
      <c r="H4465" s="3"/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</row>
    <row r="4466">
      <c r="A4466" s="3"/>
      <c r="B4466" s="3"/>
      <c r="C4466" s="3"/>
      <c r="D4466" s="3"/>
      <c r="E4466" s="3"/>
      <c r="F4466" s="3"/>
      <c r="G4466" s="3"/>
      <c r="H4466" s="3"/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</row>
    <row r="4467">
      <c r="A4467" s="3"/>
      <c r="B4467" s="3"/>
      <c r="C4467" s="3"/>
      <c r="D4467" s="3"/>
      <c r="E4467" s="3"/>
      <c r="F4467" s="3"/>
      <c r="G4467" s="3"/>
      <c r="H4467" s="3"/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</row>
    <row r="4468">
      <c r="A4468" s="3"/>
      <c r="B4468" s="3"/>
      <c r="C4468" s="3"/>
      <c r="D4468" s="3"/>
      <c r="E4468" s="3"/>
      <c r="F4468" s="3"/>
      <c r="G4468" s="3"/>
      <c r="H4468" s="3"/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</row>
    <row r="4469">
      <c r="A4469" s="3"/>
      <c r="B4469" s="3"/>
      <c r="C4469" s="3"/>
      <c r="D4469" s="3"/>
      <c r="E4469" s="3"/>
      <c r="F4469" s="3"/>
      <c r="G4469" s="3"/>
      <c r="H4469" s="3"/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</row>
    <row r="4470">
      <c r="A4470" s="3"/>
      <c r="B4470" s="3"/>
      <c r="C4470" s="3"/>
      <c r="D4470" s="3"/>
      <c r="E4470" s="3"/>
      <c r="F4470" s="3"/>
      <c r="G4470" s="3"/>
      <c r="H4470" s="3"/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</row>
    <row r="4471">
      <c r="A4471" s="3"/>
      <c r="B4471" s="3"/>
      <c r="C4471" s="3"/>
      <c r="D4471" s="3"/>
      <c r="E4471" s="3"/>
      <c r="F4471" s="3"/>
      <c r="G4471" s="3"/>
      <c r="H4471" s="3"/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</row>
    <row r="4472">
      <c r="A4472" s="3"/>
      <c r="B4472" s="3"/>
      <c r="C4472" s="3"/>
      <c r="D4472" s="3"/>
      <c r="E4472" s="3"/>
      <c r="F4472" s="3"/>
      <c r="G4472" s="3"/>
      <c r="H4472" s="3"/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</row>
    <row r="4473">
      <c r="A4473" s="3"/>
      <c r="B4473" s="3"/>
      <c r="C4473" s="3"/>
      <c r="D4473" s="3"/>
      <c r="E4473" s="3"/>
      <c r="F4473" s="3"/>
      <c r="G4473" s="3"/>
      <c r="H4473" s="3"/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</row>
    <row r="4474">
      <c r="A4474" s="3"/>
      <c r="B4474" s="3"/>
      <c r="C4474" s="3"/>
      <c r="D4474" s="3"/>
      <c r="E4474" s="3"/>
      <c r="F4474" s="3"/>
      <c r="G4474" s="3"/>
      <c r="H4474" s="3"/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</row>
    <row r="4475">
      <c r="A4475" s="3"/>
      <c r="B4475" s="3"/>
      <c r="C4475" s="3"/>
      <c r="D4475" s="3"/>
      <c r="E4475" s="3"/>
      <c r="F4475" s="3"/>
      <c r="G4475" s="3"/>
      <c r="H4475" s="3"/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</row>
    <row r="4476">
      <c r="A4476" s="3"/>
      <c r="B4476" s="3"/>
      <c r="C4476" s="3"/>
      <c r="D4476" s="3"/>
      <c r="E4476" s="3"/>
      <c r="F4476" s="3"/>
      <c r="G4476" s="3"/>
      <c r="H4476" s="3"/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</row>
    <row r="4477">
      <c r="A4477" s="3"/>
      <c r="B4477" s="3"/>
      <c r="C4477" s="3"/>
      <c r="D4477" s="3"/>
      <c r="E4477" s="3"/>
      <c r="F4477" s="3"/>
      <c r="G4477" s="3"/>
      <c r="H4477" s="3"/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</row>
    <row r="4478">
      <c r="A4478" s="3"/>
      <c r="B4478" s="3"/>
      <c r="C4478" s="3"/>
      <c r="D4478" s="3"/>
      <c r="E4478" s="3"/>
      <c r="F4478" s="3"/>
      <c r="G4478" s="3"/>
      <c r="H4478" s="3"/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</row>
    <row r="4479">
      <c r="A4479" s="3"/>
      <c r="B4479" s="3"/>
      <c r="C4479" s="3"/>
      <c r="D4479" s="3"/>
      <c r="E4479" s="3"/>
      <c r="F4479" s="3"/>
      <c r="G4479" s="3"/>
      <c r="H4479" s="3"/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</row>
    <row r="4480">
      <c r="A4480" s="3"/>
      <c r="B4480" s="3"/>
      <c r="C4480" s="3"/>
      <c r="D4480" s="3"/>
      <c r="E4480" s="3"/>
      <c r="F4480" s="3"/>
      <c r="G4480" s="3"/>
      <c r="H4480" s="3"/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</row>
    <row r="4481">
      <c r="A4481" s="3"/>
      <c r="B4481" s="3"/>
      <c r="C4481" s="3"/>
      <c r="D4481" s="3"/>
      <c r="E4481" s="3"/>
      <c r="F4481" s="3"/>
      <c r="G4481" s="3"/>
      <c r="H4481" s="3"/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</row>
    <row r="4482">
      <c r="A4482" s="3"/>
      <c r="B4482" s="3"/>
      <c r="C4482" s="3"/>
      <c r="D4482" s="3"/>
      <c r="E4482" s="3"/>
      <c r="F4482" s="3"/>
      <c r="G4482" s="3"/>
      <c r="H4482" s="3"/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</row>
    <row r="4483">
      <c r="A4483" s="3"/>
      <c r="B4483" s="3"/>
      <c r="C4483" s="3"/>
      <c r="D4483" s="3"/>
      <c r="E4483" s="3"/>
      <c r="F4483" s="3"/>
      <c r="G4483" s="3"/>
      <c r="H4483" s="3"/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</row>
    <row r="4484">
      <c r="A4484" s="3"/>
      <c r="B4484" s="3"/>
      <c r="C4484" s="3"/>
      <c r="D4484" s="3"/>
      <c r="E4484" s="3"/>
      <c r="F4484" s="3"/>
      <c r="G4484" s="3"/>
      <c r="H4484" s="3"/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</row>
    <row r="4485">
      <c r="A4485" s="3"/>
      <c r="B4485" s="3"/>
      <c r="C4485" s="3"/>
      <c r="D4485" s="3"/>
      <c r="E4485" s="3"/>
      <c r="F4485" s="3"/>
      <c r="G4485" s="3"/>
      <c r="H4485" s="3"/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</row>
    <row r="4486">
      <c r="A4486" s="3"/>
      <c r="B4486" s="3"/>
      <c r="C4486" s="3"/>
      <c r="D4486" s="3"/>
      <c r="E4486" s="3"/>
      <c r="F4486" s="3"/>
      <c r="G4486" s="3"/>
      <c r="H4486" s="3"/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</row>
    <row r="4487">
      <c r="A4487" s="3"/>
      <c r="B4487" s="3"/>
      <c r="C4487" s="3"/>
      <c r="D4487" s="3"/>
      <c r="E4487" s="3"/>
      <c r="F4487" s="3"/>
      <c r="G4487" s="3"/>
      <c r="H4487" s="3"/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</row>
    <row r="4488">
      <c r="A4488" s="3"/>
      <c r="B4488" s="3"/>
      <c r="C4488" s="3"/>
      <c r="D4488" s="3"/>
      <c r="E4488" s="3"/>
      <c r="F4488" s="3"/>
      <c r="G4488" s="3"/>
      <c r="H4488" s="3"/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</row>
    <row r="4489">
      <c r="A4489" s="3"/>
      <c r="B4489" s="3"/>
      <c r="C4489" s="3"/>
      <c r="D4489" s="3"/>
      <c r="E4489" s="3"/>
      <c r="F4489" s="3"/>
      <c r="G4489" s="3"/>
      <c r="H4489" s="3"/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</row>
    <row r="4490">
      <c r="A4490" s="3"/>
      <c r="B4490" s="3"/>
      <c r="C4490" s="3"/>
      <c r="D4490" s="3"/>
      <c r="E4490" s="3"/>
      <c r="F4490" s="3"/>
      <c r="G4490" s="3"/>
      <c r="H4490" s="3"/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</row>
    <row r="4491">
      <c r="A4491" s="3"/>
      <c r="B4491" s="3"/>
      <c r="C4491" s="3"/>
      <c r="D4491" s="3"/>
      <c r="E4491" s="3"/>
      <c r="F4491" s="3"/>
      <c r="G4491" s="3"/>
      <c r="H4491" s="3"/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</row>
    <row r="4492">
      <c r="A4492" s="3"/>
      <c r="B4492" s="3"/>
      <c r="C4492" s="3"/>
      <c r="D4492" s="3"/>
      <c r="E4492" s="3"/>
      <c r="F4492" s="3"/>
      <c r="G4492" s="3"/>
      <c r="H4492" s="3"/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</row>
    <row r="4493">
      <c r="A4493" s="3"/>
      <c r="B4493" s="3"/>
      <c r="C4493" s="3"/>
      <c r="D4493" s="3"/>
      <c r="E4493" s="3"/>
      <c r="F4493" s="3"/>
      <c r="G4493" s="3"/>
      <c r="H4493" s="3"/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</row>
    <row r="4494">
      <c r="A4494" s="3"/>
      <c r="B4494" s="3"/>
      <c r="C4494" s="3"/>
      <c r="D4494" s="3"/>
      <c r="E4494" s="3"/>
      <c r="F4494" s="3"/>
      <c r="G4494" s="3"/>
      <c r="H4494" s="3"/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</row>
    <row r="4495">
      <c r="A4495" s="3"/>
      <c r="B4495" s="3"/>
      <c r="C4495" s="3"/>
      <c r="D4495" s="3"/>
      <c r="E4495" s="3"/>
      <c r="F4495" s="3"/>
      <c r="G4495" s="3"/>
      <c r="H4495" s="3"/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</row>
    <row r="4496">
      <c r="A4496" s="3"/>
      <c r="B4496" s="3"/>
      <c r="C4496" s="3"/>
      <c r="D4496" s="3"/>
      <c r="E4496" s="3"/>
      <c r="F4496" s="3"/>
      <c r="G4496" s="3"/>
      <c r="H4496" s="3"/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</row>
    <row r="4497">
      <c r="A4497" s="3"/>
      <c r="B4497" s="3"/>
      <c r="C4497" s="3"/>
      <c r="D4497" s="3"/>
      <c r="E4497" s="3"/>
      <c r="F4497" s="3"/>
      <c r="G4497" s="3"/>
      <c r="H4497" s="3"/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</row>
    <row r="4498">
      <c r="A4498" s="3"/>
      <c r="B4498" s="3"/>
      <c r="C4498" s="3"/>
      <c r="D4498" s="3"/>
      <c r="E4498" s="3"/>
      <c r="F4498" s="3"/>
      <c r="G4498" s="3"/>
      <c r="H4498" s="3"/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</row>
    <row r="4499">
      <c r="A4499" s="3"/>
      <c r="B4499" s="3"/>
      <c r="C4499" s="3"/>
      <c r="D4499" s="3"/>
      <c r="E4499" s="3"/>
      <c r="F4499" s="3"/>
      <c r="G4499" s="3"/>
      <c r="H4499" s="3"/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</row>
    <row r="4500">
      <c r="A4500" s="3"/>
      <c r="B4500" s="3"/>
      <c r="C4500" s="3"/>
      <c r="D4500" s="3"/>
      <c r="E4500" s="3"/>
      <c r="F4500" s="3"/>
      <c r="G4500" s="3"/>
      <c r="H4500" s="3"/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</row>
    <row r="4501">
      <c r="A4501" s="3"/>
      <c r="B4501" s="3"/>
      <c r="C4501" s="3"/>
      <c r="D4501" s="3"/>
      <c r="E4501" s="3"/>
      <c r="F4501" s="3"/>
      <c r="G4501" s="3"/>
      <c r="H4501" s="3"/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</row>
    <row r="4502">
      <c r="A4502" s="3"/>
      <c r="B4502" s="3"/>
      <c r="C4502" s="3"/>
      <c r="D4502" s="3"/>
      <c r="E4502" s="3"/>
      <c r="F4502" s="3"/>
      <c r="G4502" s="3"/>
      <c r="H4502" s="3"/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</row>
    <row r="4503">
      <c r="A4503" s="3"/>
      <c r="B4503" s="3"/>
      <c r="C4503" s="3"/>
      <c r="D4503" s="3"/>
      <c r="E4503" s="3"/>
      <c r="F4503" s="3"/>
      <c r="G4503" s="3"/>
      <c r="H4503" s="3"/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</row>
    <row r="4504">
      <c r="A4504" s="3"/>
      <c r="B4504" s="3"/>
      <c r="C4504" s="3"/>
      <c r="D4504" s="3"/>
      <c r="E4504" s="3"/>
      <c r="F4504" s="3"/>
      <c r="G4504" s="3"/>
      <c r="H4504" s="3"/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</row>
    <row r="4505">
      <c r="A4505" s="3"/>
      <c r="B4505" s="3"/>
      <c r="C4505" s="3"/>
      <c r="D4505" s="3"/>
      <c r="E4505" s="3"/>
      <c r="F4505" s="3"/>
      <c r="G4505" s="3"/>
      <c r="H4505" s="3"/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</row>
    <row r="4506">
      <c r="A4506" s="3"/>
      <c r="B4506" s="3"/>
      <c r="C4506" s="3"/>
      <c r="D4506" s="3"/>
      <c r="E4506" s="3"/>
      <c r="F4506" s="3"/>
      <c r="G4506" s="3"/>
      <c r="H4506" s="3"/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</row>
    <row r="4507">
      <c r="A4507" s="3"/>
      <c r="B4507" s="3"/>
      <c r="C4507" s="3"/>
      <c r="D4507" s="3"/>
      <c r="E4507" s="3"/>
      <c r="F4507" s="3"/>
      <c r="G4507" s="3"/>
      <c r="H4507" s="3"/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</row>
    <row r="4508">
      <c r="A4508" s="3"/>
      <c r="B4508" s="3"/>
      <c r="C4508" s="3"/>
      <c r="D4508" s="3"/>
      <c r="E4508" s="3"/>
      <c r="F4508" s="3"/>
      <c r="G4508" s="3"/>
      <c r="H4508" s="3"/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</row>
    <row r="4509">
      <c r="A4509" s="3"/>
      <c r="B4509" s="3"/>
      <c r="C4509" s="3"/>
      <c r="D4509" s="3"/>
      <c r="E4509" s="3"/>
      <c r="F4509" s="3"/>
      <c r="G4509" s="3"/>
      <c r="H4509" s="3"/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</row>
    <row r="4510">
      <c r="A4510" s="3"/>
      <c r="B4510" s="3"/>
      <c r="C4510" s="3"/>
      <c r="D4510" s="3"/>
      <c r="E4510" s="3"/>
      <c r="F4510" s="3"/>
      <c r="G4510" s="3"/>
      <c r="H4510" s="3"/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</row>
    <row r="4511">
      <c r="A4511" s="3"/>
      <c r="B4511" s="3"/>
      <c r="C4511" s="3"/>
      <c r="D4511" s="3"/>
      <c r="E4511" s="3"/>
      <c r="F4511" s="3"/>
      <c r="G4511" s="3"/>
      <c r="H4511" s="3"/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</row>
    <row r="4512">
      <c r="A4512" s="3"/>
      <c r="B4512" s="3"/>
      <c r="C4512" s="3"/>
      <c r="D4512" s="3"/>
      <c r="E4512" s="3"/>
      <c r="F4512" s="3"/>
      <c r="G4512" s="3"/>
      <c r="H4512" s="3"/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</row>
    <row r="4513">
      <c r="A4513" s="3"/>
      <c r="B4513" s="3"/>
      <c r="C4513" s="3"/>
      <c r="D4513" s="3"/>
      <c r="E4513" s="3"/>
      <c r="F4513" s="3"/>
      <c r="G4513" s="3"/>
      <c r="H4513" s="3"/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</row>
    <row r="4514">
      <c r="A4514" s="3"/>
      <c r="B4514" s="3"/>
      <c r="C4514" s="3"/>
      <c r="D4514" s="3"/>
      <c r="E4514" s="3"/>
      <c r="F4514" s="3"/>
      <c r="G4514" s="3"/>
      <c r="H4514" s="3"/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</row>
    <row r="4515">
      <c r="A4515" s="3"/>
      <c r="B4515" s="3"/>
      <c r="C4515" s="3"/>
      <c r="D4515" s="3"/>
      <c r="E4515" s="3"/>
      <c r="F4515" s="3"/>
      <c r="G4515" s="3"/>
      <c r="H4515" s="3"/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</row>
    <row r="4516">
      <c r="A4516" s="3"/>
      <c r="B4516" s="3"/>
      <c r="C4516" s="3"/>
      <c r="D4516" s="3"/>
      <c r="E4516" s="3"/>
      <c r="F4516" s="3"/>
      <c r="G4516" s="3"/>
      <c r="H4516" s="3"/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</row>
    <row r="4517">
      <c r="A4517" s="3"/>
      <c r="B4517" s="3"/>
      <c r="C4517" s="3"/>
      <c r="D4517" s="3"/>
      <c r="E4517" s="3"/>
      <c r="F4517" s="3"/>
      <c r="G4517" s="3"/>
      <c r="H4517" s="3"/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</row>
    <row r="4518">
      <c r="A4518" s="3"/>
      <c r="B4518" s="3"/>
      <c r="C4518" s="3"/>
      <c r="D4518" s="3"/>
      <c r="E4518" s="3"/>
      <c r="F4518" s="3"/>
      <c r="G4518" s="3"/>
      <c r="H4518" s="3"/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</row>
    <row r="4519">
      <c r="A4519" s="3"/>
      <c r="B4519" s="3"/>
      <c r="C4519" s="3"/>
      <c r="D4519" s="3"/>
      <c r="E4519" s="3"/>
      <c r="F4519" s="3"/>
      <c r="G4519" s="3"/>
      <c r="H4519" s="3"/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</row>
    <row r="4520">
      <c r="A4520" s="3"/>
      <c r="B4520" s="3"/>
      <c r="C4520" s="3"/>
      <c r="D4520" s="3"/>
      <c r="E4520" s="3"/>
      <c r="F4520" s="3"/>
      <c r="G4520" s="3"/>
      <c r="H4520" s="3"/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</row>
    <row r="4521">
      <c r="A4521" s="3"/>
      <c r="B4521" s="3"/>
      <c r="C4521" s="3"/>
      <c r="D4521" s="3"/>
      <c r="E4521" s="3"/>
      <c r="F4521" s="3"/>
      <c r="G4521" s="3"/>
      <c r="H4521" s="3"/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</row>
    <row r="4522">
      <c r="A4522" s="3"/>
      <c r="B4522" s="3"/>
      <c r="C4522" s="3"/>
      <c r="D4522" s="3"/>
      <c r="E4522" s="3"/>
      <c r="F4522" s="3"/>
      <c r="G4522" s="3"/>
      <c r="H4522" s="3"/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</row>
    <row r="4523">
      <c r="A4523" s="3"/>
      <c r="B4523" s="3"/>
      <c r="C4523" s="3"/>
      <c r="D4523" s="3"/>
      <c r="E4523" s="3"/>
      <c r="F4523" s="3"/>
      <c r="G4523" s="3"/>
      <c r="H4523" s="3"/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</row>
    <row r="4524">
      <c r="A4524" s="3"/>
      <c r="B4524" s="3"/>
      <c r="C4524" s="3"/>
      <c r="D4524" s="3"/>
      <c r="E4524" s="3"/>
      <c r="F4524" s="3"/>
      <c r="G4524" s="3"/>
      <c r="H4524" s="3"/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</row>
    <row r="4525">
      <c r="A4525" s="3"/>
      <c r="B4525" s="3"/>
      <c r="C4525" s="3"/>
      <c r="D4525" s="3"/>
      <c r="E4525" s="3"/>
      <c r="F4525" s="3"/>
      <c r="G4525" s="3"/>
      <c r="H4525" s="3"/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</row>
    <row r="4526">
      <c r="A4526" s="3"/>
      <c r="B4526" s="3"/>
      <c r="C4526" s="3"/>
      <c r="D4526" s="3"/>
      <c r="E4526" s="3"/>
      <c r="F4526" s="3"/>
      <c r="G4526" s="3"/>
      <c r="H4526" s="3"/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</row>
    <row r="4527">
      <c r="A4527" s="3"/>
      <c r="B4527" s="3"/>
      <c r="C4527" s="3"/>
      <c r="D4527" s="3"/>
      <c r="E4527" s="3"/>
      <c r="F4527" s="3"/>
      <c r="G4527" s="3"/>
      <c r="H4527" s="3"/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</row>
    <row r="4528">
      <c r="A4528" s="3"/>
      <c r="B4528" s="3"/>
      <c r="C4528" s="3"/>
      <c r="D4528" s="3"/>
      <c r="E4528" s="3"/>
      <c r="F4528" s="3"/>
      <c r="G4528" s="3"/>
      <c r="H4528" s="3"/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</row>
    <row r="4529">
      <c r="A4529" s="3"/>
      <c r="B4529" s="3"/>
      <c r="C4529" s="3"/>
      <c r="D4529" s="3"/>
      <c r="E4529" s="3"/>
      <c r="F4529" s="3"/>
      <c r="G4529" s="3"/>
      <c r="H4529" s="3"/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</row>
    <row r="4530">
      <c r="A4530" s="3"/>
      <c r="B4530" s="3"/>
      <c r="C4530" s="3"/>
      <c r="D4530" s="3"/>
      <c r="E4530" s="3"/>
      <c r="F4530" s="3"/>
      <c r="G4530" s="3"/>
      <c r="H4530" s="3"/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</row>
    <row r="4531">
      <c r="A4531" s="3"/>
      <c r="B4531" s="3"/>
      <c r="C4531" s="3"/>
      <c r="D4531" s="3"/>
      <c r="E4531" s="3"/>
      <c r="F4531" s="3"/>
      <c r="G4531" s="3"/>
      <c r="H4531" s="3"/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</row>
    <row r="4532">
      <c r="A4532" s="3"/>
      <c r="B4532" s="3"/>
      <c r="C4532" s="3"/>
      <c r="D4532" s="3"/>
      <c r="E4532" s="3"/>
      <c r="F4532" s="3"/>
      <c r="G4532" s="3"/>
      <c r="H4532" s="3"/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</row>
    <row r="4533">
      <c r="A4533" s="3"/>
      <c r="B4533" s="3"/>
      <c r="C4533" s="3"/>
      <c r="D4533" s="3"/>
      <c r="E4533" s="3"/>
      <c r="F4533" s="3"/>
      <c r="G4533" s="3"/>
      <c r="H4533" s="3"/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</row>
    <row r="4534">
      <c r="A4534" s="3"/>
      <c r="B4534" s="3"/>
      <c r="C4534" s="3"/>
      <c r="D4534" s="3"/>
      <c r="E4534" s="3"/>
      <c r="F4534" s="3"/>
      <c r="G4534" s="3"/>
      <c r="H4534" s="3"/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</row>
    <row r="4535">
      <c r="A4535" s="3"/>
      <c r="B4535" s="3"/>
      <c r="C4535" s="3"/>
      <c r="D4535" s="3"/>
      <c r="E4535" s="3"/>
      <c r="F4535" s="3"/>
      <c r="G4535" s="3"/>
      <c r="H4535" s="3"/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</row>
    <row r="4536">
      <c r="A4536" s="3"/>
      <c r="B4536" s="3"/>
      <c r="C4536" s="3"/>
      <c r="D4536" s="3"/>
      <c r="E4536" s="3"/>
      <c r="F4536" s="3"/>
      <c r="G4536" s="3"/>
      <c r="H4536" s="3"/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</row>
    <row r="4537">
      <c r="A4537" s="3"/>
      <c r="B4537" s="3"/>
      <c r="C4537" s="3"/>
      <c r="D4537" s="3"/>
      <c r="E4537" s="3"/>
      <c r="F4537" s="3"/>
      <c r="G4537" s="3"/>
      <c r="H4537" s="3"/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</row>
    <row r="4538">
      <c r="A4538" s="3"/>
      <c r="B4538" s="3"/>
      <c r="C4538" s="3"/>
      <c r="D4538" s="3"/>
      <c r="E4538" s="3"/>
      <c r="F4538" s="3"/>
      <c r="G4538" s="3"/>
      <c r="H4538" s="3"/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</row>
    <row r="4539">
      <c r="A4539" s="3"/>
      <c r="B4539" s="3"/>
      <c r="C4539" s="3"/>
      <c r="D4539" s="3"/>
      <c r="E4539" s="3"/>
      <c r="F4539" s="3"/>
      <c r="G4539" s="3"/>
      <c r="H4539" s="3"/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</row>
    <row r="4540">
      <c r="A4540" s="3"/>
      <c r="B4540" s="3"/>
      <c r="C4540" s="3"/>
      <c r="D4540" s="3"/>
      <c r="E4540" s="3"/>
      <c r="F4540" s="3"/>
      <c r="G4540" s="3"/>
      <c r="H4540" s="3"/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</row>
    <row r="4541">
      <c r="A4541" s="3"/>
      <c r="B4541" s="3"/>
      <c r="C4541" s="3"/>
      <c r="D4541" s="3"/>
      <c r="E4541" s="3"/>
      <c r="F4541" s="3"/>
      <c r="G4541" s="3"/>
      <c r="H4541" s="3"/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</row>
    <row r="4542">
      <c r="A4542" s="3"/>
      <c r="B4542" s="3"/>
      <c r="C4542" s="3"/>
      <c r="D4542" s="3"/>
      <c r="E4542" s="3"/>
      <c r="F4542" s="3"/>
      <c r="G4542" s="3"/>
      <c r="H4542" s="3"/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</row>
    <row r="4543">
      <c r="A4543" s="3"/>
      <c r="B4543" s="3"/>
      <c r="C4543" s="3"/>
      <c r="D4543" s="3"/>
      <c r="E4543" s="3"/>
      <c r="F4543" s="3"/>
      <c r="G4543" s="3"/>
      <c r="H4543" s="3"/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</row>
    <row r="4544">
      <c r="A4544" s="3"/>
      <c r="B4544" s="3"/>
      <c r="C4544" s="3"/>
      <c r="D4544" s="3"/>
      <c r="E4544" s="3"/>
      <c r="F4544" s="3"/>
      <c r="G4544" s="3"/>
      <c r="H4544" s="3"/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</row>
    <row r="4545">
      <c r="A4545" s="3"/>
      <c r="B4545" s="3"/>
      <c r="C4545" s="3"/>
      <c r="D4545" s="3"/>
      <c r="E4545" s="3"/>
      <c r="F4545" s="3"/>
      <c r="G4545" s="3"/>
      <c r="H4545" s="3"/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</row>
    <row r="4546">
      <c r="A4546" s="3"/>
      <c r="B4546" s="3"/>
      <c r="C4546" s="3"/>
      <c r="D4546" s="3"/>
      <c r="E4546" s="3"/>
      <c r="F4546" s="3"/>
      <c r="G4546" s="3"/>
      <c r="H4546" s="3"/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</row>
    <row r="4547">
      <c r="A4547" s="3"/>
      <c r="B4547" s="3"/>
      <c r="C4547" s="3"/>
      <c r="D4547" s="3"/>
      <c r="E4547" s="3"/>
      <c r="F4547" s="3"/>
      <c r="G4547" s="3"/>
      <c r="H4547" s="3"/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</row>
    <row r="4548">
      <c r="A4548" s="3"/>
      <c r="B4548" s="3"/>
      <c r="C4548" s="3"/>
      <c r="D4548" s="3"/>
      <c r="E4548" s="3"/>
      <c r="F4548" s="3"/>
      <c r="G4548" s="3"/>
      <c r="H4548" s="3"/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</row>
    <row r="4549">
      <c r="A4549" s="3"/>
      <c r="B4549" s="3"/>
      <c r="C4549" s="3"/>
      <c r="D4549" s="3"/>
      <c r="E4549" s="3"/>
      <c r="F4549" s="3"/>
      <c r="G4549" s="3"/>
      <c r="H4549" s="3"/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</row>
    <row r="4550">
      <c r="A4550" s="3"/>
      <c r="B4550" s="3"/>
      <c r="C4550" s="3"/>
      <c r="D4550" s="3"/>
      <c r="E4550" s="3"/>
      <c r="F4550" s="3"/>
      <c r="G4550" s="3"/>
      <c r="H4550" s="3"/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</row>
    <row r="4551">
      <c r="A4551" s="3"/>
      <c r="B4551" s="3"/>
      <c r="C4551" s="3"/>
      <c r="D4551" s="3"/>
      <c r="E4551" s="3"/>
      <c r="F4551" s="3"/>
      <c r="G4551" s="3"/>
      <c r="H4551" s="3"/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</row>
    <row r="4552">
      <c r="A4552" s="3"/>
      <c r="B4552" s="3"/>
      <c r="C4552" s="3"/>
      <c r="D4552" s="3"/>
      <c r="E4552" s="3"/>
      <c r="F4552" s="3"/>
      <c r="G4552" s="3"/>
      <c r="H4552" s="3"/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</row>
    <row r="4553">
      <c r="A4553" s="3"/>
      <c r="B4553" s="3"/>
      <c r="C4553" s="3"/>
      <c r="D4553" s="3"/>
      <c r="E4553" s="3"/>
      <c r="F4553" s="3"/>
      <c r="G4553" s="3"/>
      <c r="H4553" s="3"/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</row>
    <row r="4554">
      <c r="A4554" s="3"/>
      <c r="B4554" s="3"/>
      <c r="C4554" s="3"/>
      <c r="D4554" s="3"/>
      <c r="E4554" s="3"/>
      <c r="F4554" s="3"/>
      <c r="G4554" s="3"/>
      <c r="H4554" s="3"/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</row>
    <row r="4555">
      <c r="A4555" s="3"/>
      <c r="B4555" s="3"/>
      <c r="C4555" s="3"/>
      <c r="D4555" s="3"/>
      <c r="E4555" s="3"/>
      <c r="F4555" s="3"/>
      <c r="G4555" s="3"/>
      <c r="H4555" s="3"/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</row>
    <row r="4556">
      <c r="A4556" s="3"/>
      <c r="B4556" s="3"/>
      <c r="C4556" s="3"/>
      <c r="D4556" s="3"/>
      <c r="E4556" s="3"/>
      <c r="F4556" s="3"/>
      <c r="G4556" s="3"/>
      <c r="H4556" s="3"/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</row>
    <row r="4557">
      <c r="A4557" s="3"/>
      <c r="B4557" s="3"/>
      <c r="C4557" s="3"/>
      <c r="D4557" s="3"/>
      <c r="E4557" s="3"/>
      <c r="F4557" s="3"/>
      <c r="G4557" s="3"/>
      <c r="H4557" s="3"/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</row>
    <row r="4558">
      <c r="A4558" s="3"/>
      <c r="B4558" s="3"/>
      <c r="C4558" s="3"/>
      <c r="D4558" s="3"/>
      <c r="E4558" s="3"/>
      <c r="F4558" s="3"/>
      <c r="G4558" s="3"/>
      <c r="H4558" s="3"/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</row>
    <row r="4559">
      <c r="A4559" s="3"/>
      <c r="B4559" s="3"/>
      <c r="C4559" s="3"/>
      <c r="D4559" s="3"/>
      <c r="E4559" s="3"/>
      <c r="F4559" s="3"/>
      <c r="G4559" s="3"/>
      <c r="H4559" s="3"/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</row>
    <row r="4560">
      <c r="A4560" s="3"/>
      <c r="B4560" s="3"/>
      <c r="C4560" s="3"/>
      <c r="D4560" s="3"/>
      <c r="E4560" s="3"/>
      <c r="F4560" s="3"/>
      <c r="G4560" s="3"/>
      <c r="H4560" s="3"/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</row>
    <row r="4561">
      <c r="A4561" s="3"/>
      <c r="B4561" s="3"/>
      <c r="C4561" s="3"/>
      <c r="D4561" s="3"/>
      <c r="E4561" s="3"/>
      <c r="F4561" s="3"/>
      <c r="G4561" s="3"/>
      <c r="H4561" s="3"/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</row>
    <row r="4562">
      <c r="A4562" s="3"/>
      <c r="B4562" s="3"/>
      <c r="C4562" s="3"/>
      <c r="D4562" s="3"/>
      <c r="E4562" s="3"/>
      <c r="F4562" s="3"/>
      <c r="G4562" s="3"/>
      <c r="H4562" s="3"/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</row>
    <row r="4563">
      <c r="A4563" s="3"/>
      <c r="B4563" s="3"/>
      <c r="C4563" s="3"/>
      <c r="D4563" s="3"/>
      <c r="E4563" s="3"/>
      <c r="F4563" s="3"/>
      <c r="G4563" s="3"/>
      <c r="H4563" s="3"/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</row>
    <row r="4564">
      <c r="A4564" s="3"/>
      <c r="B4564" s="3"/>
      <c r="C4564" s="3"/>
      <c r="D4564" s="3"/>
      <c r="E4564" s="3"/>
      <c r="F4564" s="3"/>
      <c r="G4564" s="3"/>
      <c r="H4564" s="3"/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</row>
    <row r="4565">
      <c r="A4565" s="3"/>
      <c r="B4565" s="3"/>
      <c r="C4565" s="3"/>
      <c r="D4565" s="3"/>
      <c r="E4565" s="3"/>
      <c r="F4565" s="3"/>
      <c r="G4565" s="3"/>
      <c r="H4565" s="3"/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</row>
    <row r="4566">
      <c r="A4566" s="3"/>
      <c r="B4566" s="3"/>
      <c r="C4566" s="3"/>
      <c r="D4566" s="3"/>
      <c r="E4566" s="3"/>
      <c r="F4566" s="3"/>
      <c r="G4566" s="3"/>
      <c r="H4566" s="3"/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</row>
    <row r="4567">
      <c r="A4567" s="3"/>
      <c r="B4567" s="3"/>
      <c r="C4567" s="3"/>
      <c r="D4567" s="3"/>
      <c r="E4567" s="3"/>
      <c r="F4567" s="3"/>
      <c r="G4567" s="3"/>
      <c r="H4567" s="3"/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</row>
    <row r="4568">
      <c r="A4568" s="3"/>
      <c r="B4568" s="3"/>
      <c r="C4568" s="3"/>
      <c r="D4568" s="3"/>
      <c r="E4568" s="3"/>
      <c r="F4568" s="3"/>
      <c r="G4568" s="3"/>
      <c r="H4568" s="3"/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</row>
    <row r="4569">
      <c r="A4569" s="3"/>
      <c r="B4569" s="3"/>
      <c r="C4569" s="3"/>
      <c r="D4569" s="3"/>
      <c r="E4569" s="3"/>
      <c r="F4569" s="3"/>
      <c r="G4569" s="3"/>
      <c r="H4569" s="3"/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</row>
    <row r="4570">
      <c r="A4570" s="3"/>
      <c r="B4570" s="3"/>
      <c r="C4570" s="3"/>
      <c r="D4570" s="3"/>
      <c r="E4570" s="3"/>
      <c r="F4570" s="3"/>
      <c r="G4570" s="3"/>
      <c r="H4570" s="3"/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</row>
    <row r="4571">
      <c r="A4571" s="3"/>
      <c r="B4571" s="3"/>
      <c r="C4571" s="3"/>
      <c r="D4571" s="3"/>
      <c r="E4571" s="3"/>
      <c r="F4571" s="3"/>
      <c r="G4571" s="3"/>
      <c r="H4571" s="3"/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</row>
    <row r="4572">
      <c r="A4572" s="3"/>
      <c r="B4572" s="3"/>
      <c r="C4572" s="3"/>
      <c r="D4572" s="3"/>
      <c r="E4572" s="3"/>
      <c r="F4572" s="3"/>
      <c r="G4572" s="3"/>
      <c r="H4572" s="3"/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</row>
    <row r="4573">
      <c r="A4573" s="3"/>
      <c r="B4573" s="3"/>
      <c r="C4573" s="3"/>
      <c r="D4573" s="3"/>
      <c r="E4573" s="3"/>
      <c r="F4573" s="3"/>
      <c r="G4573" s="3"/>
      <c r="H4573" s="3"/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</row>
    <row r="4574">
      <c r="A4574" s="3"/>
      <c r="B4574" s="3"/>
      <c r="C4574" s="3"/>
      <c r="D4574" s="3"/>
      <c r="E4574" s="3"/>
      <c r="F4574" s="3"/>
      <c r="G4574" s="3"/>
      <c r="H4574" s="3"/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</row>
    <row r="4575">
      <c r="A4575" s="3"/>
      <c r="B4575" s="3"/>
      <c r="C4575" s="3"/>
      <c r="D4575" s="3"/>
      <c r="E4575" s="3"/>
      <c r="F4575" s="3"/>
      <c r="G4575" s="3"/>
      <c r="H4575" s="3"/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</row>
    <row r="4576">
      <c r="A4576" s="3"/>
      <c r="B4576" s="3"/>
      <c r="C4576" s="3"/>
      <c r="D4576" s="3"/>
      <c r="E4576" s="3"/>
      <c r="F4576" s="3"/>
      <c r="G4576" s="3"/>
      <c r="H4576" s="3"/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</row>
    <row r="4577">
      <c r="A4577" s="3"/>
      <c r="B4577" s="3"/>
      <c r="C4577" s="3"/>
      <c r="D4577" s="3"/>
      <c r="E4577" s="3"/>
      <c r="F4577" s="3"/>
      <c r="G4577" s="3"/>
      <c r="H4577" s="3"/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</row>
    <row r="4578">
      <c r="A4578" s="3"/>
      <c r="B4578" s="3"/>
      <c r="C4578" s="3"/>
      <c r="D4578" s="3"/>
      <c r="E4578" s="3"/>
      <c r="F4578" s="3"/>
      <c r="G4578" s="3"/>
      <c r="H4578" s="3"/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</row>
    <row r="4579">
      <c r="A4579" s="3"/>
      <c r="B4579" s="3"/>
      <c r="C4579" s="3"/>
      <c r="D4579" s="3"/>
      <c r="E4579" s="3"/>
      <c r="F4579" s="3"/>
      <c r="G4579" s="3"/>
      <c r="H4579" s="3"/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</row>
    <row r="4580">
      <c r="A4580" s="3"/>
      <c r="B4580" s="3"/>
      <c r="C4580" s="3"/>
      <c r="D4580" s="3"/>
      <c r="E4580" s="3"/>
      <c r="F4580" s="3"/>
      <c r="G4580" s="3"/>
      <c r="H4580" s="3"/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</row>
    <row r="4581">
      <c r="A4581" s="3"/>
      <c r="B4581" s="3"/>
      <c r="C4581" s="3"/>
      <c r="D4581" s="3"/>
      <c r="E4581" s="3"/>
      <c r="F4581" s="3"/>
      <c r="G4581" s="3"/>
      <c r="H4581" s="3"/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</row>
    <row r="4582">
      <c r="A4582" s="3"/>
      <c r="B4582" s="3"/>
      <c r="C4582" s="3"/>
      <c r="D4582" s="3"/>
      <c r="E4582" s="3"/>
      <c r="F4582" s="3"/>
      <c r="G4582" s="3"/>
      <c r="H4582" s="3"/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</row>
    <row r="4583">
      <c r="A4583" s="3"/>
      <c r="B4583" s="3"/>
      <c r="C4583" s="3"/>
      <c r="D4583" s="3"/>
      <c r="E4583" s="3"/>
      <c r="F4583" s="3"/>
      <c r="G4583" s="3"/>
      <c r="H4583" s="3"/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</row>
    <row r="4584">
      <c r="A4584" s="3"/>
      <c r="B4584" s="3"/>
      <c r="C4584" s="3"/>
      <c r="D4584" s="3"/>
      <c r="E4584" s="3"/>
      <c r="F4584" s="3"/>
      <c r="G4584" s="3"/>
      <c r="H4584" s="3"/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</row>
    <row r="4585">
      <c r="A4585" s="3"/>
      <c r="B4585" s="3"/>
      <c r="C4585" s="3"/>
      <c r="D4585" s="3"/>
      <c r="E4585" s="3"/>
      <c r="F4585" s="3"/>
      <c r="G4585" s="3"/>
      <c r="H4585" s="3"/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</row>
    <row r="4586">
      <c r="A4586" s="3"/>
      <c r="B4586" s="3"/>
      <c r="C4586" s="3"/>
      <c r="D4586" s="3"/>
      <c r="E4586" s="3"/>
      <c r="F4586" s="3"/>
      <c r="G4586" s="3"/>
      <c r="H4586" s="3"/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</row>
    <row r="4587">
      <c r="A4587" s="3"/>
      <c r="B4587" s="3"/>
      <c r="C4587" s="3"/>
      <c r="D4587" s="3"/>
      <c r="E4587" s="3"/>
      <c r="F4587" s="3"/>
      <c r="G4587" s="3"/>
      <c r="H4587" s="3"/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</row>
    <row r="4588">
      <c r="A4588" s="3"/>
      <c r="B4588" s="3"/>
      <c r="C4588" s="3"/>
      <c r="D4588" s="3"/>
      <c r="E4588" s="3"/>
      <c r="F4588" s="3"/>
      <c r="G4588" s="3"/>
      <c r="H4588" s="3"/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</row>
    <row r="4589">
      <c r="A4589" s="3"/>
      <c r="B4589" s="3"/>
      <c r="C4589" s="3"/>
      <c r="D4589" s="3"/>
      <c r="E4589" s="3"/>
      <c r="F4589" s="3"/>
      <c r="G4589" s="3"/>
      <c r="H4589" s="3"/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</row>
    <row r="4590">
      <c r="A4590" s="3"/>
      <c r="B4590" s="3"/>
      <c r="C4590" s="3"/>
      <c r="D4590" s="3"/>
      <c r="E4590" s="3"/>
      <c r="F4590" s="3"/>
      <c r="G4590" s="3"/>
      <c r="H4590" s="3"/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</row>
    <row r="4591">
      <c r="A4591" s="3"/>
      <c r="B4591" s="3"/>
      <c r="C4591" s="3"/>
      <c r="D4591" s="3"/>
      <c r="E4591" s="3"/>
      <c r="F4591" s="3"/>
      <c r="G4591" s="3"/>
      <c r="H4591" s="3"/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</row>
    <row r="4592">
      <c r="A4592" s="3"/>
      <c r="B4592" s="3"/>
      <c r="C4592" s="3"/>
      <c r="D4592" s="3"/>
      <c r="E4592" s="3"/>
      <c r="F4592" s="3"/>
      <c r="G4592" s="3"/>
      <c r="H4592" s="3"/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</row>
    <row r="4593">
      <c r="A4593" s="3"/>
      <c r="B4593" s="3"/>
      <c r="C4593" s="3"/>
      <c r="D4593" s="3"/>
      <c r="E4593" s="3"/>
      <c r="F4593" s="3"/>
      <c r="G4593" s="3"/>
      <c r="H4593" s="3"/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</row>
    <row r="4594">
      <c r="A4594" s="3"/>
      <c r="B4594" s="3"/>
      <c r="C4594" s="3"/>
      <c r="D4594" s="3"/>
      <c r="E4594" s="3"/>
      <c r="F4594" s="3"/>
      <c r="G4594" s="3"/>
      <c r="H4594" s="3"/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</row>
    <row r="4595">
      <c r="A4595" s="3"/>
      <c r="B4595" s="3"/>
      <c r="C4595" s="3"/>
      <c r="D4595" s="3"/>
      <c r="E4595" s="3"/>
      <c r="F4595" s="3"/>
      <c r="G4595" s="3"/>
      <c r="H4595" s="3"/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</row>
    <row r="4596">
      <c r="A4596" s="3"/>
      <c r="B4596" s="3"/>
      <c r="C4596" s="3"/>
      <c r="D4596" s="3"/>
      <c r="E4596" s="3"/>
      <c r="F4596" s="3"/>
      <c r="G4596" s="3"/>
      <c r="H4596" s="3"/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</row>
    <row r="4597">
      <c r="A4597" s="3"/>
      <c r="B4597" s="3"/>
      <c r="C4597" s="3"/>
      <c r="D4597" s="3"/>
      <c r="E4597" s="3"/>
      <c r="F4597" s="3"/>
      <c r="G4597" s="3"/>
      <c r="H4597" s="3"/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</row>
    <row r="4598">
      <c r="A4598" s="3"/>
      <c r="B4598" s="3"/>
      <c r="C4598" s="3"/>
      <c r="D4598" s="3"/>
      <c r="E4598" s="3"/>
      <c r="F4598" s="3"/>
      <c r="G4598" s="3"/>
      <c r="H4598" s="3"/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</row>
    <row r="4599">
      <c r="A4599" s="3"/>
      <c r="B4599" s="3"/>
      <c r="C4599" s="3"/>
      <c r="D4599" s="3"/>
      <c r="E4599" s="3"/>
      <c r="F4599" s="3"/>
      <c r="G4599" s="3"/>
      <c r="H4599" s="3"/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</row>
    <row r="4600">
      <c r="A4600" s="3"/>
      <c r="B4600" s="3"/>
      <c r="C4600" s="3"/>
      <c r="D4600" s="3"/>
      <c r="E4600" s="3"/>
      <c r="F4600" s="3"/>
      <c r="G4600" s="3"/>
      <c r="H4600" s="3"/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</row>
    <row r="4601">
      <c r="A4601" s="3"/>
      <c r="B4601" s="3"/>
      <c r="C4601" s="3"/>
      <c r="D4601" s="3"/>
      <c r="E4601" s="3"/>
      <c r="F4601" s="3"/>
      <c r="G4601" s="3"/>
      <c r="H4601" s="3"/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</row>
    <row r="4602">
      <c r="A4602" s="3"/>
      <c r="B4602" s="3"/>
      <c r="C4602" s="3"/>
      <c r="D4602" s="3"/>
      <c r="E4602" s="3"/>
      <c r="F4602" s="3"/>
      <c r="G4602" s="3"/>
      <c r="H4602" s="3"/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</row>
    <row r="4603">
      <c r="A4603" s="3"/>
      <c r="B4603" s="3"/>
      <c r="C4603" s="3"/>
      <c r="D4603" s="3"/>
      <c r="E4603" s="3"/>
      <c r="F4603" s="3"/>
      <c r="G4603" s="3"/>
      <c r="H4603" s="3"/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</row>
    <row r="4604">
      <c r="A4604" s="3"/>
      <c r="B4604" s="3"/>
      <c r="C4604" s="3"/>
      <c r="D4604" s="3"/>
      <c r="E4604" s="3"/>
      <c r="F4604" s="3"/>
      <c r="G4604" s="3"/>
      <c r="H4604" s="3"/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</row>
    <row r="4605">
      <c r="A4605" s="3"/>
      <c r="B4605" s="3"/>
      <c r="C4605" s="3"/>
      <c r="D4605" s="3"/>
      <c r="E4605" s="3"/>
      <c r="F4605" s="3"/>
      <c r="G4605" s="3"/>
      <c r="H4605" s="3"/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</row>
    <row r="4606">
      <c r="A4606" s="3"/>
      <c r="B4606" s="3"/>
      <c r="C4606" s="3"/>
      <c r="D4606" s="3"/>
      <c r="E4606" s="3"/>
      <c r="F4606" s="3"/>
      <c r="G4606" s="3"/>
      <c r="H4606" s="3"/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</row>
    <row r="4607">
      <c r="A4607" s="3"/>
      <c r="B4607" s="3"/>
      <c r="C4607" s="3"/>
      <c r="D4607" s="3"/>
      <c r="E4607" s="3"/>
      <c r="F4607" s="3"/>
      <c r="G4607" s="3"/>
      <c r="H4607" s="3"/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</row>
    <row r="4608">
      <c r="A4608" s="3"/>
      <c r="B4608" s="3"/>
      <c r="C4608" s="3"/>
      <c r="D4608" s="3"/>
      <c r="E4608" s="3"/>
      <c r="F4608" s="3"/>
      <c r="G4608" s="3"/>
      <c r="H4608" s="3"/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</row>
    <row r="4609">
      <c r="A4609" s="3"/>
      <c r="B4609" s="3"/>
      <c r="C4609" s="3"/>
      <c r="D4609" s="3"/>
      <c r="E4609" s="3"/>
      <c r="F4609" s="3"/>
      <c r="G4609" s="3"/>
      <c r="H4609" s="3"/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</row>
    <row r="4610">
      <c r="A4610" s="3"/>
      <c r="B4610" s="3"/>
      <c r="C4610" s="3"/>
      <c r="D4610" s="3"/>
      <c r="E4610" s="3"/>
      <c r="F4610" s="3"/>
      <c r="G4610" s="3"/>
      <c r="H4610" s="3"/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</row>
    <row r="4611">
      <c r="A4611" s="3"/>
      <c r="B4611" s="3"/>
      <c r="C4611" s="3"/>
      <c r="D4611" s="3"/>
      <c r="E4611" s="3"/>
      <c r="F4611" s="3"/>
      <c r="G4611" s="3"/>
      <c r="H4611" s="3"/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</row>
    <row r="4612">
      <c r="A4612" s="3"/>
      <c r="B4612" s="3"/>
      <c r="C4612" s="3"/>
      <c r="D4612" s="3"/>
      <c r="E4612" s="3"/>
      <c r="F4612" s="3"/>
      <c r="G4612" s="3"/>
      <c r="H4612" s="3"/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</row>
    <row r="4613">
      <c r="A4613" s="3"/>
      <c r="B4613" s="3"/>
      <c r="C4613" s="3"/>
      <c r="D4613" s="3"/>
      <c r="E4613" s="3"/>
      <c r="F4613" s="3"/>
      <c r="G4613" s="3"/>
      <c r="H4613" s="3"/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</row>
    <row r="4614">
      <c r="A4614" s="3"/>
      <c r="B4614" s="3"/>
      <c r="C4614" s="3"/>
      <c r="D4614" s="3"/>
      <c r="E4614" s="3"/>
      <c r="F4614" s="3"/>
      <c r="G4614" s="3"/>
      <c r="H4614" s="3"/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</row>
    <row r="4615">
      <c r="A4615" s="3"/>
      <c r="B4615" s="3"/>
      <c r="C4615" s="3"/>
      <c r="D4615" s="3"/>
      <c r="E4615" s="3"/>
      <c r="F4615" s="3"/>
      <c r="G4615" s="3"/>
      <c r="H4615" s="3"/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</row>
    <row r="4616">
      <c r="A4616" s="3"/>
      <c r="B4616" s="3"/>
      <c r="C4616" s="3"/>
      <c r="D4616" s="3"/>
      <c r="E4616" s="3"/>
      <c r="F4616" s="3"/>
      <c r="G4616" s="3"/>
      <c r="H4616" s="3"/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</row>
    <row r="4617">
      <c r="A4617" s="3"/>
      <c r="B4617" s="3"/>
      <c r="C4617" s="3"/>
      <c r="D4617" s="3"/>
      <c r="E4617" s="3"/>
      <c r="F4617" s="3"/>
      <c r="G4617" s="3"/>
      <c r="H4617" s="3"/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</row>
    <row r="4618">
      <c r="A4618" s="3"/>
      <c r="B4618" s="3"/>
      <c r="C4618" s="3"/>
      <c r="D4618" s="3"/>
      <c r="E4618" s="3"/>
      <c r="F4618" s="3"/>
      <c r="G4618" s="3"/>
      <c r="H4618" s="3"/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</row>
    <row r="4619">
      <c r="A4619" s="3"/>
      <c r="B4619" s="3"/>
      <c r="C4619" s="3"/>
      <c r="D4619" s="3"/>
      <c r="E4619" s="3"/>
      <c r="F4619" s="3"/>
      <c r="G4619" s="3"/>
      <c r="H4619" s="3"/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</row>
    <row r="4620">
      <c r="A4620" s="3"/>
      <c r="B4620" s="3"/>
      <c r="C4620" s="3"/>
      <c r="D4620" s="3"/>
      <c r="E4620" s="3"/>
      <c r="F4620" s="3"/>
      <c r="G4620" s="3"/>
      <c r="H4620" s="3"/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</row>
    <row r="4621">
      <c r="A4621" s="3"/>
      <c r="B4621" s="3"/>
      <c r="C4621" s="3"/>
      <c r="D4621" s="3"/>
      <c r="E4621" s="3"/>
      <c r="F4621" s="3"/>
      <c r="G4621" s="3"/>
      <c r="H4621" s="3"/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</row>
    <row r="4622">
      <c r="A4622" s="3"/>
      <c r="B4622" s="3"/>
      <c r="C4622" s="3"/>
      <c r="D4622" s="3"/>
      <c r="E4622" s="3"/>
      <c r="F4622" s="3"/>
      <c r="G4622" s="3"/>
      <c r="H4622" s="3"/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</row>
    <row r="4623">
      <c r="A4623" s="3"/>
      <c r="B4623" s="3"/>
      <c r="C4623" s="3"/>
      <c r="D4623" s="3"/>
      <c r="E4623" s="3"/>
      <c r="F4623" s="3"/>
      <c r="G4623" s="3"/>
      <c r="H4623" s="3"/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</row>
    <row r="4624">
      <c r="A4624" s="3"/>
      <c r="B4624" s="3"/>
      <c r="C4624" s="3"/>
      <c r="D4624" s="3"/>
      <c r="E4624" s="3"/>
      <c r="F4624" s="3"/>
      <c r="G4624" s="3"/>
      <c r="H4624" s="3"/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</row>
    <row r="4625">
      <c r="A4625" s="3"/>
      <c r="B4625" s="3"/>
      <c r="C4625" s="3"/>
      <c r="D4625" s="3"/>
      <c r="E4625" s="3"/>
      <c r="F4625" s="3"/>
      <c r="G4625" s="3"/>
      <c r="H4625" s="3"/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</row>
    <row r="4626">
      <c r="A4626" s="3"/>
      <c r="B4626" s="3"/>
      <c r="C4626" s="3"/>
      <c r="D4626" s="3"/>
      <c r="E4626" s="3"/>
      <c r="F4626" s="3"/>
      <c r="G4626" s="3"/>
      <c r="H4626" s="3"/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</row>
    <row r="4627">
      <c r="A4627" s="3"/>
      <c r="B4627" s="3"/>
      <c r="C4627" s="3"/>
      <c r="D4627" s="3"/>
      <c r="E4627" s="3"/>
      <c r="F4627" s="3"/>
      <c r="G4627" s="3"/>
      <c r="H4627" s="3"/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</row>
    <row r="4628">
      <c r="A4628" s="3"/>
      <c r="B4628" s="3"/>
      <c r="C4628" s="3"/>
      <c r="D4628" s="3"/>
      <c r="E4628" s="3"/>
      <c r="F4628" s="3"/>
      <c r="G4628" s="3"/>
      <c r="H4628" s="3"/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</row>
    <row r="4629">
      <c r="A4629" s="3"/>
      <c r="B4629" s="3"/>
      <c r="C4629" s="3"/>
      <c r="D4629" s="3"/>
      <c r="E4629" s="3"/>
      <c r="F4629" s="3"/>
      <c r="G4629" s="3"/>
      <c r="H4629" s="3"/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</row>
    <row r="4630">
      <c r="A4630" s="3"/>
      <c r="B4630" s="3"/>
      <c r="C4630" s="3"/>
      <c r="D4630" s="3"/>
      <c r="E4630" s="3"/>
      <c r="F4630" s="3"/>
      <c r="G4630" s="3"/>
      <c r="H4630" s="3"/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</row>
    <row r="4631">
      <c r="A4631" s="3"/>
      <c r="B4631" s="3"/>
      <c r="C4631" s="3"/>
      <c r="D4631" s="3"/>
      <c r="E4631" s="3"/>
      <c r="F4631" s="3"/>
      <c r="G4631" s="3"/>
      <c r="H4631" s="3"/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</row>
    <row r="4632">
      <c r="A4632" s="3"/>
      <c r="B4632" s="3"/>
      <c r="C4632" s="3"/>
      <c r="D4632" s="3"/>
      <c r="E4632" s="3"/>
      <c r="F4632" s="3"/>
      <c r="G4632" s="3"/>
      <c r="H4632" s="3"/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</row>
    <row r="4633">
      <c r="A4633" s="3"/>
      <c r="B4633" s="3"/>
      <c r="C4633" s="3"/>
      <c r="D4633" s="3"/>
      <c r="E4633" s="3"/>
      <c r="F4633" s="3"/>
      <c r="G4633" s="3"/>
      <c r="H4633" s="3"/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</row>
    <row r="4634">
      <c r="A4634" s="3"/>
      <c r="B4634" s="3"/>
      <c r="C4634" s="3"/>
      <c r="D4634" s="3"/>
      <c r="E4634" s="3"/>
      <c r="F4634" s="3"/>
      <c r="G4634" s="3"/>
      <c r="H4634" s="3"/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</row>
    <row r="4635">
      <c r="A4635" s="3"/>
      <c r="B4635" s="3"/>
      <c r="C4635" s="3"/>
      <c r="D4635" s="3"/>
      <c r="E4635" s="3"/>
      <c r="F4635" s="3"/>
      <c r="G4635" s="3"/>
      <c r="H4635" s="3"/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</row>
    <row r="4636">
      <c r="A4636" s="3"/>
      <c r="B4636" s="3"/>
      <c r="C4636" s="3"/>
      <c r="D4636" s="3"/>
      <c r="E4636" s="3"/>
      <c r="F4636" s="3"/>
      <c r="G4636" s="3"/>
      <c r="H4636" s="3"/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</row>
    <row r="4637">
      <c r="A4637" s="3"/>
      <c r="B4637" s="3"/>
      <c r="C4637" s="3"/>
      <c r="D4637" s="3"/>
      <c r="E4637" s="3"/>
      <c r="F4637" s="3"/>
      <c r="G4637" s="3"/>
      <c r="H4637" s="3"/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</row>
    <row r="4638">
      <c r="A4638" s="3"/>
      <c r="B4638" s="3"/>
      <c r="C4638" s="3"/>
      <c r="D4638" s="3"/>
      <c r="E4638" s="3"/>
      <c r="F4638" s="3"/>
      <c r="G4638" s="3"/>
      <c r="H4638" s="3"/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</row>
    <row r="4639">
      <c r="A4639" s="3"/>
      <c r="B4639" s="3"/>
      <c r="C4639" s="3"/>
      <c r="D4639" s="3"/>
      <c r="E4639" s="3"/>
      <c r="F4639" s="3"/>
      <c r="G4639" s="3"/>
      <c r="H4639" s="3"/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</row>
    <row r="4640">
      <c r="A4640" s="3"/>
      <c r="B4640" s="3"/>
      <c r="C4640" s="3"/>
      <c r="D4640" s="3"/>
      <c r="E4640" s="3"/>
      <c r="F4640" s="3"/>
      <c r="G4640" s="3"/>
      <c r="H4640" s="3"/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</row>
    <row r="4641">
      <c r="A4641" s="3"/>
      <c r="B4641" s="3"/>
      <c r="C4641" s="3"/>
      <c r="D4641" s="3"/>
      <c r="E4641" s="3"/>
      <c r="F4641" s="3"/>
      <c r="G4641" s="3"/>
      <c r="H4641" s="3"/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</row>
    <row r="4642">
      <c r="A4642" s="3"/>
      <c r="B4642" s="3"/>
      <c r="C4642" s="3"/>
      <c r="D4642" s="3"/>
      <c r="E4642" s="3"/>
      <c r="F4642" s="3"/>
      <c r="G4642" s="3"/>
      <c r="H4642" s="3"/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</row>
    <row r="4643">
      <c r="A4643" s="3"/>
      <c r="B4643" s="3"/>
      <c r="C4643" s="3"/>
      <c r="D4643" s="3"/>
      <c r="E4643" s="3"/>
      <c r="F4643" s="3"/>
      <c r="G4643" s="3"/>
      <c r="H4643" s="3"/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</row>
    <row r="4644">
      <c r="A4644" s="3"/>
      <c r="B4644" s="3"/>
      <c r="C4644" s="3"/>
      <c r="D4644" s="3"/>
      <c r="E4644" s="3"/>
      <c r="F4644" s="3"/>
      <c r="G4644" s="3"/>
      <c r="H4644" s="3"/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</row>
    <row r="4645">
      <c r="A4645" s="3"/>
      <c r="B4645" s="3"/>
      <c r="C4645" s="3"/>
      <c r="D4645" s="3"/>
      <c r="E4645" s="3"/>
      <c r="F4645" s="3"/>
      <c r="G4645" s="3"/>
      <c r="H4645" s="3"/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</row>
    <row r="4646">
      <c r="A4646" s="3"/>
      <c r="B4646" s="3"/>
      <c r="C4646" s="3"/>
      <c r="D4646" s="3"/>
      <c r="E4646" s="3"/>
      <c r="F4646" s="3"/>
      <c r="G4646" s="3"/>
      <c r="H4646" s="3"/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</row>
    <row r="4647">
      <c r="A4647" s="3"/>
      <c r="B4647" s="3"/>
      <c r="C4647" s="3"/>
      <c r="D4647" s="3"/>
      <c r="E4647" s="3"/>
      <c r="F4647" s="3"/>
      <c r="G4647" s="3"/>
      <c r="H4647" s="3"/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</row>
    <row r="4648">
      <c r="A4648" s="3"/>
      <c r="B4648" s="3"/>
      <c r="C4648" s="3"/>
      <c r="D4648" s="3"/>
      <c r="E4648" s="3"/>
      <c r="F4648" s="3"/>
      <c r="G4648" s="3"/>
      <c r="H4648" s="3"/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</row>
    <row r="4649">
      <c r="A4649" s="3"/>
      <c r="B4649" s="3"/>
      <c r="C4649" s="3"/>
      <c r="D4649" s="3"/>
      <c r="E4649" s="3"/>
      <c r="F4649" s="3"/>
      <c r="G4649" s="3"/>
      <c r="H4649" s="3"/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</row>
    <row r="4650">
      <c r="A4650" s="3"/>
      <c r="B4650" s="3"/>
      <c r="C4650" s="3"/>
      <c r="D4650" s="3"/>
      <c r="E4650" s="3"/>
      <c r="F4650" s="3"/>
      <c r="G4650" s="3"/>
      <c r="H4650" s="3"/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</row>
    <row r="4651">
      <c r="A4651" s="3"/>
      <c r="B4651" s="3"/>
      <c r="C4651" s="3"/>
      <c r="D4651" s="3"/>
      <c r="E4651" s="3"/>
      <c r="F4651" s="3"/>
      <c r="G4651" s="3"/>
      <c r="H4651" s="3"/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</row>
    <row r="4652">
      <c r="A4652" s="3"/>
      <c r="B4652" s="3"/>
      <c r="C4652" s="3"/>
      <c r="D4652" s="3"/>
      <c r="E4652" s="3"/>
      <c r="F4652" s="3"/>
      <c r="G4652" s="3"/>
      <c r="H4652" s="3"/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</row>
    <row r="4653">
      <c r="A4653" s="3"/>
      <c r="B4653" s="3"/>
      <c r="C4653" s="3"/>
      <c r="D4653" s="3"/>
      <c r="E4653" s="3"/>
      <c r="F4653" s="3"/>
      <c r="G4653" s="3"/>
      <c r="H4653" s="3"/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</row>
    <row r="4654">
      <c r="A4654" s="3"/>
      <c r="B4654" s="3"/>
      <c r="C4654" s="3"/>
      <c r="D4654" s="3"/>
      <c r="E4654" s="3"/>
      <c r="F4654" s="3"/>
      <c r="G4654" s="3"/>
      <c r="H4654" s="3"/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</row>
    <row r="4655">
      <c r="A4655" s="3"/>
      <c r="B4655" s="3"/>
      <c r="C4655" s="3"/>
      <c r="D4655" s="3"/>
      <c r="E4655" s="3"/>
      <c r="F4655" s="3"/>
      <c r="G4655" s="3"/>
      <c r="H4655" s="3"/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</row>
    <row r="4656">
      <c r="A4656" s="3"/>
      <c r="B4656" s="3"/>
      <c r="C4656" s="3"/>
      <c r="D4656" s="3"/>
      <c r="E4656" s="3"/>
      <c r="F4656" s="3"/>
      <c r="G4656" s="3"/>
      <c r="H4656" s="3"/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</row>
    <row r="4657">
      <c r="A4657" s="3"/>
      <c r="B4657" s="3"/>
      <c r="C4657" s="3"/>
      <c r="D4657" s="3"/>
      <c r="E4657" s="3"/>
      <c r="F4657" s="3"/>
      <c r="G4657" s="3"/>
      <c r="H4657" s="3"/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</row>
    <row r="4658">
      <c r="A4658" s="3"/>
      <c r="B4658" s="3"/>
      <c r="C4658" s="3"/>
      <c r="D4658" s="3"/>
      <c r="E4658" s="3"/>
      <c r="F4658" s="3"/>
      <c r="G4658" s="3"/>
      <c r="H4658" s="3"/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</row>
    <row r="4659">
      <c r="A4659" s="3"/>
      <c r="B4659" s="3"/>
      <c r="C4659" s="3"/>
      <c r="D4659" s="3"/>
      <c r="E4659" s="3"/>
      <c r="F4659" s="3"/>
      <c r="G4659" s="3"/>
      <c r="H4659" s="3"/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</row>
    <row r="4660">
      <c r="A4660" s="3"/>
      <c r="B4660" s="3"/>
      <c r="C4660" s="3"/>
      <c r="D4660" s="3"/>
      <c r="E4660" s="3"/>
      <c r="F4660" s="3"/>
      <c r="G4660" s="3"/>
      <c r="H4660" s="3"/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</row>
    <row r="4661">
      <c r="A4661" s="3"/>
      <c r="B4661" s="3"/>
      <c r="C4661" s="3"/>
      <c r="D4661" s="3"/>
      <c r="E4661" s="3"/>
      <c r="F4661" s="3"/>
      <c r="G4661" s="3"/>
      <c r="H4661" s="3"/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</row>
    <row r="4662">
      <c r="A4662" s="3"/>
      <c r="B4662" s="3"/>
      <c r="C4662" s="3"/>
      <c r="D4662" s="3"/>
      <c r="E4662" s="3"/>
      <c r="F4662" s="3"/>
      <c r="G4662" s="3"/>
      <c r="H4662" s="3"/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</row>
    <row r="4663">
      <c r="A4663" s="3"/>
      <c r="B4663" s="3"/>
      <c r="C4663" s="3"/>
      <c r="D4663" s="3"/>
      <c r="E4663" s="3"/>
      <c r="F4663" s="3"/>
      <c r="G4663" s="3"/>
      <c r="H4663" s="3"/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</row>
    <row r="4664">
      <c r="A4664" s="3"/>
      <c r="B4664" s="3"/>
      <c r="C4664" s="3"/>
      <c r="D4664" s="3"/>
      <c r="E4664" s="3"/>
      <c r="F4664" s="3"/>
      <c r="G4664" s="3"/>
      <c r="H4664" s="3"/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</row>
    <row r="4665">
      <c r="A4665" s="3"/>
      <c r="B4665" s="3"/>
      <c r="C4665" s="3"/>
      <c r="D4665" s="3"/>
      <c r="E4665" s="3"/>
      <c r="F4665" s="3"/>
      <c r="G4665" s="3"/>
      <c r="H4665" s="3"/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</row>
    <row r="4666">
      <c r="A4666" s="3"/>
      <c r="B4666" s="3"/>
      <c r="C4666" s="3"/>
      <c r="D4666" s="3"/>
      <c r="E4666" s="3"/>
      <c r="F4666" s="3"/>
      <c r="G4666" s="3"/>
      <c r="H4666" s="3"/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</row>
    <row r="4667">
      <c r="A4667" s="3"/>
      <c r="B4667" s="3"/>
      <c r="C4667" s="3"/>
      <c r="D4667" s="3"/>
      <c r="E4667" s="3"/>
      <c r="F4667" s="3"/>
      <c r="G4667" s="3"/>
      <c r="H4667" s="3"/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</row>
    <row r="4668">
      <c r="A4668" s="3"/>
      <c r="B4668" s="3"/>
      <c r="C4668" s="3"/>
      <c r="D4668" s="3"/>
      <c r="E4668" s="3"/>
      <c r="F4668" s="3"/>
      <c r="G4668" s="3"/>
      <c r="H4668" s="3"/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</row>
    <row r="4669">
      <c r="A4669" s="3"/>
      <c r="B4669" s="3"/>
      <c r="C4669" s="3"/>
      <c r="D4669" s="3"/>
      <c r="E4669" s="3"/>
      <c r="F4669" s="3"/>
      <c r="G4669" s="3"/>
      <c r="H4669" s="3"/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</row>
    <row r="4670">
      <c r="A4670" s="3"/>
      <c r="B4670" s="3"/>
      <c r="C4670" s="3"/>
      <c r="D4670" s="3"/>
      <c r="E4670" s="3"/>
      <c r="F4670" s="3"/>
      <c r="G4670" s="3"/>
      <c r="H4670" s="3"/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</row>
    <row r="4671">
      <c r="A4671" s="3"/>
      <c r="B4671" s="3"/>
      <c r="C4671" s="3"/>
      <c r="D4671" s="3"/>
      <c r="E4671" s="3"/>
      <c r="F4671" s="3"/>
      <c r="G4671" s="3"/>
      <c r="H4671" s="3"/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</row>
    <row r="4672">
      <c r="A4672" s="3"/>
      <c r="B4672" s="3"/>
      <c r="C4672" s="3"/>
      <c r="D4672" s="3"/>
      <c r="E4672" s="3"/>
      <c r="F4672" s="3"/>
      <c r="G4672" s="3"/>
      <c r="H4672" s="3"/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</row>
    <row r="4673">
      <c r="A4673" s="3"/>
      <c r="B4673" s="3"/>
      <c r="C4673" s="3"/>
      <c r="D4673" s="3"/>
      <c r="E4673" s="3"/>
      <c r="F4673" s="3"/>
      <c r="G4673" s="3"/>
      <c r="H4673" s="3"/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</row>
    <row r="4674">
      <c r="A4674" s="3"/>
      <c r="B4674" s="3"/>
      <c r="C4674" s="3"/>
      <c r="D4674" s="3"/>
      <c r="E4674" s="3"/>
      <c r="F4674" s="3"/>
      <c r="G4674" s="3"/>
      <c r="H4674" s="3"/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</row>
    <row r="4675">
      <c r="A4675" s="3"/>
      <c r="B4675" s="3"/>
      <c r="C4675" s="3"/>
      <c r="D4675" s="3"/>
      <c r="E4675" s="3"/>
      <c r="F4675" s="3"/>
      <c r="G4675" s="3"/>
      <c r="H4675" s="3"/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</row>
    <row r="4676">
      <c r="A4676" s="3"/>
      <c r="B4676" s="3"/>
      <c r="C4676" s="3"/>
      <c r="D4676" s="3"/>
      <c r="E4676" s="3"/>
      <c r="F4676" s="3"/>
      <c r="G4676" s="3"/>
      <c r="H4676" s="3"/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</row>
    <row r="4677">
      <c r="A4677" s="3"/>
      <c r="B4677" s="3"/>
      <c r="C4677" s="3"/>
      <c r="D4677" s="3"/>
      <c r="E4677" s="3"/>
      <c r="F4677" s="3"/>
      <c r="G4677" s="3"/>
      <c r="H4677" s="3"/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</row>
    <row r="4678">
      <c r="A4678" s="3"/>
      <c r="B4678" s="3"/>
      <c r="C4678" s="3"/>
      <c r="D4678" s="3"/>
      <c r="E4678" s="3"/>
      <c r="F4678" s="3"/>
      <c r="G4678" s="3"/>
      <c r="H4678" s="3"/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</row>
    <row r="4679">
      <c r="A4679" s="3"/>
      <c r="B4679" s="3"/>
      <c r="C4679" s="3"/>
      <c r="D4679" s="3"/>
      <c r="E4679" s="3"/>
      <c r="F4679" s="3"/>
      <c r="G4679" s="3"/>
      <c r="H4679" s="3"/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</row>
    <row r="4680">
      <c r="A4680" s="3"/>
      <c r="B4680" s="3"/>
      <c r="C4680" s="3"/>
      <c r="D4680" s="3"/>
      <c r="E4680" s="3"/>
      <c r="F4680" s="3"/>
      <c r="G4680" s="3"/>
      <c r="H4680" s="3"/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</row>
    <row r="4681">
      <c r="A4681" s="3"/>
      <c r="B4681" s="3"/>
      <c r="C4681" s="3"/>
      <c r="D4681" s="3"/>
      <c r="E4681" s="3"/>
      <c r="F4681" s="3"/>
      <c r="G4681" s="3"/>
      <c r="H4681" s="3"/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</row>
    <row r="4682">
      <c r="A4682" s="3"/>
      <c r="B4682" s="3"/>
      <c r="C4682" s="3"/>
      <c r="D4682" s="3"/>
      <c r="E4682" s="3"/>
      <c r="F4682" s="3"/>
      <c r="G4682" s="3"/>
      <c r="H4682" s="3"/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</row>
    <row r="4683">
      <c r="A4683" s="3"/>
      <c r="B4683" s="3"/>
      <c r="C4683" s="3"/>
      <c r="D4683" s="3"/>
      <c r="E4683" s="3"/>
      <c r="F4683" s="3"/>
      <c r="G4683" s="3"/>
      <c r="H4683" s="3"/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</row>
    <row r="4684">
      <c r="A4684" s="3"/>
      <c r="B4684" s="3"/>
      <c r="C4684" s="3"/>
      <c r="D4684" s="3"/>
      <c r="E4684" s="3"/>
      <c r="F4684" s="3"/>
      <c r="G4684" s="3"/>
      <c r="H4684" s="3"/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</row>
    <row r="4685">
      <c r="A4685" s="3"/>
      <c r="B4685" s="3"/>
      <c r="C4685" s="3"/>
      <c r="D4685" s="3"/>
      <c r="E4685" s="3"/>
      <c r="F4685" s="3"/>
      <c r="G4685" s="3"/>
      <c r="H4685" s="3"/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</row>
    <row r="4686">
      <c r="A4686" s="3"/>
      <c r="B4686" s="3"/>
      <c r="C4686" s="3"/>
      <c r="D4686" s="3"/>
      <c r="E4686" s="3"/>
      <c r="F4686" s="3"/>
      <c r="G4686" s="3"/>
      <c r="H4686" s="3"/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</row>
    <row r="4687">
      <c r="A4687" s="3"/>
      <c r="B4687" s="3"/>
      <c r="C4687" s="3"/>
      <c r="D4687" s="3"/>
      <c r="E4687" s="3"/>
      <c r="F4687" s="3"/>
      <c r="G4687" s="3"/>
      <c r="H4687" s="3"/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</row>
    <row r="4688">
      <c r="A4688" s="3"/>
      <c r="B4688" s="3"/>
      <c r="C4688" s="3"/>
      <c r="D4688" s="3"/>
      <c r="E4688" s="3"/>
      <c r="F4688" s="3"/>
      <c r="G4688" s="3"/>
      <c r="H4688" s="3"/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</row>
    <row r="4689">
      <c r="A4689" s="3"/>
      <c r="B4689" s="3"/>
      <c r="C4689" s="3"/>
      <c r="D4689" s="3"/>
      <c r="E4689" s="3"/>
      <c r="F4689" s="3"/>
      <c r="G4689" s="3"/>
      <c r="H4689" s="3"/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</row>
    <row r="4690">
      <c r="A4690" s="3"/>
      <c r="B4690" s="3"/>
      <c r="C4690" s="3"/>
      <c r="D4690" s="3"/>
      <c r="E4690" s="3"/>
      <c r="F4690" s="3"/>
      <c r="G4690" s="3"/>
      <c r="H4690" s="3"/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</row>
    <row r="4691">
      <c r="A4691" s="3"/>
      <c r="B4691" s="3"/>
      <c r="C4691" s="3"/>
      <c r="D4691" s="3"/>
      <c r="E4691" s="3"/>
      <c r="F4691" s="3"/>
      <c r="G4691" s="3"/>
      <c r="H4691" s="3"/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</row>
    <row r="4692">
      <c r="A4692" s="3"/>
      <c r="B4692" s="3"/>
      <c r="C4692" s="3"/>
      <c r="D4692" s="3"/>
      <c r="E4692" s="3"/>
      <c r="F4692" s="3"/>
      <c r="G4692" s="3"/>
      <c r="H4692" s="3"/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</row>
    <row r="4693">
      <c r="A4693" s="3"/>
      <c r="B4693" s="3"/>
      <c r="C4693" s="3"/>
      <c r="D4693" s="3"/>
      <c r="E4693" s="3"/>
      <c r="F4693" s="3"/>
      <c r="G4693" s="3"/>
      <c r="H4693" s="3"/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</row>
    <row r="4694">
      <c r="A4694" s="3"/>
      <c r="B4694" s="3"/>
      <c r="C4694" s="3"/>
      <c r="D4694" s="3"/>
      <c r="E4694" s="3"/>
      <c r="F4694" s="3"/>
      <c r="G4694" s="3"/>
      <c r="H4694" s="3"/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</row>
    <row r="4695">
      <c r="A4695" s="3"/>
      <c r="B4695" s="3"/>
      <c r="C4695" s="3"/>
      <c r="D4695" s="3"/>
      <c r="E4695" s="3"/>
      <c r="F4695" s="3"/>
      <c r="G4695" s="3"/>
      <c r="H4695" s="3"/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</row>
    <row r="4696">
      <c r="A4696" s="3"/>
      <c r="B4696" s="3"/>
      <c r="C4696" s="3"/>
      <c r="D4696" s="3"/>
      <c r="E4696" s="3"/>
      <c r="F4696" s="3"/>
      <c r="G4696" s="3"/>
      <c r="H4696" s="3"/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</row>
    <row r="4697">
      <c r="A4697" s="3"/>
      <c r="B4697" s="3"/>
      <c r="C4697" s="3"/>
      <c r="D4697" s="3"/>
      <c r="E4697" s="3"/>
      <c r="F4697" s="3"/>
      <c r="G4697" s="3"/>
      <c r="H4697" s="3"/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</row>
    <row r="4698">
      <c r="A4698" s="3"/>
      <c r="B4698" s="3"/>
      <c r="C4698" s="3"/>
      <c r="D4698" s="3"/>
      <c r="E4698" s="3"/>
      <c r="F4698" s="3"/>
      <c r="G4698" s="3"/>
      <c r="H4698" s="3"/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</row>
    <row r="4699">
      <c r="A4699" s="3"/>
      <c r="B4699" s="3"/>
      <c r="C4699" s="3"/>
      <c r="D4699" s="3"/>
      <c r="E4699" s="3"/>
      <c r="F4699" s="3"/>
      <c r="G4699" s="3"/>
      <c r="H4699" s="3"/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</row>
    <row r="4700">
      <c r="A4700" s="3"/>
      <c r="B4700" s="3"/>
      <c r="C4700" s="3"/>
      <c r="D4700" s="3"/>
      <c r="E4700" s="3"/>
      <c r="F4700" s="3"/>
      <c r="G4700" s="3"/>
      <c r="H4700" s="3"/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</row>
    <row r="4701">
      <c r="A4701" s="3"/>
      <c r="B4701" s="3"/>
      <c r="C4701" s="3"/>
      <c r="D4701" s="3"/>
      <c r="E4701" s="3"/>
      <c r="F4701" s="3"/>
      <c r="G4701" s="3"/>
      <c r="H4701" s="3"/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</row>
    <row r="4702">
      <c r="A4702" s="3"/>
      <c r="B4702" s="3"/>
      <c r="C4702" s="3"/>
      <c r="D4702" s="3"/>
      <c r="E4702" s="3"/>
      <c r="F4702" s="3"/>
      <c r="G4702" s="3"/>
      <c r="H4702" s="3"/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</row>
    <row r="4703">
      <c r="A4703" s="3"/>
      <c r="B4703" s="3"/>
      <c r="C4703" s="3"/>
      <c r="D4703" s="3"/>
      <c r="E4703" s="3"/>
      <c r="F4703" s="3"/>
      <c r="G4703" s="3"/>
      <c r="H4703" s="3"/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</row>
    <row r="4704">
      <c r="A4704" s="3"/>
      <c r="B4704" s="3"/>
      <c r="C4704" s="3"/>
      <c r="D4704" s="3"/>
      <c r="E4704" s="3"/>
      <c r="F4704" s="3"/>
      <c r="G4704" s="3"/>
      <c r="H4704" s="3"/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</row>
    <row r="4705">
      <c r="A4705" s="3"/>
      <c r="B4705" s="3"/>
      <c r="C4705" s="3"/>
      <c r="D4705" s="3"/>
      <c r="E4705" s="3"/>
      <c r="F4705" s="3"/>
      <c r="G4705" s="3"/>
      <c r="H4705" s="3"/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</row>
    <row r="4706">
      <c r="A4706" s="3"/>
      <c r="B4706" s="3"/>
      <c r="C4706" s="3"/>
      <c r="D4706" s="3"/>
      <c r="E4706" s="3"/>
      <c r="F4706" s="3"/>
      <c r="G4706" s="3"/>
      <c r="H4706" s="3"/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</row>
    <row r="4707">
      <c r="A4707" s="3"/>
      <c r="B4707" s="3"/>
      <c r="C4707" s="3"/>
      <c r="D4707" s="3"/>
      <c r="E4707" s="3"/>
      <c r="F4707" s="3"/>
      <c r="G4707" s="3"/>
      <c r="H4707" s="3"/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</row>
    <row r="4708">
      <c r="A4708" s="3"/>
      <c r="B4708" s="3"/>
      <c r="C4708" s="3"/>
      <c r="D4708" s="3"/>
      <c r="E4708" s="3"/>
      <c r="F4708" s="3"/>
      <c r="G4708" s="3"/>
      <c r="H4708" s="3"/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</row>
    <row r="4709">
      <c r="A4709" s="3"/>
      <c r="B4709" s="3"/>
      <c r="C4709" s="3"/>
      <c r="D4709" s="3"/>
      <c r="E4709" s="3"/>
      <c r="F4709" s="3"/>
      <c r="G4709" s="3"/>
      <c r="H4709" s="3"/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</row>
    <row r="4710">
      <c r="A4710" s="3"/>
      <c r="B4710" s="3"/>
      <c r="C4710" s="3"/>
      <c r="D4710" s="3"/>
      <c r="E4710" s="3"/>
      <c r="F4710" s="3"/>
      <c r="G4710" s="3"/>
      <c r="H4710" s="3"/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</row>
    <row r="4711">
      <c r="A4711" s="3"/>
      <c r="B4711" s="3"/>
      <c r="C4711" s="3"/>
      <c r="D4711" s="3"/>
      <c r="E4711" s="3"/>
      <c r="F4711" s="3"/>
      <c r="G4711" s="3"/>
      <c r="H4711" s="3"/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</row>
    <row r="4712">
      <c r="A4712" s="3"/>
      <c r="B4712" s="3"/>
      <c r="C4712" s="3"/>
      <c r="D4712" s="3"/>
      <c r="E4712" s="3"/>
      <c r="F4712" s="3"/>
      <c r="G4712" s="3"/>
      <c r="H4712" s="3"/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</row>
    <row r="4713">
      <c r="A4713" s="3"/>
      <c r="B4713" s="3"/>
      <c r="C4713" s="3"/>
      <c r="D4713" s="3"/>
      <c r="E4713" s="3"/>
      <c r="F4713" s="3"/>
      <c r="G4713" s="3"/>
      <c r="H4713" s="3"/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</row>
    <row r="4714">
      <c r="A4714" s="3"/>
      <c r="B4714" s="3"/>
      <c r="C4714" s="3"/>
      <c r="D4714" s="3"/>
      <c r="E4714" s="3"/>
      <c r="F4714" s="3"/>
      <c r="G4714" s="3"/>
      <c r="H4714" s="3"/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</row>
    <row r="4715">
      <c r="A4715" s="3"/>
      <c r="B4715" s="3"/>
      <c r="C4715" s="3"/>
      <c r="D4715" s="3"/>
      <c r="E4715" s="3"/>
      <c r="F4715" s="3"/>
      <c r="G4715" s="3"/>
      <c r="H4715" s="3"/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</row>
    <row r="4716">
      <c r="A4716" s="3"/>
      <c r="B4716" s="3"/>
      <c r="C4716" s="3"/>
      <c r="D4716" s="3"/>
      <c r="E4716" s="3"/>
      <c r="F4716" s="3"/>
      <c r="G4716" s="3"/>
      <c r="H4716" s="3"/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</row>
    <row r="4717">
      <c r="A4717" s="3"/>
      <c r="B4717" s="3"/>
      <c r="C4717" s="3"/>
      <c r="D4717" s="3"/>
      <c r="E4717" s="3"/>
      <c r="F4717" s="3"/>
      <c r="G4717" s="3"/>
      <c r="H4717" s="3"/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</row>
    <row r="4718">
      <c r="A4718" s="3"/>
      <c r="B4718" s="3"/>
      <c r="C4718" s="3"/>
      <c r="D4718" s="3"/>
      <c r="E4718" s="3"/>
      <c r="F4718" s="3"/>
      <c r="G4718" s="3"/>
      <c r="H4718" s="3"/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</row>
    <row r="4719">
      <c r="A4719" s="3"/>
      <c r="B4719" s="3"/>
      <c r="C4719" s="3"/>
      <c r="D4719" s="3"/>
      <c r="E4719" s="3"/>
      <c r="F4719" s="3"/>
      <c r="G4719" s="3"/>
      <c r="H4719" s="3"/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</row>
    <row r="4720">
      <c r="A4720" s="3"/>
      <c r="B4720" s="3"/>
      <c r="C4720" s="3"/>
      <c r="D4720" s="3"/>
      <c r="E4720" s="3"/>
      <c r="F4720" s="3"/>
      <c r="G4720" s="3"/>
      <c r="H4720" s="3"/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</row>
    <row r="4721">
      <c r="A4721" s="3"/>
      <c r="B4721" s="3"/>
      <c r="C4721" s="3"/>
      <c r="D4721" s="3"/>
      <c r="E4721" s="3"/>
      <c r="F4721" s="3"/>
      <c r="G4721" s="3"/>
      <c r="H4721" s="3"/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</row>
    <row r="4722">
      <c r="A4722" s="3"/>
      <c r="B4722" s="3"/>
      <c r="C4722" s="3"/>
      <c r="D4722" s="3"/>
      <c r="E4722" s="3"/>
      <c r="F4722" s="3"/>
      <c r="G4722" s="3"/>
      <c r="H4722" s="3"/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</row>
    <row r="4723">
      <c r="A4723" s="3"/>
      <c r="B4723" s="3"/>
      <c r="C4723" s="3"/>
      <c r="D4723" s="3"/>
      <c r="E4723" s="3"/>
      <c r="F4723" s="3"/>
      <c r="G4723" s="3"/>
      <c r="H4723" s="3"/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</row>
    <row r="4724">
      <c r="A4724" s="3"/>
      <c r="B4724" s="3"/>
      <c r="C4724" s="3"/>
      <c r="D4724" s="3"/>
      <c r="E4724" s="3"/>
      <c r="F4724" s="3"/>
      <c r="G4724" s="3"/>
      <c r="H4724" s="3"/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</row>
    <row r="4725">
      <c r="A4725" s="3"/>
      <c r="B4725" s="3"/>
      <c r="C4725" s="3"/>
      <c r="D4725" s="3"/>
      <c r="E4725" s="3"/>
      <c r="F4725" s="3"/>
      <c r="G4725" s="3"/>
      <c r="H4725" s="3"/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</row>
    <row r="4726">
      <c r="A4726" s="3"/>
      <c r="B4726" s="3"/>
      <c r="C4726" s="3"/>
      <c r="D4726" s="3"/>
      <c r="E4726" s="3"/>
      <c r="F4726" s="3"/>
      <c r="G4726" s="3"/>
      <c r="H4726" s="3"/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</row>
    <row r="4727">
      <c r="A4727" s="3"/>
      <c r="B4727" s="3"/>
      <c r="C4727" s="3"/>
      <c r="D4727" s="3"/>
      <c r="E4727" s="3"/>
      <c r="F4727" s="3"/>
      <c r="G4727" s="3"/>
      <c r="H4727" s="3"/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</row>
    <row r="4728">
      <c r="A4728" s="3"/>
      <c r="B4728" s="3"/>
      <c r="C4728" s="3"/>
      <c r="D4728" s="3"/>
      <c r="E4728" s="3"/>
      <c r="F4728" s="3"/>
      <c r="G4728" s="3"/>
      <c r="H4728" s="3"/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</row>
    <row r="4729">
      <c r="A4729" s="3"/>
      <c r="B4729" s="3"/>
      <c r="C4729" s="3"/>
      <c r="D4729" s="3"/>
      <c r="E4729" s="3"/>
      <c r="F4729" s="3"/>
      <c r="G4729" s="3"/>
      <c r="H4729" s="3"/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</row>
    <row r="4730">
      <c r="A4730" s="3"/>
      <c r="B4730" s="3"/>
      <c r="C4730" s="3"/>
      <c r="D4730" s="3"/>
      <c r="E4730" s="3"/>
      <c r="F4730" s="3"/>
      <c r="G4730" s="3"/>
      <c r="H4730" s="3"/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</row>
    <row r="4731">
      <c r="A4731" s="3"/>
      <c r="B4731" s="3"/>
      <c r="C4731" s="3"/>
      <c r="D4731" s="3"/>
      <c r="E4731" s="3"/>
      <c r="F4731" s="3"/>
      <c r="G4731" s="3"/>
      <c r="H4731" s="3"/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</row>
    <row r="4732">
      <c r="A4732" s="3"/>
      <c r="B4732" s="3"/>
      <c r="C4732" s="3"/>
      <c r="D4732" s="3"/>
      <c r="E4732" s="3"/>
      <c r="F4732" s="3"/>
      <c r="G4732" s="3"/>
      <c r="H4732" s="3"/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</row>
    <row r="4733">
      <c r="A4733" s="3"/>
      <c r="B4733" s="3"/>
      <c r="C4733" s="3"/>
      <c r="D4733" s="3"/>
      <c r="E4733" s="3"/>
      <c r="F4733" s="3"/>
      <c r="G4733" s="3"/>
      <c r="H4733" s="3"/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</row>
    <row r="4734">
      <c r="A4734" s="3"/>
      <c r="B4734" s="3"/>
      <c r="C4734" s="3"/>
      <c r="D4734" s="3"/>
      <c r="E4734" s="3"/>
      <c r="F4734" s="3"/>
      <c r="G4734" s="3"/>
      <c r="H4734" s="3"/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</row>
    <row r="4735">
      <c r="A4735" s="3"/>
      <c r="B4735" s="3"/>
      <c r="C4735" s="3"/>
      <c r="D4735" s="3"/>
      <c r="E4735" s="3"/>
      <c r="F4735" s="3"/>
      <c r="G4735" s="3"/>
      <c r="H4735" s="3"/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</row>
    <row r="4736">
      <c r="A4736" s="3"/>
      <c r="B4736" s="3"/>
      <c r="C4736" s="3"/>
      <c r="D4736" s="3"/>
      <c r="E4736" s="3"/>
      <c r="F4736" s="3"/>
      <c r="G4736" s="3"/>
      <c r="H4736" s="3"/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</row>
    <row r="4737">
      <c r="A4737" s="3"/>
      <c r="B4737" s="3"/>
      <c r="C4737" s="3"/>
      <c r="D4737" s="3"/>
      <c r="E4737" s="3"/>
      <c r="F4737" s="3"/>
      <c r="G4737" s="3"/>
      <c r="H4737" s="3"/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</row>
    <row r="4738">
      <c r="A4738" s="3"/>
      <c r="B4738" s="3"/>
      <c r="C4738" s="3"/>
      <c r="D4738" s="3"/>
      <c r="E4738" s="3"/>
      <c r="F4738" s="3"/>
      <c r="G4738" s="3"/>
      <c r="H4738" s="3"/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</row>
    <row r="4739">
      <c r="A4739" s="3"/>
      <c r="B4739" s="3"/>
      <c r="C4739" s="3"/>
      <c r="D4739" s="3"/>
      <c r="E4739" s="3"/>
      <c r="F4739" s="3"/>
      <c r="G4739" s="3"/>
      <c r="H4739" s="3"/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</row>
    <row r="4740">
      <c r="A4740" s="3"/>
      <c r="B4740" s="3"/>
      <c r="C4740" s="3"/>
      <c r="D4740" s="3"/>
      <c r="E4740" s="3"/>
      <c r="F4740" s="3"/>
      <c r="G4740" s="3"/>
      <c r="H4740" s="3"/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</row>
    <row r="4741">
      <c r="A4741" s="3"/>
      <c r="B4741" s="3"/>
      <c r="C4741" s="3"/>
      <c r="D4741" s="3"/>
      <c r="E4741" s="3"/>
      <c r="F4741" s="3"/>
      <c r="G4741" s="3"/>
      <c r="H4741" s="3"/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</row>
    <row r="4742">
      <c r="A4742" s="3"/>
      <c r="B4742" s="3"/>
      <c r="C4742" s="3"/>
      <c r="D4742" s="3"/>
      <c r="E4742" s="3"/>
      <c r="F4742" s="3"/>
      <c r="G4742" s="3"/>
      <c r="H4742" s="3"/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</row>
    <row r="4743">
      <c r="A4743" s="3"/>
      <c r="B4743" s="3"/>
      <c r="C4743" s="3"/>
      <c r="D4743" s="3"/>
      <c r="E4743" s="3"/>
      <c r="F4743" s="3"/>
      <c r="G4743" s="3"/>
      <c r="H4743" s="3"/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</row>
    <row r="4744">
      <c r="A4744" s="3"/>
      <c r="B4744" s="3"/>
      <c r="C4744" s="3"/>
      <c r="D4744" s="3"/>
      <c r="E4744" s="3"/>
      <c r="F4744" s="3"/>
      <c r="G4744" s="3"/>
      <c r="H4744" s="3"/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</row>
    <row r="4745">
      <c r="A4745" s="3"/>
      <c r="B4745" s="3"/>
      <c r="C4745" s="3"/>
      <c r="D4745" s="3"/>
      <c r="E4745" s="3"/>
      <c r="F4745" s="3"/>
      <c r="G4745" s="3"/>
      <c r="H4745" s="3"/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</row>
    <row r="4746">
      <c r="A4746" s="3"/>
      <c r="B4746" s="3"/>
      <c r="C4746" s="3"/>
      <c r="D4746" s="3"/>
      <c r="E4746" s="3"/>
      <c r="F4746" s="3"/>
      <c r="G4746" s="3"/>
      <c r="H4746" s="3"/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</row>
    <row r="4747">
      <c r="A4747" s="3"/>
      <c r="B4747" s="3"/>
      <c r="C4747" s="3"/>
      <c r="D4747" s="3"/>
      <c r="E4747" s="3"/>
      <c r="F4747" s="3"/>
      <c r="G4747" s="3"/>
      <c r="H4747" s="3"/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</row>
    <row r="4748">
      <c r="A4748" s="3"/>
      <c r="B4748" s="3"/>
      <c r="C4748" s="3"/>
      <c r="D4748" s="3"/>
      <c r="E4748" s="3"/>
      <c r="F4748" s="3"/>
      <c r="G4748" s="3"/>
      <c r="H4748" s="3"/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</row>
    <row r="4749">
      <c r="A4749" s="3"/>
      <c r="B4749" s="3"/>
      <c r="C4749" s="3"/>
      <c r="D4749" s="3"/>
      <c r="E4749" s="3"/>
      <c r="F4749" s="3"/>
      <c r="G4749" s="3"/>
      <c r="H4749" s="3"/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</row>
    <row r="4750">
      <c r="A4750" s="3"/>
      <c r="B4750" s="3"/>
      <c r="C4750" s="3"/>
      <c r="D4750" s="3"/>
      <c r="E4750" s="3"/>
      <c r="F4750" s="3"/>
      <c r="G4750" s="3"/>
      <c r="H4750" s="3"/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</row>
    <row r="4751">
      <c r="A4751" s="3"/>
      <c r="B4751" s="3"/>
      <c r="C4751" s="3"/>
      <c r="D4751" s="3"/>
      <c r="E4751" s="3"/>
      <c r="F4751" s="3"/>
      <c r="G4751" s="3"/>
      <c r="H4751" s="3"/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</row>
    <row r="4752">
      <c r="A4752" s="3"/>
      <c r="B4752" s="3"/>
      <c r="C4752" s="3"/>
      <c r="D4752" s="3"/>
      <c r="E4752" s="3"/>
      <c r="F4752" s="3"/>
      <c r="G4752" s="3"/>
      <c r="H4752" s="3"/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</row>
    <row r="4753">
      <c r="A4753" s="3"/>
      <c r="B4753" s="3"/>
      <c r="C4753" s="3"/>
      <c r="D4753" s="3"/>
      <c r="E4753" s="3"/>
      <c r="F4753" s="3"/>
      <c r="G4753" s="3"/>
      <c r="H4753" s="3"/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</row>
    <row r="4754">
      <c r="A4754" s="3"/>
      <c r="B4754" s="3"/>
      <c r="C4754" s="3"/>
      <c r="D4754" s="3"/>
      <c r="E4754" s="3"/>
      <c r="F4754" s="3"/>
      <c r="G4754" s="3"/>
      <c r="H4754" s="3"/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</row>
    <row r="4755">
      <c r="A4755" s="3"/>
      <c r="B4755" s="3"/>
      <c r="C4755" s="3"/>
      <c r="D4755" s="3"/>
      <c r="E4755" s="3"/>
      <c r="F4755" s="3"/>
      <c r="G4755" s="3"/>
      <c r="H4755" s="3"/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</row>
    <row r="4756">
      <c r="A4756" s="3"/>
      <c r="B4756" s="3"/>
      <c r="C4756" s="3"/>
      <c r="D4756" s="3"/>
      <c r="E4756" s="3"/>
      <c r="F4756" s="3"/>
      <c r="G4756" s="3"/>
      <c r="H4756" s="3"/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</row>
    <row r="4757">
      <c r="A4757" s="3"/>
      <c r="B4757" s="3"/>
      <c r="C4757" s="3"/>
      <c r="D4757" s="3"/>
      <c r="E4757" s="3"/>
      <c r="F4757" s="3"/>
      <c r="G4757" s="3"/>
      <c r="H4757" s="3"/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</row>
    <row r="4758">
      <c r="A4758" s="3"/>
      <c r="B4758" s="3"/>
      <c r="C4758" s="3"/>
      <c r="D4758" s="3"/>
      <c r="E4758" s="3"/>
      <c r="F4758" s="3"/>
      <c r="G4758" s="3"/>
      <c r="H4758" s="3"/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</row>
    <row r="4759">
      <c r="A4759" s="3"/>
      <c r="B4759" s="3"/>
      <c r="C4759" s="3"/>
      <c r="D4759" s="3"/>
      <c r="E4759" s="3"/>
      <c r="F4759" s="3"/>
      <c r="G4759" s="3"/>
      <c r="H4759" s="3"/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</row>
    <row r="4760">
      <c r="A4760" s="3"/>
      <c r="B4760" s="3"/>
      <c r="C4760" s="3"/>
      <c r="D4760" s="3"/>
      <c r="E4760" s="3"/>
      <c r="F4760" s="3"/>
      <c r="G4760" s="3"/>
      <c r="H4760" s="3"/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</row>
    <row r="4761">
      <c r="A4761" s="3"/>
      <c r="B4761" s="3"/>
      <c r="C4761" s="3"/>
      <c r="D4761" s="3"/>
      <c r="E4761" s="3"/>
      <c r="F4761" s="3"/>
      <c r="G4761" s="3"/>
      <c r="H4761" s="3"/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</row>
    <row r="4762">
      <c r="A4762" s="3"/>
      <c r="B4762" s="3"/>
      <c r="C4762" s="3"/>
      <c r="D4762" s="3"/>
      <c r="E4762" s="3"/>
      <c r="F4762" s="3"/>
      <c r="G4762" s="3"/>
      <c r="H4762" s="3"/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</row>
    <row r="4763">
      <c r="A4763" s="3"/>
      <c r="B4763" s="3"/>
      <c r="C4763" s="3"/>
      <c r="D4763" s="3"/>
      <c r="E4763" s="3"/>
      <c r="F4763" s="3"/>
      <c r="G4763" s="3"/>
      <c r="H4763" s="3"/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</row>
    <row r="4764">
      <c r="A4764" s="3"/>
      <c r="B4764" s="3"/>
      <c r="C4764" s="3"/>
      <c r="D4764" s="3"/>
      <c r="E4764" s="3"/>
      <c r="F4764" s="3"/>
      <c r="G4764" s="3"/>
      <c r="H4764" s="3"/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</row>
    <row r="4765">
      <c r="A4765" s="3"/>
      <c r="B4765" s="3"/>
      <c r="C4765" s="3"/>
      <c r="D4765" s="3"/>
      <c r="E4765" s="3"/>
      <c r="F4765" s="3"/>
      <c r="G4765" s="3"/>
      <c r="H4765" s="3"/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</row>
    <row r="4766">
      <c r="A4766" s="3"/>
      <c r="B4766" s="3"/>
      <c r="C4766" s="3"/>
      <c r="D4766" s="3"/>
      <c r="E4766" s="3"/>
      <c r="F4766" s="3"/>
      <c r="G4766" s="3"/>
      <c r="H4766" s="3"/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</row>
    <row r="4767">
      <c r="A4767" s="3"/>
      <c r="B4767" s="3"/>
      <c r="C4767" s="3"/>
      <c r="D4767" s="3"/>
      <c r="E4767" s="3"/>
      <c r="F4767" s="3"/>
      <c r="G4767" s="3"/>
      <c r="H4767" s="3"/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</row>
    <row r="4768">
      <c r="A4768" s="3"/>
      <c r="B4768" s="3"/>
      <c r="C4768" s="3"/>
      <c r="D4768" s="3"/>
      <c r="E4768" s="3"/>
      <c r="F4768" s="3"/>
      <c r="G4768" s="3"/>
      <c r="H4768" s="3"/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</row>
    <row r="4769">
      <c r="A4769" s="3"/>
      <c r="B4769" s="3"/>
      <c r="C4769" s="3"/>
      <c r="D4769" s="3"/>
      <c r="E4769" s="3"/>
      <c r="F4769" s="3"/>
      <c r="G4769" s="3"/>
      <c r="H4769" s="3"/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</row>
    <row r="4770">
      <c r="A4770" s="3"/>
      <c r="B4770" s="3"/>
      <c r="C4770" s="3"/>
      <c r="D4770" s="3"/>
      <c r="E4770" s="3"/>
      <c r="F4770" s="3"/>
      <c r="G4770" s="3"/>
      <c r="H4770" s="3"/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</row>
    <row r="4771">
      <c r="A4771" s="3"/>
      <c r="B4771" s="3"/>
      <c r="C4771" s="3"/>
      <c r="D4771" s="3"/>
      <c r="E4771" s="3"/>
      <c r="F4771" s="3"/>
      <c r="G4771" s="3"/>
      <c r="H4771" s="3"/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</row>
    <row r="4772">
      <c r="A4772" s="3"/>
      <c r="B4772" s="3"/>
      <c r="C4772" s="3"/>
      <c r="D4772" s="3"/>
      <c r="E4772" s="3"/>
      <c r="F4772" s="3"/>
      <c r="G4772" s="3"/>
      <c r="H4772" s="3"/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</row>
    <row r="4773">
      <c r="A4773" s="3"/>
      <c r="B4773" s="3"/>
      <c r="C4773" s="3"/>
      <c r="D4773" s="3"/>
      <c r="E4773" s="3"/>
      <c r="F4773" s="3"/>
      <c r="G4773" s="3"/>
      <c r="H4773" s="3"/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</row>
    <row r="4774">
      <c r="A4774" s="3"/>
      <c r="B4774" s="3"/>
      <c r="C4774" s="3"/>
      <c r="D4774" s="3"/>
      <c r="E4774" s="3"/>
      <c r="F4774" s="3"/>
      <c r="G4774" s="3"/>
      <c r="H4774" s="3"/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</row>
    <row r="4775">
      <c r="A4775" s="3"/>
      <c r="B4775" s="3"/>
      <c r="C4775" s="3"/>
      <c r="D4775" s="3"/>
      <c r="E4775" s="3"/>
      <c r="F4775" s="3"/>
      <c r="G4775" s="3"/>
      <c r="H4775" s="3"/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</row>
    <row r="4776">
      <c r="A4776" s="3"/>
      <c r="B4776" s="3"/>
      <c r="C4776" s="3"/>
      <c r="D4776" s="3"/>
      <c r="E4776" s="3"/>
      <c r="F4776" s="3"/>
      <c r="G4776" s="3"/>
      <c r="H4776" s="3"/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</row>
    <row r="4777">
      <c r="A4777" s="3"/>
      <c r="B4777" s="3"/>
      <c r="C4777" s="3"/>
      <c r="D4777" s="3"/>
      <c r="E4777" s="3"/>
      <c r="F4777" s="3"/>
      <c r="G4777" s="3"/>
      <c r="H4777" s="3"/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</row>
    <row r="4778">
      <c r="A4778" s="3"/>
      <c r="B4778" s="3"/>
      <c r="C4778" s="3"/>
      <c r="D4778" s="3"/>
      <c r="E4778" s="3"/>
      <c r="F4778" s="3"/>
      <c r="G4778" s="3"/>
      <c r="H4778" s="3"/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</row>
    <row r="4779">
      <c r="A4779" s="3"/>
      <c r="B4779" s="3"/>
      <c r="C4779" s="3"/>
      <c r="D4779" s="3"/>
      <c r="E4779" s="3"/>
      <c r="F4779" s="3"/>
      <c r="G4779" s="3"/>
      <c r="H4779" s="3"/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</row>
    <row r="4780">
      <c r="A4780" s="3"/>
      <c r="B4780" s="3"/>
      <c r="C4780" s="3"/>
      <c r="D4780" s="3"/>
      <c r="E4780" s="3"/>
      <c r="F4780" s="3"/>
      <c r="G4780" s="3"/>
      <c r="H4780" s="3"/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</row>
    <row r="4781">
      <c r="A4781" s="3"/>
      <c r="B4781" s="3"/>
      <c r="C4781" s="3"/>
      <c r="D4781" s="3"/>
      <c r="E4781" s="3"/>
      <c r="F4781" s="3"/>
      <c r="G4781" s="3"/>
      <c r="H4781" s="3"/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</row>
    <row r="4782">
      <c r="A4782" s="3"/>
      <c r="B4782" s="3"/>
      <c r="C4782" s="3"/>
      <c r="D4782" s="3"/>
      <c r="E4782" s="3"/>
      <c r="F4782" s="3"/>
      <c r="G4782" s="3"/>
      <c r="H4782" s="3"/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</row>
    <row r="4783">
      <c r="A4783" s="3"/>
      <c r="B4783" s="3"/>
      <c r="C4783" s="3"/>
      <c r="D4783" s="3"/>
      <c r="E4783" s="3"/>
      <c r="F4783" s="3"/>
      <c r="G4783" s="3"/>
      <c r="H4783" s="3"/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</row>
    <row r="4784">
      <c r="A4784" s="3"/>
      <c r="B4784" s="3"/>
      <c r="C4784" s="3"/>
      <c r="D4784" s="3"/>
      <c r="E4784" s="3"/>
      <c r="F4784" s="3"/>
      <c r="G4784" s="3"/>
      <c r="H4784" s="3"/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</row>
    <row r="4785">
      <c r="A4785" s="3"/>
      <c r="B4785" s="3"/>
      <c r="C4785" s="3"/>
      <c r="D4785" s="3"/>
      <c r="E4785" s="3"/>
      <c r="F4785" s="3"/>
      <c r="G4785" s="3"/>
      <c r="H4785" s="3"/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</row>
    <row r="4786">
      <c r="A4786" s="3"/>
      <c r="B4786" s="3"/>
      <c r="C4786" s="3"/>
      <c r="D4786" s="3"/>
      <c r="E4786" s="3"/>
      <c r="F4786" s="3"/>
      <c r="G4786" s="3"/>
      <c r="H4786" s="3"/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</row>
    <row r="4787">
      <c r="A4787" s="3"/>
      <c r="B4787" s="3"/>
      <c r="C4787" s="3"/>
      <c r="D4787" s="3"/>
      <c r="E4787" s="3"/>
      <c r="F4787" s="3"/>
      <c r="G4787" s="3"/>
      <c r="H4787" s="3"/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</row>
    <row r="4788">
      <c r="A4788" s="3"/>
      <c r="B4788" s="3"/>
      <c r="C4788" s="3"/>
      <c r="D4788" s="3"/>
      <c r="E4788" s="3"/>
      <c r="F4788" s="3"/>
      <c r="G4788" s="3"/>
      <c r="H4788" s="3"/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</row>
    <row r="4789">
      <c r="A4789" s="3"/>
      <c r="B4789" s="3"/>
      <c r="C4789" s="3"/>
      <c r="D4789" s="3"/>
      <c r="E4789" s="3"/>
      <c r="F4789" s="3"/>
      <c r="G4789" s="3"/>
      <c r="H4789" s="3"/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</row>
    <row r="4790">
      <c r="A4790" s="3"/>
      <c r="B4790" s="3"/>
      <c r="C4790" s="3"/>
      <c r="D4790" s="3"/>
      <c r="E4790" s="3"/>
      <c r="F4790" s="3"/>
      <c r="G4790" s="3"/>
      <c r="H4790" s="3"/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</row>
    <row r="4791">
      <c r="A4791" s="3"/>
      <c r="B4791" s="3"/>
      <c r="C4791" s="3"/>
      <c r="D4791" s="3"/>
      <c r="E4791" s="3"/>
      <c r="F4791" s="3"/>
      <c r="G4791" s="3"/>
      <c r="H4791" s="3"/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</row>
    <row r="4792">
      <c r="A4792" s="3"/>
      <c r="B4792" s="3"/>
      <c r="C4792" s="3"/>
      <c r="D4792" s="3"/>
      <c r="E4792" s="3"/>
      <c r="F4792" s="3"/>
      <c r="G4792" s="3"/>
      <c r="H4792" s="3"/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</row>
    <row r="4793">
      <c r="A4793" s="3"/>
      <c r="B4793" s="3"/>
      <c r="C4793" s="3"/>
      <c r="D4793" s="3"/>
      <c r="E4793" s="3"/>
      <c r="F4793" s="3"/>
      <c r="G4793" s="3"/>
      <c r="H4793" s="3"/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</row>
    <row r="4794">
      <c r="A4794" s="3"/>
      <c r="B4794" s="3"/>
      <c r="C4794" s="3"/>
      <c r="D4794" s="3"/>
      <c r="E4794" s="3"/>
      <c r="F4794" s="3"/>
      <c r="G4794" s="3"/>
      <c r="H4794" s="3"/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</row>
    <row r="4795">
      <c r="A4795" s="3"/>
      <c r="B4795" s="3"/>
      <c r="C4795" s="3"/>
      <c r="D4795" s="3"/>
      <c r="E4795" s="3"/>
      <c r="F4795" s="3"/>
      <c r="G4795" s="3"/>
      <c r="H4795" s="3"/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</row>
    <row r="4796">
      <c r="A4796" s="3"/>
      <c r="B4796" s="3"/>
      <c r="C4796" s="3"/>
      <c r="D4796" s="3"/>
      <c r="E4796" s="3"/>
      <c r="F4796" s="3"/>
      <c r="G4796" s="3"/>
      <c r="H4796" s="3"/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</row>
    <row r="4797">
      <c r="A4797" s="3"/>
      <c r="B4797" s="3"/>
      <c r="C4797" s="3"/>
      <c r="D4797" s="3"/>
      <c r="E4797" s="3"/>
      <c r="F4797" s="3"/>
      <c r="G4797" s="3"/>
      <c r="H4797" s="3"/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</row>
    <row r="4798">
      <c r="A4798" s="3"/>
      <c r="B4798" s="3"/>
      <c r="C4798" s="3"/>
      <c r="D4798" s="3"/>
      <c r="E4798" s="3"/>
      <c r="F4798" s="3"/>
      <c r="G4798" s="3"/>
      <c r="H4798" s="3"/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</row>
    <row r="4799">
      <c r="A4799" s="3"/>
      <c r="B4799" s="3"/>
      <c r="C4799" s="3"/>
      <c r="D4799" s="3"/>
      <c r="E4799" s="3"/>
      <c r="F4799" s="3"/>
      <c r="G4799" s="3"/>
      <c r="H4799" s="3"/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</row>
    <row r="4800">
      <c r="A4800" s="3"/>
      <c r="B4800" s="3"/>
      <c r="C4800" s="3"/>
      <c r="D4800" s="3"/>
      <c r="E4800" s="3"/>
      <c r="F4800" s="3"/>
      <c r="G4800" s="3"/>
      <c r="H4800" s="3"/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</row>
    <row r="4801">
      <c r="A4801" s="3"/>
      <c r="B4801" s="3"/>
      <c r="C4801" s="3"/>
      <c r="D4801" s="3"/>
      <c r="E4801" s="3"/>
      <c r="F4801" s="3"/>
      <c r="G4801" s="3"/>
      <c r="H4801" s="3"/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</row>
    <row r="4802">
      <c r="A4802" s="3"/>
      <c r="B4802" s="3"/>
      <c r="C4802" s="3"/>
      <c r="D4802" s="3"/>
      <c r="E4802" s="3"/>
      <c r="F4802" s="3"/>
      <c r="G4802" s="3"/>
      <c r="H4802" s="3"/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</row>
    <row r="4803">
      <c r="A4803" s="3"/>
      <c r="B4803" s="3"/>
      <c r="C4803" s="3"/>
      <c r="D4803" s="3"/>
      <c r="E4803" s="3"/>
      <c r="F4803" s="3"/>
      <c r="G4803" s="3"/>
      <c r="H4803" s="3"/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</row>
    <row r="4804">
      <c r="A4804" s="3"/>
      <c r="B4804" s="3"/>
      <c r="C4804" s="3"/>
      <c r="D4804" s="3"/>
      <c r="E4804" s="3"/>
      <c r="F4804" s="3"/>
      <c r="G4804" s="3"/>
      <c r="H4804" s="3"/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</row>
    <row r="4805">
      <c r="A4805" s="3"/>
      <c r="B4805" s="3"/>
      <c r="C4805" s="3"/>
      <c r="D4805" s="3"/>
      <c r="E4805" s="3"/>
      <c r="F4805" s="3"/>
      <c r="G4805" s="3"/>
      <c r="H4805" s="3"/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</row>
    <row r="4806">
      <c r="A4806" s="3"/>
      <c r="B4806" s="3"/>
      <c r="C4806" s="3"/>
      <c r="D4806" s="3"/>
      <c r="E4806" s="3"/>
      <c r="F4806" s="3"/>
      <c r="G4806" s="3"/>
      <c r="H4806" s="3"/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</row>
    <row r="4807">
      <c r="A4807" s="3"/>
      <c r="B4807" s="3"/>
      <c r="C4807" s="3"/>
      <c r="D4807" s="3"/>
      <c r="E4807" s="3"/>
      <c r="F4807" s="3"/>
      <c r="G4807" s="3"/>
      <c r="H4807" s="3"/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</row>
    <row r="4808">
      <c r="A4808" s="3"/>
      <c r="B4808" s="3"/>
      <c r="C4808" s="3"/>
      <c r="D4808" s="3"/>
      <c r="E4808" s="3"/>
      <c r="F4808" s="3"/>
      <c r="G4808" s="3"/>
      <c r="H4808" s="3"/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</row>
    <row r="4809">
      <c r="A4809" s="3"/>
      <c r="B4809" s="3"/>
      <c r="C4809" s="3"/>
      <c r="D4809" s="3"/>
      <c r="E4809" s="3"/>
      <c r="F4809" s="3"/>
      <c r="G4809" s="3"/>
      <c r="H4809" s="3"/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</row>
    <row r="4810">
      <c r="A4810" s="3"/>
      <c r="B4810" s="3"/>
      <c r="C4810" s="3"/>
      <c r="D4810" s="3"/>
      <c r="E4810" s="3"/>
      <c r="F4810" s="3"/>
      <c r="G4810" s="3"/>
      <c r="H4810" s="3"/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</row>
    <row r="4811">
      <c r="A4811" s="3"/>
      <c r="B4811" s="3"/>
      <c r="C4811" s="3"/>
      <c r="D4811" s="3"/>
      <c r="E4811" s="3"/>
      <c r="F4811" s="3"/>
      <c r="G4811" s="3"/>
      <c r="H4811" s="3"/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</row>
    <row r="4812">
      <c r="A4812" s="3"/>
      <c r="B4812" s="3"/>
      <c r="C4812" s="3"/>
      <c r="D4812" s="3"/>
      <c r="E4812" s="3"/>
      <c r="F4812" s="3"/>
      <c r="G4812" s="3"/>
      <c r="H4812" s="3"/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</row>
    <row r="4813">
      <c r="A4813" s="3"/>
      <c r="B4813" s="3"/>
      <c r="C4813" s="3"/>
      <c r="D4813" s="3"/>
      <c r="E4813" s="3"/>
      <c r="F4813" s="3"/>
      <c r="G4813" s="3"/>
      <c r="H4813" s="3"/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</row>
    <row r="4814">
      <c r="A4814" s="3"/>
      <c r="B4814" s="3"/>
      <c r="C4814" s="3"/>
      <c r="D4814" s="3"/>
      <c r="E4814" s="3"/>
      <c r="F4814" s="3"/>
      <c r="G4814" s="3"/>
      <c r="H4814" s="3"/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</row>
    <row r="4815">
      <c r="A4815" s="3"/>
      <c r="B4815" s="3"/>
      <c r="C4815" s="3"/>
      <c r="D4815" s="3"/>
      <c r="E4815" s="3"/>
      <c r="F4815" s="3"/>
      <c r="G4815" s="3"/>
      <c r="H4815" s="3"/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</row>
    <row r="4816">
      <c r="A4816" s="3"/>
      <c r="B4816" s="3"/>
      <c r="C4816" s="3"/>
      <c r="D4816" s="3"/>
      <c r="E4816" s="3"/>
      <c r="F4816" s="3"/>
      <c r="G4816" s="3"/>
      <c r="H4816" s="3"/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</row>
    <row r="4817">
      <c r="A4817" s="3"/>
      <c r="B4817" s="3"/>
      <c r="C4817" s="3"/>
      <c r="D4817" s="3"/>
      <c r="E4817" s="3"/>
      <c r="F4817" s="3"/>
      <c r="G4817" s="3"/>
      <c r="H4817" s="3"/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</row>
    <row r="4818">
      <c r="A4818" s="3"/>
      <c r="B4818" s="3"/>
      <c r="C4818" s="3"/>
      <c r="D4818" s="3"/>
      <c r="E4818" s="3"/>
      <c r="F4818" s="3"/>
      <c r="G4818" s="3"/>
      <c r="H4818" s="3"/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</row>
    <row r="4819">
      <c r="A4819" s="3"/>
      <c r="B4819" s="3"/>
      <c r="C4819" s="3"/>
      <c r="D4819" s="3"/>
      <c r="E4819" s="3"/>
      <c r="F4819" s="3"/>
      <c r="G4819" s="3"/>
      <c r="H4819" s="3"/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</row>
    <row r="4820">
      <c r="A4820" s="3"/>
      <c r="B4820" s="3"/>
      <c r="C4820" s="3"/>
      <c r="D4820" s="3"/>
      <c r="E4820" s="3"/>
      <c r="F4820" s="3"/>
      <c r="G4820" s="3"/>
      <c r="H4820" s="3"/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</row>
    <row r="4821">
      <c r="A4821" s="3"/>
      <c r="B4821" s="3"/>
      <c r="C4821" s="3"/>
      <c r="D4821" s="3"/>
      <c r="E4821" s="3"/>
      <c r="F4821" s="3"/>
      <c r="G4821" s="3"/>
      <c r="H4821" s="3"/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</row>
    <row r="4822">
      <c r="A4822" s="3"/>
      <c r="B4822" s="3"/>
      <c r="C4822" s="3"/>
      <c r="D4822" s="3"/>
      <c r="E4822" s="3"/>
      <c r="F4822" s="3"/>
      <c r="G4822" s="3"/>
      <c r="H4822" s="3"/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</row>
    <row r="4823">
      <c r="A4823" s="3"/>
      <c r="B4823" s="3"/>
      <c r="C4823" s="3"/>
      <c r="D4823" s="3"/>
      <c r="E4823" s="3"/>
      <c r="F4823" s="3"/>
      <c r="G4823" s="3"/>
      <c r="H4823" s="3"/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</row>
    <row r="4824">
      <c r="A4824" s="3"/>
      <c r="B4824" s="3"/>
      <c r="C4824" s="3"/>
      <c r="D4824" s="3"/>
      <c r="E4824" s="3"/>
      <c r="F4824" s="3"/>
      <c r="G4824" s="3"/>
      <c r="H4824" s="3"/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</row>
    <row r="4825">
      <c r="A4825" s="3"/>
      <c r="B4825" s="3"/>
      <c r="C4825" s="3"/>
      <c r="D4825" s="3"/>
      <c r="E4825" s="3"/>
      <c r="F4825" s="3"/>
      <c r="G4825" s="3"/>
      <c r="H4825" s="3"/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</row>
    <row r="4826">
      <c r="A4826" s="3"/>
      <c r="B4826" s="3"/>
      <c r="C4826" s="3"/>
      <c r="D4826" s="3"/>
      <c r="E4826" s="3"/>
      <c r="F4826" s="3"/>
      <c r="G4826" s="3"/>
      <c r="H4826" s="3"/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</row>
    <row r="4827">
      <c r="A4827" s="3"/>
      <c r="B4827" s="3"/>
      <c r="C4827" s="3"/>
      <c r="D4827" s="3"/>
      <c r="E4827" s="3"/>
      <c r="F4827" s="3"/>
      <c r="G4827" s="3"/>
      <c r="H4827" s="3"/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</row>
    <row r="4828">
      <c r="A4828" s="3"/>
      <c r="B4828" s="3"/>
      <c r="C4828" s="3"/>
      <c r="D4828" s="3"/>
      <c r="E4828" s="3"/>
      <c r="F4828" s="3"/>
      <c r="G4828" s="3"/>
      <c r="H4828" s="3"/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</row>
    <row r="4829">
      <c r="A4829" s="3"/>
      <c r="B4829" s="3"/>
      <c r="C4829" s="3"/>
      <c r="D4829" s="3"/>
      <c r="E4829" s="3"/>
      <c r="F4829" s="3"/>
      <c r="G4829" s="3"/>
      <c r="H4829" s="3"/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</row>
    <row r="4830">
      <c r="A4830" s="3"/>
      <c r="B4830" s="3"/>
      <c r="C4830" s="3"/>
      <c r="D4830" s="3"/>
      <c r="E4830" s="3"/>
      <c r="F4830" s="3"/>
      <c r="G4830" s="3"/>
      <c r="H4830" s="3"/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</row>
    <row r="4831">
      <c r="A4831" s="3"/>
      <c r="B4831" s="3"/>
      <c r="C4831" s="3"/>
      <c r="D4831" s="3"/>
      <c r="E4831" s="3"/>
      <c r="F4831" s="3"/>
      <c r="G4831" s="3"/>
      <c r="H4831" s="3"/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</row>
    <row r="4832">
      <c r="A4832" s="3"/>
      <c r="B4832" s="3"/>
      <c r="C4832" s="3"/>
      <c r="D4832" s="3"/>
      <c r="E4832" s="3"/>
      <c r="F4832" s="3"/>
      <c r="G4832" s="3"/>
      <c r="H4832" s="3"/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</row>
    <row r="4833">
      <c r="A4833" s="3"/>
      <c r="B4833" s="3"/>
      <c r="C4833" s="3"/>
      <c r="D4833" s="3"/>
      <c r="E4833" s="3"/>
      <c r="F4833" s="3"/>
      <c r="G4833" s="3"/>
      <c r="H4833" s="3"/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</row>
    <row r="4834">
      <c r="A4834" s="3"/>
      <c r="B4834" s="3"/>
      <c r="C4834" s="3"/>
      <c r="D4834" s="3"/>
      <c r="E4834" s="3"/>
      <c r="F4834" s="3"/>
      <c r="G4834" s="3"/>
      <c r="H4834" s="3"/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</row>
    <row r="4835">
      <c r="A4835" s="3"/>
      <c r="B4835" s="3"/>
      <c r="C4835" s="3"/>
      <c r="D4835" s="3"/>
      <c r="E4835" s="3"/>
      <c r="F4835" s="3"/>
      <c r="G4835" s="3"/>
      <c r="H4835" s="3"/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</row>
    <row r="4836">
      <c r="A4836" s="3"/>
      <c r="B4836" s="3"/>
      <c r="C4836" s="3"/>
      <c r="D4836" s="3"/>
      <c r="E4836" s="3"/>
      <c r="F4836" s="3"/>
      <c r="G4836" s="3"/>
      <c r="H4836" s="3"/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</row>
    <row r="4837">
      <c r="A4837" s="3"/>
      <c r="B4837" s="3"/>
      <c r="C4837" s="3"/>
      <c r="D4837" s="3"/>
      <c r="E4837" s="3"/>
      <c r="F4837" s="3"/>
      <c r="G4837" s="3"/>
      <c r="H4837" s="3"/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</row>
    <row r="4838">
      <c r="A4838" s="3"/>
      <c r="B4838" s="3"/>
      <c r="C4838" s="3"/>
      <c r="D4838" s="3"/>
      <c r="E4838" s="3"/>
      <c r="F4838" s="3"/>
      <c r="G4838" s="3"/>
      <c r="H4838" s="3"/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</row>
    <row r="4839">
      <c r="A4839" s="3"/>
      <c r="B4839" s="3"/>
      <c r="C4839" s="3"/>
      <c r="D4839" s="3"/>
      <c r="E4839" s="3"/>
      <c r="F4839" s="3"/>
      <c r="G4839" s="3"/>
      <c r="H4839" s="3"/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</row>
    <row r="4840">
      <c r="A4840" s="3"/>
      <c r="B4840" s="3"/>
      <c r="C4840" s="3"/>
      <c r="D4840" s="3"/>
      <c r="E4840" s="3"/>
      <c r="F4840" s="3"/>
      <c r="G4840" s="3"/>
      <c r="H4840" s="3"/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</row>
    <row r="4841">
      <c r="A4841" s="3"/>
      <c r="B4841" s="3"/>
      <c r="C4841" s="3"/>
      <c r="D4841" s="3"/>
      <c r="E4841" s="3"/>
      <c r="F4841" s="3"/>
      <c r="G4841" s="3"/>
      <c r="H4841" s="3"/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</row>
    <row r="4842">
      <c r="A4842" s="3"/>
      <c r="B4842" s="3"/>
      <c r="C4842" s="3"/>
      <c r="D4842" s="3"/>
      <c r="E4842" s="3"/>
      <c r="F4842" s="3"/>
      <c r="G4842" s="3"/>
      <c r="H4842" s="3"/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</row>
    <row r="4843">
      <c r="A4843" s="3"/>
      <c r="B4843" s="3"/>
      <c r="C4843" s="3"/>
      <c r="D4843" s="3"/>
      <c r="E4843" s="3"/>
      <c r="F4843" s="3"/>
      <c r="G4843" s="3"/>
      <c r="H4843" s="3"/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</row>
    <row r="4844">
      <c r="A4844" s="3"/>
      <c r="B4844" s="3"/>
      <c r="C4844" s="3"/>
      <c r="D4844" s="3"/>
      <c r="E4844" s="3"/>
      <c r="F4844" s="3"/>
      <c r="G4844" s="3"/>
      <c r="H4844" s="3"/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</row>
    <row r="4845">
      <c r="A4845" s="3"/>
      <c r="B4845" s="3"/>
      <c r="C4845" s="3"/>
      <c r="D4845" s="3"/>
      <c r="E4845" s="3"/>
      <c r="F4845" s="3"/>
      <c r="G4845" s="3"/>
      <c r="H4845" s="3"/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</row>
    <row r="4846">
      <c r="A4846" s="3"/>
      <c r="B4846" s="3"/>
      <c r="C4846" s="3"/>
      <c r="D4846" s="3"/>
      <c r="E4846" s="3"/>
      <c r="F4846" s="3"/>
      <c r="G4846" s="3"/>
      <c r="H4846" s="3"/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</row>
    <row r="4847">
      <c r="A4847" s="3"/>
      <c r="B4847" s="3"/>
      <c r="C4847" s="3"/>
      <c r="D4847" s="3"/>
      <c r="E4847" s="3"/>
      <c r="F4847" s="3"/>
      <c r="G4847" s="3"/>
      <c r="H4847" s="3"/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</row>
    <row r="4848">
      <c r="A4848" s="3"/>
      <c r="B4848" s="3"/>
      <c r="C4848" s="3"/>
      <c r="D4848" s="3"/>
      <c r="E4848" s="3"/>
      <c r="F4848" s="3"/>
      <c r="G4848" s="3"/>
      <c r="H4848" s="3"/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</row>
    <row r="4849">
      <c r="A4849" s="3"/>
      <c r="B4849" s="3"/>
      <c r="C4849" s="3"/>
      <c r="D4849" s="3"/>
      <c r="E4849" s="3"/>
      <c r="F4849" s="3"/>
      <c r="G4849" s="3"/>
      <c r="H4849" s="3"/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</row>
    <row r="4850">
      <c r="A4850" s="3"/>
      <c r="B4850" s="3"/>
      <c r="C4850" s="3"/>
      <c r="D4850" s="3"/>
      <c r="E4850" s="3"/>
      <c r="F4850" s="3"/>
      <c r="G4850" s="3"/>
      <c r="H4850" s="3"/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</row>
    <row r="4851">
      <c r="A4851" s="3"/>
      <c r="B4851" s="3"/>
      <c r="C4851" s="3"/>
      <c r="D4851" s="3"/>
      <c r="E4851" s="3"/>
      <c r="F4851" s="3"/>
      <c r="G4851" s="3"/>
      <c r="H4851" s="3"/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</row>
    <row r="4852">
      <c r="A4852" s="3"/>
      <c r="B4852" s="3"/>
      <c r="C4852" s="3"/>
      <c r="D4852" s="3"/>
      <c r="E4852" s="3"/>
      <c r="F4852" s="3"/>
      <c r="G4852" s="3"/>
      <c r="H4852" s="3"/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</row>
    <row r="4853">
      <c r="A4853" s="3"/>
      <c r="B4853" s="3"/>
      <c r="C4853" s="3"/>
      <c r="D4853" s="3"/>
      <c r="E4853" s="3"/>
      <c r="F4853" s="3"/>
      <c r="G4853" s="3"/>
      <c r="H4853" s="3"/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</row>
    <row r="4854">
      <c r="A4854" s="3"/>
      <c r="B4854" s="3"/>
      <c r="C4854" s="3"/>
      <c r="D4854" s="3"/>
      <c r="E4854" s="3"/>
      <c r="F4854" s="3"/>
      <c r="G4854" s="3"/>
      <c r="H4854" s="3"/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</row>
    <row r="4855">
      <c r="A4855" s="3"/>
      <c r="B4855" s="3"/>
      <c r="C4855" s="3"/>
      <c r="D4855" s="3"/>
      <c r="E4855" s="3"/>
      <c r="F4855" s="3"/>
      <c r="G4855" s="3"/>
      <c r="H4855" s="3"/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</row>
    <row r="4856">
      <c r="A4856" s="3"/>
      <c r="B4856" s="3"/>
      <c r="C4856" s="3"/>
      <c r="D4856" s="3"/>
      <c r="E4856" s="3"/>
      <c r="F4856" s="3"/>
      <c r="G4856" s="3"/>
      <c r="H4856" s="3"/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</row>
    <row r="4857">
      <c r="A4857" s="3"/>
      <c r="B4857" s="3"/>
      <c r="C4857" s="3"/>
      <c r="D4857" s="3"/>
      <c r="E4857" s="3"/>
      <c r="F4857" s="3"/>
      <c r="G4857" s="3"/>
      <c r="H4857" s="3"/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</row>
    <row r="4858">
      <c r="A4858" s="3"/>
      <c r="B4858" s="3"/>
      <c r="C4858" s="3"/>
      <c r="D4858" s="3"/>
      <c r="E4858" s="3"/>
      <c r="F4858" s="3"/>
      <c r="G4858" s="3"/>
      <c r="H4858" s="3"/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</row>
    <row r="4859">
      <c r="A4859" s="3"/>
      <c r="B4859" s="3"/>
      <c r="C4859" s="3"/>
      <c r="D4859" s="3"/>
      <c r="E4859" s="3"/>
      <c r="F4859" s="3"/>
      <c r="G4859" s="3"/>
      <c r="H4859" s="3"/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</row>
    <row r="4860">
      <c r="A4860" s="3"/>
      <c r="B4860" s="3"/>
      <c r="C4860" s="3"/>
      <c r="D4860" s="3"/>
      <c r="E4860" s="3"/>
      <c r="F4860" s="3"/>
      <c r="G4860" s="3"/>
      <c r="H4860" s="3"/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</row>
    <row r="4861">
      <c r="A4861" s="3"/>
      <c r="B4861" s="3"/>
      <c r="C4861" s="3"/>
      <c r="D4861" s="3"/>
      <c r="E4861" s="3"/>
      <c r="F4861" s="3"/>
      <c r="G4861" s="3"/>
      <c r="H4861" s="3"/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</row>
    <row r="4862">
      <c r="A4862" s="3"/>
      <c r="B4862" s="3"/>
      <c r="C4862" s="3"/>
      <c r="D4862" s="3"/>
      <c r="E4862" s="3"/>
      <c r="F4862" s="3"/>
      <c r="G4862" s="3"/>
      <c r="H4862" s="3"/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</row>
    <row r="4863">
      <c r="A4863" s="3"/>
      <c r="B4863" s="3"/>
      <c r="C4863" s="3"/>
      <c r="D4863" s="3"/>
      <c r="E4863" s="3"/>
      <c r="F4863" s="3"/>
      <c r="G4863" s="3"/>
      <c r="H4863" s="3"/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</row>
    <row r="4864">
      <c r="A4864" s="3"/>
      <c r="B4864" s="3"/>
      <c r="C4864" s="3"/>
      <c r="D4864" s="3"/>
      <c r="E4864" s="3"/>
      <c r="F4864" s="3"/>
      <c r="G4864" s="3"/>
      <c r="H4864" s="3"/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</row>
    <row r="4865">
      <c r="A4865" s="3"/>
      <c r="B4865" s="3"/>
      <c r="C4865" s="3"/>
      <c r="D4865" s="3"/>
      <c r="E4865" s="3"/>
      <c r="F4865" s="3"/>
      <c r="G4865" s="3"/>
      <c r="H4865" s="3"/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</row>
    <row r="4866">
      <c r="A4866" s="3"/>
      <c r="B4866" s="3"/>
      <c r="C4866" s="3"/>
      <c r="D4866" s="3"/>
      <c r="E4866" s="3"/>
      <c r="F4866" s="3"/>
      <c r="G4866" s="3"/>
      <c r="H4866" s="3"/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</row>
    <row r="4867">
      <c r="A4867" s="3"/>
      <c r="B4867" s="3"/>
      <c r="C4867" s="3"/>
      <c r="D4867" s="3"/>
      <c r="E4867" s="3"/>
      <c r="F4867" s="3"/>
      <c r="G4867" s="3"/>
      <c r="H4867" s="3"/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</row>
    <row r="4868">
      <c r="A4868" s="3"/>
      <c r="B4868" s="3"/>
      <c r="C4868" s="3"/>
      <c r="D4868" s="3"/>
      <c r="E4868" s="3"/>
      <c r="F4868" s="3"/>
      <c r="G4868" s="3"/>
      <c r="H4868" s="3"/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</row>
    <row r="4869">
      <c r="A4869" s="3"/>
      <c r="B4869" s="3"/>
      <c r="C4869" s="3"/>
      <c r="D4869" s="3"/>
      <c r="E4869" s="3"/>
      <c r="F4869" s="3"/>
      <c r="G4869" s="3"/>
      <c r="H4869" s="3"/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</row>
    <row r="4870">
      <c r="A4870" s="3"/>
      <c r="B4870" s="3"/>
      <c r="C4870" s="3"/>
      <c r="D4870" s="3"/>
      <c r="E4870" s="3"/>
      <c r="F4870" s="3"/>
      <c r="G4870" s="3"/>
      <c r="H4870" s="3"/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</row>
    <row r="4871">
      <c r="A4871" s="3"/>
      <c r="B4871" s="3"/>
      <c r="C4871" s="3"/>
      <c r="D4871" s="3"/>
      <c r="E4871" s="3"/>
      <c r="F4871" s="3"/>
      <c r="G4871" s="3"/>
      <c r="H4871" s="3"/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</row>
    <row r="4872">
      <c r="A4872" s="3"/>
      <c r="B4872" s="3"/>
      <c r="C4872" s="3"/>
      <c r="D4872" s="3"/>
      <c r="E4872" s="3"/>
      <c r="F4872" s="3"/>
      <c r="G4872" s="3"/>
      <c r="H4872" s="3"/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</row>
    <row r="4873">
      <c r="A4873" s="3"/>
      <c r="B4873" s="3"/>
      <c r="C4873" s="3"/>
      <c r="D4873" s="3"/>
      <c r="E4873" s="3"/>
      <c r="F4873" s="3"/>
      <c r="G4873" s="3"/>
      <c r="H4873" s="3"/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</row>
    <row r="4874">
      <c r="A4874" s="3"/>
      <c r="B4874" s="3"/>
      <c r="C4874" s="3"/>
      <c r="D4874" s="3"/>
      <c r="E4874" s="3"/>
      <c r="F4874" s="3"/>
      <c r="G4874" s="3"/>
      <c r="H4874" s="3"/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</row>
    <row r="4875">
      <c r="A4875" s="3"/>
      <c r="B4875" s="3"/>
      <c r="C4875" s="3"/>
      <c r="D4875" s="3"/>
      <c r="E4875" s="3"/>
      <c r="F4875" s="3"/>
      <c r="G4875" s="3"/>
      <c r="H4875" s="3"/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</row>
    <row r="4876">
      <c r="A4876" s="3"/>
      <c r="B4876" s="3"/>
      <c r="C4876" s="3"/>
      <c r="D4876" s="3"/>
      <c r="E4876" s="3"/>
      <c r="F4876" s="3"/>
      <c r="G4876" s="3"/>
      <c r="H4876" s="3"/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</row>
    <row r="4877">
      <c r="A4877" s="3"/>
      <c r="B4877" s="3"/>
      <c r="C4877" s="3"/>
      <c r="D4877" s="3"/>
      <c r="E4877" s="3"/>
      <c r="F4877" s="3"/>
      <c r="G4877" s="3"/>
      <c r="H4877" s="3"/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</row>
    <row r="4878">
      <c r="A4878" s="3"/>
      <c r="B4878" s="3"/>
      <c r="C4878" s="3"/>
      <c r="D4878" s="3"/>
      <c r="E4878" s="3"/>
      <c r="F4878" s="3"/>
      <c r="G4878" s="3"/>
      <c r="H4878" s="3"/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</row>
    <row r="4879">
      <c r="A4879" s="3"/>
      <c r="B4879" s="3"/>
      <c r="C4879" s="3"/>
      <c r="D4879" s="3"/>
      <c r="E4879" s="3"/>
      <c r="F4879" s="3"/>
      <c r="G4879" s="3"/>
      <c r="H4879" s="3"/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</row>
    <row r="4880">
      <c r="A4880" s="3"/>
      <c r="B4880" s="3"/>
      <c r="C4880" s="3"/>
      <c r="D4880" s="3"/>
      <c r="E4880" s="3"/>
      <c r="F4880" s="3"/>
      <c r="G4880" s="3"/>
      <c r="H4880" s="3"/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</row>
    <row r="4881">
      <c r="A4881" s="3"/>
      <c r="B4881" s="3"/>
      <c r="C4881" s="3"/>
      <c r="D4881" s="3"/>
      <c r="E4881" s="3"/>
      <c r="F4881" s="3"/>
      <c r="G4881" s="3"/>
      <c r="H4881" s="3"/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</row>
    <row r="4882">
      <c r="A4882" s="3"/>
      <c r="B4882" s="3"/>
      <c r="C4882" s="3"/>
      <c r="D4882" s="3"/>
      <c r="E4882" s="3"/>
      <c r="F4882" s="3"/>
      <c r="G4882" s="3"/>
      <c r="H4882" s="3"/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</row>
    <row r="4883">
      <c r="A4883" s="3"/>
      <c r="B4883" s="3"/>
      <c r="C4883" s="3"/>
      <c r="D4883" s="3"/>
      <c r="E4883" s="3"/>
      <c r="F4883" s="3"/>
      <c r="G4883" s="3"/>
      <c r="H4883" s="3"/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</row>
    <row r="4884">
      <c r="A4884" s="3"/>
      <c r="B4884" s="3"/>
      <c r="C4884" s="3"/>
      <c r="D4884" s="3"/>
      <c r="E4884" s="3"/>
      <c r="F4884" s="3"/>
      <c r="G4884" s="3"/>
      <c r="H4884" s="3"/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</row>
    <row r="4885">
      <c r="A4885" s="3"/>
      <c r="B4885" s="3"/>
      <c r="C4885" s="3"/>
      <c r="D4885" s="3"/>
      <c r="E4885" s="3"/>
      <c r="F4885" s="3"/>
      <c r="G4885" s="3"/>
      <c r="H4885" s="3"/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</row>
    <row r="4886">
      <c r="A4886" s="3"/>
      <c r="B4886" s="3"/>
      <c r="C4886" s="3"/>
      <c r="D4886" s="3"/>
      <c r="E4886" s="3"/>
      <c r="F4886" s="3"/>
      <c r="G4886" s="3"/>
      <c r="H4886" s="3"/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</row>
    <row r="4887">
      <c r="A4887" s="3"/>
      <c r="B4887" s="3"/>
      <c r="C4887" s="3"/>
      <c r="D4887" s="3"/>
      <c r="E4887" s="3"/>
      <c r="F4887" s="3"/>
      <c r="G4887" s="3"/>
      <c r="H4887" s="3"/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</row>
    <row r="4888">
      <c r="A4888" s="3"/>
      <c r="B4888" s="3"/>
      <c r="C4888" s="3"/>
      <c r="D4888" s="3"/>
      <c r="E4888" s="3"/>
      <c r="F4888" s="3"/>
      <c r="G4888" s="3"/>
      <c r="H4888" s="3"/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</row>
    <row r="4889">
      <c r="A4889" s="3"/>
      <c r="B4889" s="3"/>
      <c r="C4889" s="3"/>
      <c r="D4889" s="3"/>
      <c r="E4889" s="3"/>
      <c r="F4889" s="3"/>
      <c r="G4889" s="3"/>
      <c r="H4889" s="3"/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</row>
    <row r="4890">
      <c r="A4890" s="3"/>
      <c r="B4890" s="3"/>
      <c r="C4890" s="3"/>
      <c r="D4890" s="3"/>
      <c r="E4890" s="3"/>
      <c r="F4890" s="3"/>
      <c r="G4890" s="3"/>
      <c r="H4890" s="3"/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</row>
    <row r="4891">
      <c r="A4891" s="3"/>
      <c r="B4891" s="3"/>
      <c r="C4891" s="3"/>
      <c r="D4891" s="3"/>
      <c r="E4891" s="3"/>
      <c r="F4891" s="3"/>
      <c r="G4891" s="3"/>
      <c r="H4891" s="3"/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</row>
    <row r="4892">
      <c r="A4892" s="3"/>
      <c r="B4892" s="3"/>
      <c r="C4892" s="3"/>
      <c r="D4892" s="3"/>
      <c r="E4892" s="3"/>
      <c r="F4892" s="3"/>
      <c r="G4892" s="3"/>
      <c r="H4892" s="3"/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</row>
    <row r="4893">
      <c r="A4893" s="3"/>
      <c r="B4893" s="3"/>
      <c r="C4893" s="3"/>
      <c r="D4893" s="3"/>
      <c r="E4893" s="3"/>
      <c r="F4893" s="3"/>
      <c r="G4893" s="3"/>
      <c r="H4893" s="3"/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</row>
    <row r="4894">
      <c r="A4894" s="3"/>
      <c r="B4894" s="3"/>
      <c r="C4894" s="3"/>
      <c r="D4894" s="3"/>
      <c r="E4894" s="3"/>
      <c r="F4894" s="3"/>
      <c r="G4894" s="3"/>
      <c r="H4894" s="3"/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</row>
    <row r="4895">
      <c r="A4895" s="3"/>
      <c r="B4895" s="3"/>
      <c r="C4895" s="3"/>
      <c r="D4895" s="3"/>
      <c r="E4895" s="3"/>
      <c r="F4895" s="3"/>
      <c r="G4895" s="3"/>
      <c r="H4895" s="3"/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</row>
    <row r="4896">
      <c r="A4896" s="3"/>
      <c r="B4896" s="3"/>
      <c r="C4896" s="3"/>
      <c r="D4896" s="3"/>
      <c r="E4896" s="3"/>
      <c r="F4896" s="3"/>
      <c r="G4896" s="3"/>
      <c r="H4896" s="3"/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</row>
    <row r="4897">
      <c r="A4897" s="3"/>
      <c r="B4897" s="3"/>
      <c r="C4897" s="3"/>
      <c r="D4897" s="3"/>
      <c r="E4897" s="3"/>
      <c r="F4897" s="3"/>
      <c r="G4897" s="3"/>
      <c r="H4897" s="3"/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</row>
    <row r="4898">
      <c r="A4898" s="3"/>
      <c r="B4898" s="3"/>
      <c r="C4898" s="3"/>
      <c r="D4898" s="3"/>
      <c r="E4898" s="3"/>
      <c r="F4898" s="3"/>
      <c r="G4898" s="3"/>
      <c r="H4898" s="3"/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</row>
    <row r="4899">
      <c r="A4899" s="3"/>
      <c r="B4899" s="3"/>
      <c r="C4899" s="3"/>
      <c r="D4899" s="3"/>
      <c r="E4899" s="3"/>
      <c r="F4899" s="3"/>
      <c r="G4899" s="3"/>
      <c r="H4899" s="3"/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</row>
    <row r="4900">
      <c r="A4900" s="3"/>
      <c r="B4900" s="3"/>
      <c r="C4900" s="3"/>
      <c r="D4900" s="3"/>
      <c r="E4900" s="3"/>
      <c r="F4900" s="3"/>
      <c r="G4900" s="3"/>
      <c r="H4900" s="3"/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</row>
    <row r="4901">
      <c r="A4901" s="3"/>
      <c r="B4901" s="3"/>
      <c r="C4901" s="3"/>
      <c r="D4901" s="3"/>
      <c r="E4901" s="3"/>
      <c r="F4901" s="3"/>
      <c r="G4901" s="3"/>
      <c r="H4901" s="3"/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</row>
    <row r="4902">
      <c r="A4902" s="3"/>
      <c r="B4902" s="3"/>
      <c r="C4902" s="3"/>
      <c r="D4902" s="3"/>
      <c r="E4902" s="3"/>
      <c r="F4902" s="3"/>
      <c r="G4902" s="3"/>
      <c r="H4902" s="3"/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</row>
    <row r="4903">
      <c r="A4903" s="3"/>
      <c r="B4903" s="3"/>
      <c r="C4903" s="3"/>
      <c r="D4903" s="3"/>
      <c r="E4903" s="3"/>
      <c r="F4903" s="3"/>
      <c r="G4903" s="3"/>
      <c r="H4903" s="3"/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</row>
    <row r="4904">
      <c r="A4904" s="3"/>
      <c r="B4904" s="3"/>
      <c r="C4904" s="3"/>
      <c r="D4904" s="3"/>
      <c r="E4904" s="3"/>
      <c r="F4904" s="3"/>
      <c r="G4904" s="3"/>
      <c r="H4904" s="3"/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</row>
    <row r="4905">
      <c r="A4905" s="3"/>
      <c r="B4905" s="3"/>
      <c r="C4905" s="3"/>
      <c r="D4905" s="3"/>
      <c r="E4905" s="3"/>
      <c r="F4905" s="3"/>
      <c r="G4905" s="3"/>
      <c r="H4905" s="3"/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</row>
    <row r="4906">
      <c r="A4906" s="3"/>
      <c r="B4906" s="3"/>
      <c r="C4906" s="3"/>
      <c r="D4906" s="3"/>
      <c r="E4906" s="3"/>
      <c r="F4906" s="3"/>
      <c r="G4906" s="3"/>
      <c r="H4906" s="3"/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</row>
    <row r="4907">
      <c r="A4907" s="3"/>
      <c r="B4907" s="3"/>
      <c r="C4907" s="3"/>
      <c r="D4907" s="3"/>
      <c r="E4907" s="3"/>
      <c r="F4907" s="3"/>
      <c r="G4907" s="3"/>
      <c r="H4907" s="3"/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</row>
    <row r="4908">
      <c r="A4908" s="3"/>
      <c r="B4908" s="3"/>
      <c r="C4908" s="3"/>
      <c r="D4908" s="3"/>
      <c r="E4908" s="3"/>
      <c r="F4908" s="3"/>
      <c r="G4908" s="3"/>
      <c r="H4908" s="3"/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</row>
    <row r="4909">
      <c r="A4909" s="3"/>
      <c r="B4909" s="3"/>
      <c r="C4909" s="3"/>
      <c r="D4909" s="3"/>
      <c r="E4909" s="3"/>
      <c r="F4909" s="3"/>
      <c r="G4909" s="3"/>
      <c r="H4909" s="3"/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</row>
    <row r="4910">
      <c r="A4910" s="3"/>
      <c r="B4910" s="3"/>
      <c r="C4910" s="3"/>
      <c r="D4910" s="3"/>
      <c r="E4910" s="3"/>
      <c r="F4910" s="3"/>
      <c r="G4910" s="3"/>
      <c r="H4910" s="3"/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</row>
    <row r="4911">
      <c r="A4911" s="3"/>
      <c r="B4911" s="3"/>
      <c r="C4911" s="3"/>
      <c r="D4911" s="3"/>
      <c r="E4911" s="3"/>
      <c r="F4911" s="3"/>
      <c r="G4911" s="3"/>
      <c r="H4911" s="3"/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</row>
    <row r="4912">
      <c r="A4912" s="3"/>
      <c r="B4912" s="3"/>
      <c r="C4912" s="3"/>
      <c r="D4912" s="3"/>
      <c r="E4912" s="3"/>
      <c r="F4912" s="3"/>
      <c r="G4912" s="3"/>
      <c r="H4912" s="3"/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</row>
    <row r="4913">
      <c r="A4913" s="3"/>
      <c r="B4913" s="3"/>
      <c r="C4913" s="3"/>
      <c r="D4913" s="3"/>
      <c r="E4913" s="3"/>
      <c r="F4913" s="3"/>
      <c r="G4913" s="3"/>
      <c r="H4913" s="3"/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</row>
    <row r="4914">
      <c r="A4914" s="3"/>
      <c r="B4914" s="3"/>
      <c r="C4914" s="3"/>
      <c r="D4914" s="3"/>
      <c r="E4914" s="3"/>
      <c r="F4914" s="3"/>
      <c r="G4914" s="3"/>
      <c r="H4914" s="3"/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</row>
    <row r="4915">
      <c r="A4915" s="3"/>
      <c r="B4915" s="3"/>
      <c r="C4915" s="3"/>
      <c r="D4915" s="3"/>
      <c r="E4915" s="3"/>
      <c r="F4915" s="3"/>
      <c r="G4915" s="3"/>
      <c r="H4915" s="3"/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</row>
    <row r="4916">
      <c r="A4916" s="3"/>
      <c r="B4916" s="3"/>
      <c r="C4916" s="3"/>
      <c r="D4916" s="3"/>
      <c r="E4916" s="3"/>
      <c r="F4916" s="3"/>
      <c r="G4916" s="3"/>
      <c r="H4916" s="3"/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</row>
    <row r="4917">
      <c r="A4917" s="3"/>
      <c r="B4917" s="3"/>
      <c r="C4917" s="3"/>
      <c r="D4917" s="3"/>
      <c r="E4917" s="3"/>
      <c r="F4917" s="3"/>
      <c r="G4917" s="3"/>
      <c r="H4917" s="3"/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</row>
    <row r="4918">
      <c r="A4918" s="3"/>
      <c r="B4918" s="3"/>
      <c r="C4918" s="3"/>
      <c r="D4918" s="3"/>
      <c r="E4918" s="3"/>
      <c r="F4918" s="3"/>
      <c r="G4918" s="3"/>
      <c r="H4918" s="3"/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</row>
    <row r="4919">
      <c r="A4919" s="3"/>
      <c r="B4919" s="3"/>
      <c r="C4919" s="3"/>
      <c r="D4919" s="3"/>
      <c r="E4919" s="3"/>
      <c r="F4919" s="3"/>
      <c r="G4919" s="3"/>
      <c r="H4919" s="3"/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</row>
    <row r="4920">
      <c r="A4920" s="3"/>
      <c r="B4920" s="3"/>
      <c r="C4920" s="3"/>
      <c r="D4920" s="3"/>
      <c r="E4920" s="3"/>
      <c r="F4920" s="3"/>
      <c r="G4920" s="3"/>
      <c r="H4920" s="3"/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</row>
    <row r="4921">
      <c r="A4921" s="3"/>
      <c r="B4921" s="3"/>
      <c r="C4921" s="3"/>
      <c r="D4921" s="3"/>
      <c r="E4921" s="3"/>
      <c r="F4921" s="3"/>
      <c r="G4921" s="3"/>
      <c r="H4921" s="3"/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</row>
    <row r="4922">
      <c r="A4922" s="3"/>
      <c r="B4922" s="3"/>
      <c r="C4922" s="3"/>
      <c r="D4922" s="3"/>
      <c r="E4922" s="3"/>
      <c r="F4922" s="3"/>
      <c r="G4922" s="3"/>
      <c r="H4922" s="3"/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</row>
    <row r="4923">
      <c r="A4923" s="3"/>
      <c r="B4923" s="3"/>
      <c r="C4923" s="3"/>
      <c r="D4923" s="3"/>
      <c r="E4923" s="3"/>
      <c r="F4923" s="3"/>
      <c r="G4923" s="3"/>
      <c r="H4923" s="3"/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</row>
    <row r="4924">
      <c r="A4924" s="3"/>
      <c r="B4924" s="3"/>
      <c r="C4924" s="3"/>
      <c r="D4924" s="3"/>
      <c r="E4924" s="3"/>
      <c r="F4924" s="3"/>
      <c r="G4924" s="3"/>
      <c r="H4924" s="3"/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</row>
    <row r="4925">
      <c r="A4925" s="3"/>
      <c r="B4925" s="3"/>
      <c r="C4925" s="3"/>
      <c r="D4925" s="3"/>
      <c r="E4925" s="3"/>
      <c r="F4925" s="3"/>
      <c r="G4925" s="3"/>
      <c r="H4925" s="3"/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</row>
    <row r="4926">
      <c r="A4926" s="3"/>
      <c r="B4926" s="3"/>
      <c r="C4926" s="3"/>
      <c r="D4926" s="3"/>
      <c r="E4926" s="3"/>
      <c r="F4926" s="3"/>
      <c r="G4926" s="3"/>
      <c r="H4926" s="3"/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</row>
    <row r="4927">
      <c r="A4927" s="3"/>
      <c r="B4927" s="3"/>
      <c r="C4927" s="3"/>
      <c r="D4927" s="3"/>
      <c r="E4927" s="3"/>
      <c r="F4927" s="3"/>
      <c r="G4927" s="3"/>
      <c r="H4927" s="3"/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</row>
    <row r="4928">
      <c r="A4928" s="3"/>
      <c r="B4928" s="3"/>
      <c r="C4928" s="3"/>
      <c r="D4928" s="3"/>
      <c r="E4928" s="3"/>
      <c r="F4928" s="3"/>
      <c r="G4928" s="3"/>
      <c r="H4928" s="3"/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</row>
    <row r="4929">
      <c r="A4929" s="3"/>
      <c r="B4929" s="3"/>
      <c r="C4929" s="3"/>
      <c r="D4929" s="3"/>
      <c r="E4929" s="3"/>
      <c r="F4929" s="3"/>
      <c r="G4929" s="3"/>
      <c r="H4929" s="3"/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</row>
    <row r="4930">
      <c r="A4930" s="3"/>
      <c r="B4930" s="3"/>
      <c r="C4930" s="3"/>
      <c r="D4930" s="3"/>
      <c r="E4930" s="3"/>
      <c r="F4930" s="3"/>
      <c r="G4930" s="3"/>
      <c r="H4930" s="3"/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</row>
    <row r="4931">
      <c r="A4931" s="3"/>
      <c r="B4931" s="3"/>
      <c r="C4931" s="3"/>
      <c r="D4931" s="3"/>
      <c r="E4931" s="3"/>
      <c r="F4931" s="3"/>
      <c r="G4931" s="3"/>
      <c r="H4931" s="3"/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</row>
    <row r="4932">
      <c r="A4932" s="3"/>
      <c r="B4932" s="3"/>
      <c r="C4932" s="3"/>
      <c r="D4932" s="3"/>
      <c r="E4932" s="3"/>
      <c r="F4932" s="3"/>
      <c r="G4932" s="3"/>
      <c r="H4932" s="3"/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</row>
    <row r="4933">
      <c r="A4933" s="3"/>
      <c r="B4933" s="3"/>
      <c r="C4933" s="3"/>
      <c r="D4933" s="3"/>
      <c r="E4933" s="3"/>
      <c r="F4933" s="3"/>
      <c r="G4933" s="3"/>
      <c r="H4933" s="3"/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</row>
    <row r="4934">
      <c r="A4934" s="3"/>
      <c r="B4934" s="3"/>
      <c r="C4934" s="3"/>
      <c r="D4934" s="3"/>
      <c r="E4934" s="3"/>
      <c r="F4934" s="3"/>
      <c r="G4934" s="3"/>
      <c r="H4934" s="3"/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</row>
    <row r="4935">
      <c r="A4935" s="3"/>
      <c r="B4935" s="3"/>
      <c r="C4935" s="3"/>
      <c r="D4935" s="3"/>
      <c r="E4935" s="3"/>
      <c r="F4935" s="3"/>
      <c r="G4935" s="3"/>
      <c r="H4935" s="3"/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</row>
    <row r="4936">
      <c r="A4936" s="3"/>
      <c r="B4936" s="3"/>
      <c r="C4936" s="3"/>
      <c r="D4936" s="3"/>
      <c r="E4936" s="3"/>
      <c r="F4936" s="3"/>
      <c r="G4936" s="3"/>
      <c r="H4936" s="3"/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</row>
    <row r="4937">
      <c r="A4937" s="3"/>
      <c r="B4937" s="3"/>
      <c r="C4937" s="3"/>
      <c r="D4937" s="3"/>
      <c r="E4937" s="3"/>
      <c r="F4937" s="3"/>
      <c r="G4937" s="3"/>
      <c r="H4937" s="3"/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</row>
    <row r="4938">
      <c r="A4938" s="3"/>
      <c r="B4938" s="3"/>
      <c r="C4938" s="3"/>
      <c r="D4938" s="3"/>
      <c r="E4938" s="3"/>
      <c r="F4938" s="3"/>
      <c r="G4938" s="3"/>
      <c r="H4938" s="3"/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</row>
    <row r="4939">
      <c r="A4939" s="3"/>
      <c r="B4939" s="3"/>
      <c r="C4939" s="3"/>
      <c r="D4939" s="3"/>
      <c r="E4939" s="3"/>
      <c r="F4939" s="3"/>
      <c r="G4939" s="3"/>
      <c r="H4939" s="3"/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</row>
    <row r="4940">
      <c r="A4940" s="3"/>
      <c r="B4940" s="3"/>
      <c r="C4940" s="3"/>
      <c r="D4940" s="3"/>
      <c r="E4940" s="3"/>
      <c r="F4940" s="3"/>
      <c r="G4940" s="3"/>
      <c r="H4940" s="3"/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</row>
    <row r="4941">
      <c r="A4941" s="3"/>
      <c r="B4941" s="3"/>
      <c r="C4941" s="3"/>
      <c r="D4941" s="3"/>
      <c r="E4941" s="3"/>
      <c r="F4941" s="3"/>
      <c r="G4941" s="3"/>
      <c r="H4941" s="3"/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</row>
    <row r="4942">
      <c r="A4942" s="3"/>
      <c r="B4942" s="3"/>
      <c r="C4942" s="3"/>
      <c r="D4942" s="3"/>
      <c r="E4942" s="3"/>
      <c r="F4942" s="3"/>
      <c r="G4942" s="3"/>
      <c r="H4942" s="3"/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</row>
    <row r="4943">
      <c r="A4943" s="3"/>
      <c r="B4943" s="3"/>
      <c r="C4943" s="3"/>
      <c r="D4943" s="3"/>
      <c r="E4943" s="3"/>
      <c r="F4943" s="3"/>
      <c r="G4943" s="3"/>
      <c r="H4943" s="3"/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</row>
    <row r="4944">
      <c r="A4944" s="3"/>
      <c r="B4944" s="3"/>
      <c r="C4944" s="3"/>
      <c r="D4944" s="3"/>
      <c r="E4944" s="3"/>
      <c r="F4944" s="3"/>
      <c r="G4944" s="3"/>
      <c r="H4944" s="3"/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</row>
    <row r="4945">
      <c r="A4945" s="3"/>
      <c r="B4945" s="3"/>
      <c r="C4945" s="3"/>
      <c r="D4945" s="3"/>
      <c r="E4945" s="3"/>
      <c r="F4945" s="3"/>
      <c r="G4945" s="3"/>
      <c r="H4945" s="3"/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</row>
    <row r="4946">
      <c r="A4946" s="3"/>
      <c r="B4946" s="3"/>
      <c r="C4946" s="3"/>
      <c r="D4946" s="3"/>
      <c r="E4946" s="3"/>
      <c r="F4946" s="3"/>
      <c r="G4946" s="3"/>
      <c r="H4946" s="3"/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</row>
    <row r="4947">
      <c r="A4947" s="3"/>
      <c r="B4947" s="3"/>
      <c r="C4947" s="3"/>
      <c r="D4947" s="3"/>
      <c r="E4947" s="3"/>
      <c r="F4947" s="3"/>
      <c r="G4947" s="3"/>
      <c r="H4947" s="3"/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</row>
    <row r="4948">
      <c r="A4948" s="3"/>
      <c r="B4948" s="3"/>
      <c r="C4948" s="3"/>
      <c r="D4948" s="3"/>
      <c r="E4948" s="3"/>
      <c r="F4948" s="3"/>
      <c r="G4948" s="3"/>
      <c r="H4948" s="3"/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</row>
    <row r="4949">
      <c r="A4949" s="3"/>
      <c r="B4949" s="3"/>
      <c r="C4949" s="3"/>
      <c r="D4949" s="3"/>
      <c r="E4949" s="3"/>
      <c r="F4949" s="3"/>
      <c r="G4949" s="3"/>
      <c r="H4949" s="3"/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</row>
    <row r="4950">
      <c r="A4950" s="3"/>
      <c r="B4950" s="3"/>
      <c r="C4950" s="3"/>
      <c r="D4950" s="3"/>
      <c r="E4950" s="3"/>
      <c r="F4950" s="3"/>
      <c r="G4950" s="3"/>
      <c r="H4950" s="3"/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</row>
    <row r="4951">
      <c r="A4951" s="3"/>
      <c r="B4951" s="3"/>
      <c r="C4951" s="3"/>
      <c r="D4951" s="3"/>
      <c r="E4951" s="3"/>
      <c r="F4951" s="3"/>
      <c r="G4951" s="3"/>
      <c r="H4951" s="3"/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</row>
    <row r="4952">
      <c r="A4952" s="3"/>
      <c r="B4952" s="3"/>
      <c r="C4952" s="3"/>
      <c r="D4952" s="3"/>
      <c r="E4952" s="3"/>
      <c r="F4952" s="3"/>
      <c r="G4952" s="3"/>
      <c r="H4952" s="3"/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</row>
    <row r="4953">
      <c r="A4953" s="3"/>
      <c r="B4953" s="3"/>
      <c r="C4953" s="3"/>
      <c r="D4953" s="3"/>
      <c r="E4953" s="3"/>
      <c r="F4953" s="3"/>
      <c r="G4953" s="3"/>
      <c r="H4953" s="3"/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</row>
    <row r="4954">
      <c r="A4954" s="3"/>
      <c r="B4954" s="3"/>
      <c r="C4954" s="3"/>
      <c r="D4954" s="3"/>
      <c r="E4954" s="3"/>
      <c r="F4954" s="3"/>
      <c r="G4954" s="3"/>
      <c r="H4954" s="3"/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</row>
    <row r="4955">
      <c r="A4955" s="3"/>
      <c r="B4955" s="3"/>
      <c r="C4955" s="3"/>
      <c r="D4955" s="3"/>
      <c r="E4955" s="3"/>
      <c r="F4955" s="3"/>
      <c r="G4955" s="3"/>
      <c r="H4955" s="3"/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</row>
    <row r="4956">
      <c r="A4956" s="3"/>
      <c r="B4956" s="3"/>
      <c r="C4956" s="3"/>
      <c r="D4956" s="3"/>
      <c r="E4956" s="3"/>
      <c r="F4956" s="3"/>
      <c r="G4956" s="3"/>
      <c r="H4956" s="3"/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</row>
    <row r="4957">
      <c r="A4957" s="3"/>
      <c r="B4957" s="3"/>
      <c r="C4957" s="3"/>
      <c r="D4957" s="3"/>
      <c r="E4957" s="3"/>
      <c r="F4957" s="3"/>
      <c r="G4957" s="3"/>
      <c r="H4957" s="3"/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</row>
    <row r="4958">
      <c r="A4958" s="3"/>
      <c r="B4958" s="3"/>
      <c r="C4958" s="3"/>
      <c r="D4958" s="3"/>
      <c r="E4958" s="3"/>
      <c r="F4958" s="3"/>
      <c r="G4958" s="3"/>
      <c r="H4958" s="3"/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</row>
    <row r="4959">
      <c r="A4959" s="3"/>
      <c r="B4959" s="3"/>
      <c r="C4959" s="3"/>
      <c r="D4959" s="3"/>
      <c r="E4959" s="3"/>
      <c r="F4959" s="3"/>
      <c r="G4959" s="3"/>
      <c r="H4959" s="3"/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</row>
    <row r="4960">
      <c r="A4960" s="3"/>
      <c r="B4960" s="3"/>
      <c r="C4960" s="3"/>
      <c r="D4960" s="3"/>
      <c r="E4960" s="3"/>
      <c r="F4960" s="3"/>
      <c r="G4960" s="3"/>
      <c r="H4960" s="3"/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</row>
    <row r="4961">
      <c r="A4961" s="3"/>
      <c r="B4961" s="3"/>
      <c r="C4961" s="3"/>
      <c r="D4961" s="3"/>
      <c r="E4961" s="3"/>
      <c r="F4961" s="3"/>
      <c r="G4961" s="3"/>
      <c r="H4961" s="3"/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</row>
    <row r="4962">
      <c r="A4962" s="3"/>
      <c r="B4962" s="3"/>
      <c r="C4962" s="3"/>
      <c r="D4962" s="3"/>
      <c r="E4962" s="3"/>
      <c r="F4962" s="3"/>
      <c r="G4962" s="3"/>
      <c r="H4962" s="3"/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</row>
    <row r="4963">
      <c r="A4963" s="3"/>
      <c r="B4963" s="3"/>
      <c r="C4963" s="3"/>
      <c r="D4963" s="3"/>
      <c r="E4963" s="3"/>
      <c r="F4963" s="3"/>
      <c r="G4963" s="3"/>
      <c r="H4963" s="3"/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</row>
    <row r="4964">
      <c r="A4964" s="3"/>
      <c r="B4964" s="3"/>
      <c r="C4964" s="3"/>
      <c r="D4964" s="3"/>
      <c r="E4964" s="3"/>
      <c r="F4964" s="3"/>
      <c r="G4964" s="3"/>
      <c r="H4964" s="3"/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</row>
    <row r="4965">
      <c r="A4965" s="3"/>
      <c r="B4965" s="3"/>
      <c r="C4965" s="3"/>
      <c r="D4965" s="3"/>
      <c r="E4965" s="3"/>
      <c r="F4965" s="3"/>
      <c r="G4965" s="3"/>
      <c r="H4965" s="3"/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</row>
    <row r="4966">
      <c r="A4966" s="3"/>
      <c r="B4966" s="3"/>
      <c r="C4966" s="3"/>
      <c r="D4966" s="3"/>
      <c r="E4966" s="3"/>
      <c r="F4966" s="3"/>
      <c r="G4966" s="3"/>
      <c r="H4966" s="3"/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</row>
    <row r="4967">
      <c r="A4967" s="3"/>
      <c r="B4967" s="3"/>
      <c r="C4967" s="3"/>
      <c r="D4967" s="3"/>
      <c r="E4967" s="3"/>
      <c r="F4967" s="3"/>
      <c r="G4967" s="3"/>
      <c r="H4967" s="3"/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</row>
    <row r="4968">
      <c r="A4968" s="3"/>
      <c r="B4968" s="3"/>
      <c r="C4968" s="3"/>
      <c r="D4968" s="3"/>
      <c r="E4968" s="3"/>
      <c r="F4968" s="3"/>
      <c r="G4968" s="3"/>
      <c r="H4968" s="3"/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</row>
    <row r="4969">
      <c r="A4969" s="3"/>
      <c r="B4969" s="3"/>
      <c r="C4969" s="3"/>
      <c r="D4969" s="3"/>
      <c r="E4969" s="3"/>
      <c r="F4969" s="3"/>
      <c r="G4969" s="3"/>
      <c r="H4969" s="3"/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</row>
    <row r="4970">
      <c r="A4970" s="3"/>
      <c r="B4970" s="3"/>
      <c r="C4970" s="3"/>
      <c r="D4970" s="3"/>
      <c r="E4970" s="3"/>
      <c r="F4970" s="3"/>
      <c r="G4970" s="3"/>
      <c r="H4970" s="3"/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</row>
    <row r="4971">
      <c r="A4971" s="3"/>
      <c r="B4971" s="3"/>
      <c r="C4971" s="3"/>
      <c r="D4971" s="3"/>
      <c r="E4971" s="3"/>
      <c r="F4971" s="3"/>
      <c r="G4971" s="3"/>
      <c r="H4971" s="3"/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</row>
    <row r="4972">
      <c r="A4972" s="3"/>
      <c r="B4972" s="3"/>
      <c r="C4972" s="3"/>
      <c r="D4972" s="3"/>
      <c r="E4972" s="3"/>
      <c r="F4972" s="3"/>
      <c r="G4972" s="3"/>
      <c r="H4972" s="3"/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</row>
    <row r="4973">
      <c r="A4973" s="3"/>
      <c r="B4973" s="3"/>
      <c r="C4973" s="3"/>
      <c r="D4973" s="3"/>
      <c r="E4973" s="3"/>
      <c r="F4973" s="3"/>
      <c r="G4973" s="3"/>
      <c r="H4973" s="3"/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</row>
    <row r="4974">
      <c r="A4974" s="3"/>
      <c r="B4974" s="3"/>
      <c r="C4974" s="3"/>
      <c r="D4974" s="3"/>
      <c r="E4974" s="3"/>
      <c r="F4974" s="3"/>
      <c r="G4974" s="3"/>
      <c r="H4974" s="3"/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</row>
    <row r="4975">
      <c r="A4975" s="3"/>
      <c r="B4975" s="3"/>
      <c r="C4975" s="3"/>
      <c r="D4975" s="3"/>
      <c r="E4975" s="3"/>
      <c r="F4975" s="3"/>
      <c r="G4975" s="3"/>
      <c r="H4975" s="3"/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</row>
    <row r="4976">
      <c r="A4976" s="3"/>
      <c r="B4976" s="3"/>
      <c r="C4976" s="3"/>
      <c r="D4976" s="3"/>
      <c r="E4976" s="3"/>
      <c r="F4976" s="3"/>
      <c r="G4976" s="3"/>
      <c r="H4976" s="3"/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</row>
    <row r="4977">
      <c r="A4977" s="3"/>
      <c r="B4977" s="3"/>
      <c r="C4977" s="3"/>
      <c r="D4977" s="3"/>
      <c r="E4977" s="3"/>
      <c r="F4977" s="3"/>
      <c r="G4977" s="3"/>
      <c r="H4977" s="3"/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</row>
    <row r="4978">
      <c r="A4978" s="3"/>
      <c r="B4978" s="3"/>
      <c r="C4978" s="3"/>
      <c r="D4978" s="3"/>
      <c r="E4978" s="3"/>
      <c r="F4978" s="3"/>
      <c r="G4978" s="3"/>
      <c r="H4978" s="3"/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</row>
    <row r="4979">
      <c r="A4979" s="3"/>
      <c r="B4979" s="3"/>
      <c r="C4979" s="3"/>
      <c r="D4979" s="3"/>
      <c r="E4979" s="3"/>
      <c r="F4979" s="3"/>
      <c r="G4979" s="3"/>
      <c r="H4979" s="3"/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</row>
    <row r="4980">
      <c r="A4980" s="3"/>
      <c r="B4980" s="3"/>
      <c r="C4980" s="3"/>
      <c r="D4980" s="3"/>
      <c r="E4980" s="3"/>
      <c r="F4980" s="3"/>
      <c r="G4980" s="3"/>
      <c r="H4980" s="3"/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</row>
    <row r="4981">
      <c r="A4981" s="3"/>
      <c r="B4981" s="3"/>
      <c r="C4981" s="3"/>
      <c r="D4981" s="3"/>
      <c r="E4981" s="3"/>
      <c r="F4981" s="3"/>
      <c r="G4981" s="3"/>
      <c r="H4981" s="3"/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</row>
    <row r="4982">
      <c r="A4982" s="3"/>
      <c r="B4982" s="3"/>
      <c r="C4982" s="3"/>
      <c r="D4982" s="3"/>
      <c r="E4982" s="3"/>
      <c r="F4982" s="3"/>
      <c r="G4982" s="3"/>
      <c r="H4982" s="3"/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</row>
    <row r="4983">
      <c r="A4983" s="3"/>
      <c r="B4983" s="3"/>
      <c r="C4983" s="3"/>
      <c r="D4983" s="3"/>
      <c r="E4983" s="3"/>
      <c r="F4983" s="3"/>
      <c r="G4983" s="3"/>
      <c r="H4983" s="3"/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</row>
    <row r="4984">
      <c r="A4984" s="3"/>
      <c r="B4984" s="3"/>
      <c r="C4984" s="3"/>
      <c r="D4984" s="3"/>
      <c r="E4984" s="3"/>
      <c r="F4984" s="3"/>
      <c r="G4984" s="3"/>
      <c r="H4984" s="3"/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</row>
    <row r="4985">
      <c r="A4985" s="3"/>
      <c r="B4985" s="3"/>
      <c r="C4985" s="3"/>
      <c r="D4985" s="3"/>
      <c r="E4985" s="3"/>
      <c r="F4985" s="3"/>
      <c r="G4985" s="3"/>
      <c r="H4985" s="3"/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</row>
    <row r="4986">
      <c r="A4986" s="3"/>
      <c r="B4986" s="3"/>
      <c r="C4986" s="3"/>
      <c r="D4986" s="3"/>
      <c r="E4986" s="3"/>
      <c r="F4986" s="3"/>
      <c r="G4986" s="3"/>
      <c r="H4986" s="3"/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</row>
    <row r="4987">
      <c r="A4987" s="3"/>
      <c r="B4987" s="3"/>
      <c r="C4987" s="3"/>
      <c r="D4987" s="3"/>
      <c r="E4987" s="3"/>
      <c r="F4987" s="3"/>
      <c r="G4987" s="3"/>
      <c r="H4987" s="3"/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</row>
    <row r="4988">
      <c r="A4988" s="3"/>
      <c r="B4988" s="3"/>
      <c r="C4988" s="3"/>
      <c r="D4988" s="3"/>
      <c r="E4988" s="3"/>
      <c r="F4988" s="3"/>
      <c r="G4988" s="3"/>
      <c r="H4988" s="3"/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</row>
    <row r="4989">
      <c r="A4989" s="3"/>
      <c r="B4989" s="3"/>
      <c r="C4989" s="3"/>
      <c r="D4989" s="3"/>
      <c r="E4989" s="3"/>
      <c r="F4989" s="3"/>
      <c r="G4989" s="3"/>
      <c r="H4989" s="3"/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</row>
    <row r="4990">
      <c r="A4990" s="3"/>
      <c r="B4990" s="3"/>
      <c r="C4990" s="3"/>
      <c r="D4990" s="3"/>
      <c r="E4990" s="3"/>
      <c r="F4990" s="3"/>
      <c r="G4990" s="3"/>
      <c r="H4990" s="3"/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</row>
    <row r="4991">
      <c r="A4991" s="3"/>
      <c r="B4991" s="3"/>
      <c r="C4991" s="3"/>
      <c r="D4991" s="3"/>
      <c r="E4991" s="3"/>
      <c r="F4991" s="3"/>
      <c r="G4991" s="3"/>
      <c r="H4991" s="3"/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</row>
    <row r="4992">
      <c r="A4992" s="3"/>
      <c r="B4992" s="3"/>
      <c r="C4992" s="3"/>
      <c r="D4992" s="3"/>
      <c r="E4992" s="3"/>
      <c r="F4992" s="3"/>
      <c r="G4992" s="3"/>
      <c r="H4992" s="3"/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</row>
    <row r="4993">
      <c r="A4993" s="3"/>
      <c r="B4993" s="3"/>
      <c r="C4993" s="3"/>
      <c r="D4993" s="3"/>
      <c r="E4993" s="3"/>
      <c r="F4993" s="3"/>
      <c r="G4993" s="3"/>
      <c r="H4993" s="3"/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</row>
    <row r="4994">
      <c r="A4994" s="3"/>
      <c r="B4994" s="3"/>
      <c r="C4994" s="3"/>
      <c r="D4994" s="3"/>
      <c r="E4994" s="3"/>
      <c r="F4994" s="3"/>
      <c r="G4994" s="3"/>
      <c r="H4994" s="3"/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</row>
    <row r="4995">
      <c r="A4995" s="3"/>
      <c r="B4995" s="3"/>
      <c r="C4995" s="3"/>
      <c r="D4995" s="3"/>
      <c r="E4995" s="3"/>
      <c r="F4995" s="3"/>
      <c r="G4995" s="3"/>
      <c r="H4995" s="3"/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</row>
    <row r="4996">
      <c r="A4996" s="3"/>
      <c r="B4996" s="3"/>
      <c r="C4996" s="3"/>
      <c r="D4996" s="3"/>
      <c r="E4996" s="3"/>
      <c r="F4996" s="3"/>
      <c r="G4996" s="3"/>
      <c r="H4996" s="3"/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</row>
    <row r="4997">
      <c r="A4997" s="3"/>
      <c r="B4997" s="3"/>
      <c r="C4997" s="3"/>
      <c r="D4997" s="3"/>
      <c r="E4997" s="3"/>
      <c r="F4997" s="3"/>
      <c r="G4997" s="3"/>
      <c r="H4997" s="3"/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</row>
    <row r="4998">
      <c r="A4998" s="3"/>
      <c r="B4998" s="3"/>
      <c r="C4998" s="3"/>
      <c r="D4998" s="3"/>
      <c r="E4998" s="3"/>
      <c r="F4998" s="3"/>
      <c r="G4998" s="3"/>
      <c r="H4998" s="3"/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</row>
    <row r="4999">
      <c r="A4999" s="3"/>
      <c r="B4999" s="3"/>
      <c r="C4999" s="3"/>
      <c r="D4999" s="3"/>
      <c r="E4999" s="3"/>
      <c r="F4999" s="3"/>
      <c r="G4999" s="3"/>
      <c r="H4999" s="3"/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</row>
    <row r="5000">
      <c r="A5000" s="3"/>
      <c r="B5000" s="3"/>
      <c r="C5000" s="3"/>
      <c r="D5000" s="3"/>
      <c r="E5000" s="3"/>
      <c r="F5000" s="3"/>
      <c r="G5000" s="3"/>
      <c r="H5000" s="3"/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</row>
    <row r="5001">
      <c r="A5001" s="3"/>
      <c r="B5001" s="3"/>
      <c r="C5001" s="3"/>
      <c r="D5001" s="3"/>
      <c r="E5001" s="3"/>
      <c r="F5001" s="3"/>
      <c r="G5001" s="3"/>
      <c r="H5001" s="3"/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</row>
    <row r="5002">
      <c r="A5002" s="3"/>
      <c r="B5002" s="3"/>
      <c r="C5002" s="3"/>
      <c r="D5002" s="3"/>
      <c r="E5002" s="3"/>
      <c r="F5002" s="3"/>
      <c r="G5002" s="3"/>
      <c r="H5002" s="3"/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</row>
    <row r="5003">
      <c r="A5003" s="3"/>
      <c r="B5003" s="3"/>
      <c r="C5003" s="3"/>
      <c r="D5003" s="3"/>
      <c r="E5003" s="3"/>
      <c r="F5003" s="3"/>
      <c r="G5003" s="3"/>
      <c r="H5003" s="3"/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</row>
    <row r="5004">
      <c r="A5004" s="3"/>
      <c r="B5004" s="3"/>
      <c r="C5004" s="3"/>
      <c r="D5004" s="3"/>
      <c r="E5004" s="3"/>
      <c r="F5004" s="3"/>
      <c r="G5004" s="3"/>
      <c r="H5004" s="3"/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  <c r="T5004" s="3"/>
      <c r="U5004" s="3"/>
      <c r="V5004" s="3"/>
      <c r="W5004" s="3"/>
      <c r="X5004" s="3"/>
      <c r="Y5004" s="3"/>
    </row>
    <row r="5005">
      <c r="A5005" s="3"/>
      <c r="B5005" s="3"/>
      <c r="C5005" s="3"/>
      <c r="D5005" s="3"/>
      <c r="E5005" s="3"/>
      <c r="F5005" s="3"/>
      <c r="G5005" s="3"/>
      <c r="H5005" s="3"/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3"/>
      <c r="V5005" s="3"/>
      <c r="W5005" s="3"/>
      <c r="X5005" s="3"/>
      <c r="Y5005" s="3"/>
    </row>
    <row r="5006">
      <c r="A5006" s="3"/>
      <c r="B5006" s="3"/>
      <c r="C5006" s="3"/>
      <c r="D5006" s="3"/>
      <c r="E5006" s="3"/>
      <c r="F5006" s="3"/>
      <c r="G5006" s="3"/>
      <c r="H5006" s="3"/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3"/>
      <c r="V5006" s="3"/>
      <c r="W5006" s="3"/>
      <c r="X5006" s="3"/>
      <c r="Y5006" s="3"/>
    </row>
    <row r="5007">
      <c r="A5007" s="3"/>
      <c r="B5007" s="3"/>
      <c r="C5007" s="3"/>
      <c r="D5007" s="3"/>
      <c r="E5007" s="3"/>
      <c r="F5007" s="3"/>
      <c r="G5007" s="3"/>
      <c r="H5007" s="3"/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  <c r="T5007" s="3"/>
      <c r="U5007" s="3"/>
      <c r="V5007" s="3"/>
      <c r="W5007" s="3"/>
      <c r="X5007" s="3"/>
      <c r="Y5007" s="3"/>
    </row>
    <row r="5008">
      <c r="A5008" s="3"/>
      <c r="B5008" s="3"/>
      <c r="C5008" s="3"/>
      <c r="D5008" s="3"/>
      <c r="E5008" s="3"/>
      <c r="F5008" s="3"/>
      <c r="G5008" s="3"/>
      <c r="H5008" s="3"/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  <c r="T5008" s="3"/>
      <c r="U5008" s="3"/>
      <c r="V5008" s="3"/>
      <c r="W5008" s="3"/>
      <c r="X5008" s="3"/>
      <c r="Y5008" s="3"/>
    </row>
    <row r="5009">
      <c r="A5009" s="3"/>
      <c r="B5009" s="3"/>
      <c r="C5009" s="3"/>
      <c r="D5009" s="3"/>
      <c r="E5009" s="3"/>
      <c r="F5009" s="3"/>
      <c r="G5009" s="3"/>
      <c r="H5009" s="3"/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3"/>
      <c r="V5009" s="3"/>
      <c r="W5009" s="3"/>
      <c r="X5009" s="3"/>
      <c r="Y5009" s="3"/>
    </row>
    <row r="5010">
      <c r="A5010" s="3"/>
      <c r="B5010" s="3"/>
      <c r="C5010" s="3"/>
      <c r="D5010" s="3"/>
      <c r="E5010" s="3"/>
      <c r="F5010" s="3"/>
      <c r="G5010" s="3"/>
      <c r="H5010" s="3"/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  <c r="T5010" s="3"/>
      <c r="U5010" s="3"/>
      <c r="V5010" s="3"/>
      <c r="W5010" s="3"/>
      <c r="X5010" s="3"/>
      <c r="Y5010" s="3"/>
    </row>
    <row r="5011">
      <c r="A5011" s="3"/>
      <c r="B5011" s="3"/>
      <c r="C5011" s="3"/>
      <c r="D5011" s="3"/>
      <c r="E5011" s="3"/>
      <c r="F5011" s="3"/>
      <c r="G5011" s="3"/>
      <c r="H5011" s="3"/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  <c r="T5011" s="3"/>
      <c r="U5011" s="3"/>
      <c r="V5011" s="3"/>
      <c r="W5011" s="3"/>
      <c r="X5011" s="3"/>
      <c r="Y5011" s="3"/>
    </row>
    <row r="5012">
      <c r="A5012" s="3"/>
      <c r="B5012" s="3"/>
      <c r="C5012" s="3"/>
      <c r="D5012" s="3"/>
      <c r="E5012" s="3"/>
      <c r="F5012" s="3"/>
      <c r="G5012" s="3"/>
      <c r="H5012" s="3"/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  <c r="T5012" s="3"/>
      <c r="U5012" s="3"/>
      <c r="V5012" s="3"/>
      <c r="W5012" s="3"/>
      <c r="X5012" s="3"/>
      <c r="Y5012" s="3"/>
    </row>
    <row r="5013">
      <c r="A5013" s="3"/>
      <c r="B5013" s="3"/>
      <c r="C5013" s="3"/>
      <c r="D5013" s="3"/>
      <c r="E5013" s="3"/>
      <c r="F5013" s="3"/>
      <c r="G5013" s="3"/>
      <c r="H5013" s="3"/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  <c r="T5013" s="3"/>
      <c r="U5013" s="3"/>
      <c r="V5013" s="3"/>
      <c r="W5013" s="3"/>
      <c r="X5013" s="3"/>
      <c r="Y5013" s="3"/>
    </row>
    <row r="5014">
      <c r="A5014" s="3"/>
      <c r="B5014" s="3"/>
      <c r="C5014" s="3"/>
      <c r="D5014" s="3"/>
      <c r="E5014" s="3"/>
      <c r="F5014" s="3"/>
      <c r="G5014" s="3"/>
      <c r="H5014" s="3"/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  <c r="T5014" s="3"/>
      <c r="U5014" s="3"/>
      <c r="V5014" s="3"/>
      <c r="W5014" s="3"/>
      <c r="X5014" s="3"/>
      <c r="Y5014" s="3"/>
    </row>
    <row r="5015">
      <c r="A5015" s="3"/>
      <c r="B5015" s="3"/>
      <c r="C5015" s="3"/>
      <c r="D5015" s="3"/>
      <c r="E5015" s="3"/>
      <c r="F5015" s="3"/>
      <c r="G5015" s="3"/>
      <c r="H5015" s="3"/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3"/>
      <c r="V5015" s="3"/>
      <c r="W5015" s="3"/>
      <c r="X5015" s="3"/>
      <c r="Y5015" s="3"/>
    </row>
    <row r="5016">
      <c r="A5016" s="3"/>
      <c r="B5016" s="3"/>
      <c r="C5016" s="3"/>
      <c r="D5016" s="3"/>
      <c r="E5016" s="3"/>
      <c r="F5016" s="3"/>
      <c r="G5016" s="3"/>
      <c r="H5016" s="3"/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  <c r="T5016" s="3"/>
      <c r="U5016" s="3"/>
      <c r="V5016" s="3"/>
      <c r="W5016" s="3"/>
      <c r="X5016" s="3"/>
      <c r="Y5016" s="3"/>
    </row>
    <row r="5017">
      <c r="A5017" s="3"/>
      <c r="B5017" s="3"/>
      <c r="C5017" s="3"/>
      <c r="D5017" s="3"/>
      <c r="E5017" s="3"/>
      <c r="F5017" s="3"/>
      <c r="G5017" s="3"/>
      <c r="H5017" s="3"/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  <c r="T5017" s="3"/>
      <c r="U5017" s="3"/>
      <c r="V5017" s="3"/>
      <c r="W5017" s="3"/>
      <c r="X5017" s="3"/>
      <c r="Y5017" s="3"/>
    </row>
    <row r="5018">
      <c r="A5018" s="3"/>
      <c r="B5018" s="3"/>
      <c r="C5018" s="3"/>
      <c r="D5018" s="3"/>
      <c r="E5018" s="3"/>
      <c r="F5018" s="3"/>
      <c r="G5018" s="3"/>
      <c r="H5018" s="3"/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3"/>
      <c r="V5018" s="3"/>
      <c r="W5018" s="3"/>
      <c r="X5018" s="3"/>
      <c r="Y5018" s="3"/>
    </row>
    <row r="5019">
      <c r="A5019" s="3"/>
      <c r="B5019" s="3"/>
      <c r="C5019" s="3"/>
      <c r="D5019" s="3"/>
      <c r="E5019" s="3"/>
      <c r="F5019" s="3"/>
      <c r="G5019" s="3"/>
      <c r="H5019" s="3"/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3"/>
      <c r="V5019" s="3"/>
      <c r="W5019" s="3"/>
      <c r="X5019" s="3"/>
      <c r="Y5019" s="3"/>
    </row>
    <row r="5020">
      <c r="A5020" s="3"/>
      <c r="B5020" s="3"/>
      <c r="C5020" s="3"/>
      <c r="D5020" s="3"/>
      <c r="E5020" s="3"/>
      <c r="F5020" s="3"/>
      <c r="G5020" s="3"/>
      <c r="H5020" s="3"/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  <c r="T5020" s="3"/>
      <c r="U5020" s="3"/>
      <c r="V5020" s="3"/>
      <c r="W5020" s="3"/>
      <c r="X5020" s="3"/>
      <c r="Y5020" s="3"/>
    </row>
    <row r="5021">
      <c r="A5021" s="3"/>
      <c r="B5021" s="3"/>
      <c r="C5021" s="3"/>
      <c r="D5021" s="3"/>
      <c r="E5021" s="3"/>
      <c r="F5021" s="3"/>
      <c r="G5021" s="3"/>
      <c r="H5021" s="3"/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  <c r="T5021" s="3"/>
      <c r="U5021" s="3"/>
      <c r="V5021" s="3"/>
      <c r="W5021" s="3"/>
      <c r="X5021" s="3"/>
      <c r="Y5021" s="3"/>
    </row>
    <row r="5022">
      <c r="A5022" s="3"/>
      <c r="B5022" s="3"/>
      <c r="C5022" s="3"/>
      <c r="D5022" s="3"/>
      <c r="E5022" s="3"/>
      <c r="F5022" s="3"/>
      <c r="G5022" s="3"/>
      <c r="H5022" s="3"/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  <c r="T5022" s="3"/>
      <c r="U5022" s="3"/>
      <c r="V5022" s="3"/>
      <c r="W5022" s="3"/>
      <c r="X5022" s="3"/>
      <c r="Y5022" s="3"/>
    </row>
    <row r="5023">
      <c r="A5023" s="3"/>
      <c r="B5023" s="3"/>
      <c r="C5023" s="3"/>
      <c r="D5023" s="3"/>
      <c r="E5023" s="3"/>
      <c r="F5023" s="3"/>
      <c r="G5023" s="3"/>
      <c r="H5023" s="3"/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  <c r="T5023" s="3"/>
      <c r="U5023" s="3"/>
      <c r="V5023" s="3"/>
      <c r="W5023" s="3"/>
      <c r="X5023" s="3"/>
      <c r="Y5023" s="3"/>
    </row>
    <row r="5024">
      <c r="A5024" s="3"/>
      <c r="B5024" s="3"/>
      <c r="C5024" s="3"/>
      <c r="D5024" s="3"/>
      <c r="E5024" s="3"/>
      <c r="F5024" s="3"/>
      <c r="G5024" s="3"/>
      <c r="H5024" s="3"/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  <c r="T5024" s="3"/>
      <c r="U5024" s="3"/>
      <c r="V5024" s="3"/>
      <c r="W5024" s="3"/>
      <c r="X5024" s="3"/>
      <c r="Y5024" s="3"/>
    </row>
    <row r="5025">
      <c r="A5025" s="3"/>
      <c r="B5025" s="3"/>
      <c r="C5025" s="3"/>
      <c r="D5025" s="3"/>
      <c r="E5025" s="3"/>
      <c r="F5025" s="3"/>
      <c r="G5025" s="3"/>
      <c r="H5025" s="3"/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3"/>
      <c r="V5025" s="3"/>
      <c r="W5025" s="3"/>
      <c r="X5025" s="3"/>
      <c r="Y5025" s="3"/>
    </row>
    <row r="5026">
      <c r="A5026" s="3"/>
      <c r="B5026" s="3"/>
      <c r="C5026" s="3"/>
      <c r="D5026" s="3"/>
      <c r="E5026" s="3"/>
      <c r="F5026" s="3"/>
      <c r="G5026" s="3"/>
      <c r="H5026" s="3"/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  <c r="T5026" s="3"/>
      <c r="U5026" s="3"/>
      <c r="V5026" s="3"/>
      <c r="W5026" s="3"/>
      <c r="X5026" s="3"/>
      <c r="Y5026" s="3"/>
    </row>
    <row r="5027">
      <c r="A5027" s="3"/>
      <c r="B5027" s="3"/>
      <c r="C5027" s="3"/>
      <c r="D5027" s="3"/>
      <c r="E5027" s="3"/>
      <c r="F5027" s="3"/>
      <c r="G5027" s="3"/>
      <c r="H5027" s="3"/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  <c r="T5027" s="3"/>
      <c r="U5027" s="3"/>
      <c r="V5027" s="3"/>
      <c r="W5027" s="3"/>
      <c r="X5027" s="3"/>
      <c r="Y5027" s="3"/>
    </row>
    <row r="5028">
      <c r="A5028" s="3"/>
      <c r="B5028" s="3"/>
      <c r="C5028" s="3"/>
      <c r="D5028" s="3"/>
      <c r="E5028" s="3"/>
      <c r="F5028" s="3"/>
      <c r="G5028" s="3"/>
      <c r="H5028" s="3"/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  <c r="T5028" s="3"/>
      <c r="U5028" s="3"/>
      <c r="V5028" s="3"/>
      <c r="W5028" s="3"/>
      <c r="X5028" s="3"/>
      <c r="Y5028" s="3"/>
    </row>
    <row r="5029">
      <c r="A5029" s="3"/>
      <c r="B5029" s="3"/>
      <c r="C5029" s="3"/>
      <c r="D5029" s="3"/>
      <c r="E5029" s="3"/>
      <c r="F5029" s="3"/>
      <c r="G5029" s="3"/>
      <c r="H5029" s="3"/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  <c r="T5029" s="3"/>
      <c r="U5029" s="3"/>
      <c r="V5029" s="3"/>
      <c r="W5029" s="3"/>
      <c r="X5029" s="3"/>
      <c r="Y5029" s="3"/>
    </row>
    <row r="5030">
      <c r="A5030" s="3"/>
      <c r="B5030" s="3"/>
      <c r="C5030" s="3"/>
      <c r="D5030" s="3"/>
      <c r="E5030" s="3"/>
      <c r="F5030" s="3"/>
      <c r="G5030" s="3"/>
      <c r="H5030" s="3"/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  <c r="T5030" s="3"/>
      <c r="U5030" s="3"/>
      <c r="V5030" s="3"/>
      <c r="W5030" s="3"/>
      <c r="X5030" s="3"/>
      <c r="Y5030" s="3"/>
    </row>
    <row r="5031">
      <c r="A5031" s="3"/>
      <c r="B5031" s="3"/>
      <c r="C5031" s="3"/>
      <c r="D5031" s="3"/>
      <c r="E5031" s="3"/>
      <c r="F5031" s="3"/>
      <c r="G5031" s="3"/>
      <c r="H5031" s="3"/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  <c r="T5031" s="3"/>
      <c r="U5031" s="3"/>
      <c r="V5031" s="3"/>
      <c r="W5031" s="3"/>
      <c r="X5031" s="3"/>
      <c r="Y5031" s="3"/>
    </row>
    <row r="5032">
      <c r="A5032" s="3"/>
      <c r="B5032" s="3"/>
      <c r="C5032" s="3"/>
      <c r="D5032" s="3"/>
      <c r="E5032" s="3"/>
      <c r="F5032" s="3"/>
      <c r="G5032" s="3"/>
      <c r="H5032" s="3"/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  <c r="T5032" s="3"/>
      <c r="U5032" s="3"/>
      <c r="V5032" s="3"/>
      <c r="W5032" s="3"/>
      <c r="X5032" s="3"/>
      <c r="Y5032" s="3"/>
    </row>
    <row r="5033">
      <c r="A5033" s="3"/>
      <c r="B5033" s="3"/>
      <c r="C5033" s="3"/>
      <c r="D5033" s="3"/>
      <c r="E5033" s="3"/>
      <c r="F5033" s="3"/>
      <c r="G5033" s="3"/>
      <c r="H5033" s="3"/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  <c r="T5033" s="3"/>
      <c r="U5033" s="3"/>
      <c r="V5033" s="3"/>
      <c r="W5033" s="3"/>
      <c r="X5033" s="3"/>
      <c r="Y5033" s="3"/>
    </row>
    <row r="5034">
      <c r="A5034" s="3"/>
      <c r="B5034" s="3"/>
      <c r="C5034" s="3"/>
      <c r="D5034" s="3"/>
      <c r="E5034" s="3"/>
      <c r="F5034" s="3"/>
      <c r="G5034" s="3"/>
      <c r="H5034" s="3"/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3"/>
      <c r="V5034" s="3"/>
      <c r="W5034" s="3"/>
      <c r="X5034" s="3"/>
      <c r="Y5034" s="3"/>
    </row>
    <row r="5035">
      <c r="A5035" s="3"/>
      <c r="B5035" s="3"/>
      <c r="C5035" s="3"/>
      <c r="D5035" s="3"/>
      <c r="E5035" s="3"/>
      <c r="F5035" s="3"/>
      <c r="G5035" s="3"/>
      <c r="H5035" s="3"/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3"/>
      <c r="V5035" s="3"/>
      <c r="W5035" s="3"/>
      <c r="X5035" s="3"/>
      <c r="Y5035" s="3"/>
    </row>
    <row r="5036">
      <c r="A5036" s="3"/>
      <c r="B5036" s="3"/>
      <c r="C5036" s="3"/>
      <c r="D5036" s="3"/>
      <c r="E5036" s="3"/>
      <c r="F5036" s="3"/>
      <c r="G5036" s="3"/>
      <c r="H5036" s="3"/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  <c r="T5036" s="3"/>
      <c r="U5036" s="3"/>
      <c r="V5036" s="3"/>
      <c r="W5036" s="3"/>
      <c r="X5036" s="3"/>
      <c r="Y5036" s="3"/>
    </row>
    <row r="5037">
      <c r="A5037" s="3"/>
      <c r="B5037" s="3"/>
      <c r="C5037" s="3"/>
      <c r="D5037" s="3"/>
      <c r="E5037" s="3"/>
      <c r="F5037" s="3"/>
      <c r="G5037" s="3"/>
      <c r="H5037" s="3"/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  <c r="T5037" s="3"/>
      <c r="U5037" s="3"/>
      <c r="V5037" s="3"/>
      <c r="W5037" s="3"/>
      <c r="X5037" s="3"/>
      <c r="Y5037" s="3"/>
    </row>
    <row r="5038">
      <c r="A5038" s="3"/>
      <c r="B5038" s="3"/>
      <c r="C5038" s="3"/>
      <c r="D5038" s="3"/>
      <c r="E5038" s="3"/>
      <c r="F5038" s="3"/>
      <c r="G5038" s="3"/>
      <c r="H5038" s="3"/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  <c r="T5038" s="3"/>
      <c r="U5038" s="3"/>
      <c r="V5038" s="3"/>
      <c r="W5038" s="3"/>
      <c r="X5038" s="3"/>
      <c r="Y5038" s="3"/>
    </row>
    <row r="5039">
      <c r="A5039" s="3"/>
      <c r="B5039" s="3"/>
      <c r="C5039" s="3"/>
      <c r="D5039" s="3"/>
      <c r="E5039" s="3"/>
      <c r="F5039" s="3"/>
      <c r="G5039" s="3"/>
      <c r="H5039" s="3"/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  <c r="T5039" s="3"/>
      <c r="U5039" s="3"/>
      <c r="V5039" s="3"/>
      <c r="W5039" s="3"/>
      <c r="X5039" s="3"/>
      <c r="Y5039" s="3"/>
    </row>
    <row r="5040">
      <c r="A5040" s="3"/>
      <c r="B5040" s="3"/>
      <c r="C5040" s="3"/>
      <c r="D5040" s="3"/>
      <c r="E5040" s="3"/>
      <c r="F5040" s="3"/>
      <c r="G5040" s="3"/>
      <c r="H5040" s="3"/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  <c r="T5040" s="3"/>
      <c r="U5040" s="3"/>
      <c r="V5040" s="3"/>
      <c r="W5040" s="3"/>
      <c r="X5040" s="3"/>
      <c r="Y5040" s="3"/>
    </row>
    <row r="5041">
      <c r="A5041" s="3"/>
      <c r="B5041" s="3"/>
      <c r="C5041" s="3"/>
      <c r="D5041" s="3"/>
      <c r="E5041" s="3"/>
      <c r="F5041" s="3"/>
      <c r="G5041" s="3"/>
      <c r="H5041" s="3"/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  <c r="T5041" s="3"/>
      <c r="U5041" s="3"/>
      <c r="V5041" s="3"/>
      <c r="W5041" s="3"/>
      <c r="X5041" s="3"/>
      <c r="Y5041" s="3"/>
    </row>
    <row r="5042">
      <c r="A5042" s="3"/>
      <c r="B5042" s="3"/>
      <c r="C5042" s="3"/>
      <c r="D5042" s="3"/>
      <c r="E5042" s="3"/>
      <c r="F5042" s="3"/>
      <c r="G5042" s="3"/>
      <c r="H5042" s="3"/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  <c r="T5042" s="3"/>
      <c r="U5042" s="3"/>
      <c r="V5042" s="3"/>
      <c r="W5042" s="3"/>
      <c r="X5042" s="3"/>
      <c r="Y5042" s="3"/>
    </row>
    <row r="5043">
      <c r="A5043" s="3"/>
      <c r="B5043" s="3"/>
      <c r="C5043" s="3"/>
      <c r="D5043" s="3"/>
      <c r="E5043" s="3"/>
      <c r="F5043" s="3"/>
      <c r="G5043" s="3"/>
      <c r="H5043" s="3"/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  <c r="T5043" s="3"/>
      <c r="U5043" s="3"/>
      <c r="V5043" s="3"/>
      <c r="W5043" s="3"/>
      <c r="X5043" s="3"/>
      <c r="Y5043" s="3"/>
    </row>
    <row r="5044">
      <c r="A5044" s="3"/>
      <c r="B5044" s="3"/>
      <c r="C5044" s="3"/>
      <c r="D5044" s="3"/>
      <c r="E5044" s="3"/>
      <c r="F5044" s="3"/>
      <c r="G5044" s="3"/>
      <c r="H5044" s="3"/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  <c r="T5044" s="3"/>
      <c r="U5044" s="3"/>
      <c r="V5044" s="3"/>
      <c r="W5044" s="3"/>
      <c r="X5044" s="3"/>
      <c r="Y5044" s="3"/>
    </row>
    <row r="5045">
      <c r="A5045" s="3"/>
      <c r="B5045" s="3"/>
      <c r="C5045" s="3"/>
      <c r="D5045" s="3"/>
      <c r="E5045" s="3"/>
      <c r="F5045" s="3"/>
      <c r="G5045" s="3"/>
      <c r="H5045" s="3"/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  <c r="T5045" s="3"/>
      <c r="U5045" s="3"/>
      <c r="V5045" s="3"/>
      <c r="W5045" s="3"/>
      <c r="X5045" s="3"/>
      <c r="Y5045" s="3"/>
    </row>
    <row r="5046">
      <c r="A5046" s="3"/>
      <c r="B5046" s="3"/>
      <c r="C5046" s="3"/>
      <c r="D5046" s="3"/>
      <c r="E5046" s="3"/>
      <c r="F5046" s="3"/>
      <c r="G5046" s="3"/>
      <c r="H5046" s="3"/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  <c r="T5046" s="3"/>
      <c r="U5046" s="3"/>
      <c r="V5046" s="3"/>
      <c r="W5046" s="3"/>
      <c r="X5046" s="3"/>
      <c r="Y5046" s="3"/>
    </row>
    <row r="5047">
      <c r="A5047" s="3"/>
      <c r="B5047" s="3"/>
      <c r="C5047" s="3"/>
      <c r="D5047" s="3"/>
      <c r="E5047" s="3"/>
      <c r="F5047" s="3"/>
      <c r="G5047" s="3"/>
      <c r="H5047" s="3"/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  <c r="T5047" s="3"/>
      <c r="U5047" s="3"/>
      <c r="V5047" s="3"/>
      <c r="W5047" s="3"/>
      <c r="X5047" s="3"/>
      <c r="Y5047" s="3"/>
    </row>
    <row r="5048">
      <c r="A5048" s="3"/>
      <c r="B5048" s="3"/>
      <c r="C5048" s="3"/>
      <c r="D5048" s="3"/>
      <c r="E5048" s="3"/>
      <c r="F5048" s="3"/>
      <c r="G5048" s="3"/>
      <c r="H5048" s="3"/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  <c r="T5048" s="3"/>
      <c r="U5048" s="3"/>
      <c r="V5048" s="3"/>
      <c r="W5048" s="3"/>
      <c r="X5048" s="3"/>
      <c r="Y5048" s="3"/>
    </row>
    <row r="5049">
      <c r="A5049" s="3"/>
      <c r="B5049" s="3"/>
      <c r="C5049" s="3"/>
      <c r="D5049" s="3"/>
      <c r="E5049" s="3"/>
      <c r="F5049" s="3"/>
      <c r="G5049" s="3"/>
      <c r="H5049" s="3"/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  <c r="T5049" s="3"/>
      <c r="U5049" s="3"/>
      <c r="V5049" s="3"/>
      <c r="W5049" s="3"/>
      <c r="X5049" s="3"/>
      <c r="Y5049" s="3"/>
    </row>
    <row r="5050">
      <c r="A5050" s="3"/>
      <c r="B5050" s="3"/>
      <c r="C5050" s="3"/>
      <c r="D5050" s="3"/>
      <c r="E5050" s="3"/>
      <c r="F5050" s="3"/>
      <c r="G5050" s="3"/>
      <c r="H5050" s="3"/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  <c r="T5050" s="3"/>
      <c r="U5050" s="3"/>
      <c r="V5050" s="3"/>
      <c r="W5050" s="3"/>
      <c r="X5050" s="3"/>
      <c r="Y5050" s="3"/>
    </row>
    <row r="5051">
      <c r="A5051" s="3"/>
      <c r="B5051" s="3"/>
      <c r="C5051" s="3"/>
      <c r="D5051" s="3"/>
      <c r="E5051" s="3"/>
      <c r="F5051" s="3"/>
      <c r="G5051" s="3"/>
      <c r="H5051" s="3"/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  <c r="T5051" s="3"/>
      <c r="U5051" s="3"/>
      <c r="V5051" s="3"/>
      <c r="W5051" s="3"/>
      <c r="X5051" s="3"/>
      <c r="Y5051" s="3"/>
    </row>
    <row r="5052">
      <c r="A5052" s="3"/>
      <c r="B5052" s="3"/>
      <c r="C5052" s="3"/>
      <c r="D5052" s="3"/>
      <c r="E5052" s="3"/>
      <c r="F5052" s="3"/>
      <c r="G5052" s="3"/>
      <c r="H5052" s="3"/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  <c r="T5052" s="3"/>
      <c r="U5052" s="3"/>
      <c r="V5052" s="3"/>
      <c r="W5052" s="3"/>
      <c r="X5052" s="3"/>
      <c r="Y5052" s="3"/>
    </row>
    <row r="5053">
      <c r="A5053" s="3"/>
      <c r="B5053" s="3"/>
      <c r="C5053" s="3"/>
      <c r="D5053" s="3"/>
      <c r="E5053" s="3"/>
      <c r="F5053" s="3"/>
      <c r="G5053" s="3"/>
      <c r="H5053" s="3"/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3"/>
      <c r="V5053" s="3"/>
      <c r="W5053" s="3"/>
      <c r="X5053" s="3"/>
      <c r="Y5053" s="3"/>
    </row>
    <row r="5054">
      <c r="A5054" s="3"/>
      <c r="B5054" s="3"/>
      <c r="C5054" s="3"/>
      <c r="D5054" s="3"/>
      <c r="E5054" s="3"/>
      <c r="F5054" s="3"/>
      <c r="G5054" s="3"/>
      <c r="H5054" s="3"/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  <c r="T5054" s="3"/>
      <c r="U5054" s="3"/>
      <c r="V5054" s="3"/>
      <c r="W5054" s="3"/>
      <c r="X5054" s="3"/>
      <c r="Y5054" s="3"/>
    </row>
    <row r="5055">
      <c r="A5055" s="3"/>
      <c r="B5055" s="3"/>
      <c r="C5055" s="3"/>
      <c r="D5055" s="3"/>
      <c r="E5055" s="3"/>
      <c r="F5055" s="3"/>
      <c r="G5055" s="3"/>
      <c r="H5055" s="3"/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  <c r="T5055" s="3"/>
      <c r="U5055" s="3"/>
      <c r="V5055" s="3"/>
      <c r="W5055" s="3"/>
      <c r="X5055" s="3"/>
      <c r="Y5055" s="3"/>
    </row>
    <row r="5056">
      <c r="A5056" s="3"/>
      <c r="B5056" s="3"/>
      <c r="C5056" s="3"/>
      <c r="D5056" s="3"/>
      <c r="E5056" s="3"/>
      <c r="F5056" s="3"/>
      <c r="G5056" s="3"/>
      <c r="H5056" s="3"/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  <c r="T5056" s="3"/>
      <c r="U5056" s="3"/>
      <c r="V5056" s="3"/>
      <c r="W5056" s="3"/>
      <c r="X5056" s="3"/>
      <c r="Y5056" s="3"/>
    </row>
    <row r="5057">
      <c r="A5057" s="3"/>
      <c r="B5057" s="3"/>
      <c r="C5057" s="3"/>
      <c r="D5057" s="3"/>
      <c r="E5057" s="3"/>
      <c r="F5057" s="3"/>
      <c r="G5057" s="3"/>
      <c r="H5057" s="3"/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  <c r="T5057" s="3"/>
      <c r="U5057" s="3"/>
      <c r="V5057" s="3"/>
      <c r="W5057" s="3"/>
      <c r="X5057" s="3"/>
      <c r="Y5057" s="3"/>
    </row>
    <row r="5058">
      <c r="A5058" s="3"/>
      <c r="B5058" s="3"/>
      <c r="C5058" s="3"/>
      <c r="D5058" s="3"/>
      <c r="E5058" s="3"/>
      <c r="F5058" s="3"/>
      <c r="G5058" s="3"/>
      <c r="H5058" s="3"/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  <c r="T5058" s="3"/>
      <c r="U5058" s="3"/>
      <c r="V5058" s="3"/>
      <c r="W5058" s="3"/>
      <c r="X5058" s="3"/>
      <c r="Y5058" s="3"/>
    </row>
    <row r="5059">
      <c r="A5059" s="3"/>
      <c r="B5059" s="3"/>
      <c r="C5059" s="3"/>
      <c r="D5059" s="3"/>
      <c r="E5059" s="3"/>
      <c r="F5059" s="3"/>
      <c r="G5059" s="3"/>
      <c r="H5059" s="3"/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3"/>
      <c r="V5059" s="3"/>
      <c r="W5059" s="3"/>
      <c r="X5059" s="3"/>
      <c r="Y5059" s="3"/>
    </row>
    <row r="5060">
      <c r="A5060" s="3"/>
      <c r="B5060" s="3"/>
      <c r="C5060" s="3"/>
      <c r="D5060" s="3"/>
      <c r="E5060" s="3"/>
      <c r="F5060" s="3"/>
      <c r="G5060" s="3"/>
      <c r="H5060" s="3"/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3"/>
      <c r="V5060" s="3"/>
      <c r="W5060" s="3"/>
      <c r="X5060" s="3"/>
      <c r="Y5060" s="3"/>
    </row>
    <row r="5061">
      <c r="A5061" s="3"/>
      <c r="B5061" s="3"/>
      <c r="C5061" s="3"/>
      <c r="D5061" s="3"/>
      <c r="E5061" s="3"/>
      <c r="F5061" s="3"/>
      <c r="G5061" s="3"/>
      <c r="H5061" s="3"/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  <c r="T5061" s="3"/>
      <c r="U5061" s="3"/>
      <c r="V5061" s="3"/>
      <c r="W5061" s="3"/>
      <c r="X5061" s="3"/>
      <c r="Y5061" s="3"/>
    </row>
    <row r="5062">
      <c r="A5062" s="3"/>
      <c r="B5062" s="3"/>
      <c r="C5062" s="3"/>
      <c r="D5062" s="3"/>
      <c r="E5062" s="3"/>
      <c r="F5062" s="3"/>
      <c r="G5062" s="3"/>
      <c r="H5062" s="3"/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3"/>
      <c r="V5062" s="3"/>
      <c r="W5062" s="3"/>
      <c r="X5062" s="3"/>
      <c r="Y5062" s="3"/>
    </row>
    <row r="5063">
      <c r="A5063" s="3"/>
      <c r="B5063" s="3"/>
      <c r="C5063" s="3"/>
      <c r="D5063" s="3"/>
      <c r="E5063" s="3"/>
      <c r="F5063" s="3"/>
      <c r="G5063" s="3"/>
      <c r="H5063" s="3"/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  <c r="T5063" s="3"/>
      <c r="U5063" s="3"/>
      <c r="V5063" s="3"/>
      <c r="W5063" s="3"/>
      <c r="X5063" s="3"/>
      <c r="Y5063" s="3"/>
    </row>
    <row r="5064">
      <c r="A5064" s="3"/>
      <c r="B5064" s="3"/>
      <c r="C5064" s="3"/>
      <c r="D5064" s="3"/>
      <c r="E5064" s="3"/>
      <c r="F5064" s="3"/>
      <c r="G5064" s="3"/>
      <c r="H5064" s="3"/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  <c r="T5064" s="3"/>
      <c r="U5064" s="3"/>
      <c r="V5064" s="3"/>
      <c r="W5064" s="3"/>
      <c r="X5064" s="3"/>
      <c r="Y5064" s="3"/>
    </row>
    <row r="5065">
      <c r="A5065" s="3"/>
      <c r="B5065" s="3"/>
      <c r="C5065" s="3"/>
      <c r="D5065" s="3"/>
      <c r="E5065" s="3"/>
      <c r="F5065" s="3"/>
      <c r="G5065" s="3"/>
      <c r="H5065" s="3"/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  <c r="T5065" s="3"/>
      <c r="U5065" s="3"/>
      <c r="V5065" s="3"/>
      <c r="W5065" s="3"/>
      <c r="X5065" s="3"/>
      <c r="Y5065" s="3"/>
    </row>
    <row r="5066">
      <c r="A5066" s="3"/>
      <c r="B5066" s="3"/>
      <c r="C5066" s="3"/>
      <c r="D5066" s="3"/>
      <c r="E5066" s="3"/>
      <c r="F5066" s="3"/>
      <c r="G5066" s="3"/>
      <c r="H5066" s="3"/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  <c r="T5066" s="3"/>
      <c r="U5066" s="3"/>
      <c r="V5066" s="3"/>
      <c r="W5066" s="3"/>
      <c r="X5066" s="3"/>
      <c r="Y5066" s="3"/>
    </row>
    <row r="5067">
      <c r="A5067" s="3"/>
      <c r="B5067" s="3"/>
      <c r="C5067" s="3"/>
      <c r="D5067" s="3"/>
      <c r="E5067" s="3"/>
      <c r="F5067" s="3"/>
      <c r="G5067" s="3"/>
      <c r="H5067" s="3"/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  <c r="T5067" s="3"/>
      <c r="U5067" s="3"/>
      <c r="V5067" s="3"/>
      <c r="W5067" s="3"/>
      <c r="X5067" s="3"/>
      <c r="Y5067" s="3"/>
    </row>
    <row r="5068">
      <c r="A5068" s="3"/>
      <c r="B5068" s="3"/>
      <c r="C5068" s="3"/>
      <c r="D5068" s="3"/>
      <c r="E5068" s="3"/>
      <c r="F5068" s="3"/>
      <c r="G5068" s="3"/>
      <c r="H5068" s="3"/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  <c r="T5068" s="3"/>
      <c r="U5068" s="3"/>
      <c r="V5068" s="3"/>
      <c r="W5068" s="3"/>
      <c r="X5068" s="3"/>
      <c r="Y5068" s="3"/>
    </row>
    <row r="5069">
      <c r="A5069" s="3"/>
      <c r="B5069" s="3"/>
      <c r="C5069" s="3"/>
      <c r="D5069" s="3"/>
      <c r="E5069" s="3"/>
      <c r="F5069" s="3"/>
      <c r="G5069" s="3"/>
      <c r="H5069" s="3"/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  <c r="T5069" s="3"/>
      <c r="U5069" s="3"/>
      <c r="V5069" s="3"/>
      <c r="W5069" s="3"/>
      <c r="X5069" s="3"/>
      <c r="Y5069" s="3"/>
    </row>
    <row r="5070">
      <c r="A5070" s="3"/>
      <c r="B5070" s="3"/>
      <c r="C5070" s="3"/>
      <c r="D5070" s="3"/>
      <c r="E5070" s="3"/>
      <c r="F5070" s="3"/>
      <c r="G5070" s="3"/>
      <c r="H5070" s="3"/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3"/>
      <c r="V5070" s="3"/>
      <c r="W5070" s="3"/>
      <c r="X5070" s="3"/>
      <c r="Y5070" s="3"/>
    </row>
    <row r="5071">
      <c r="A5071" s="3"/>
      <c r="B5071" s="3"/>
      <c r="C5071" s="3"/>
      <c r="D5071" s="3"/>
      <c r="E5071" s="3"/>
      <c r="F5071" s="3"/>
      <c r="G5071" s="3"/>
      <c r="H5071" s="3"/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  <c r="T5071" s="3"/>
      <c r="U5071" s="3"/>
      <c r="V5071" s="3"/>
      <c r="W5071" s="3"/>
      <c r="X5071" s="3"/>
      <c r="Y5071" s="3"/>
    </row>
    <row r="5072">
      <c r="A5072" s="3"/>
      <c r="B5072" s="3"/>
      <c r="C5072" s="3"/>
      <c r="D5072" s="3"/>
      <c r="E5072" s="3"/>
      <c r="F5072" s="3"/>
      <c r="G5072" s="3"/>
      <c r="H5072" s="3"/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  <c r="T5072" s="3"/>
      <c r="U5072" s="3"/>
      <c r="V5072" s="3"/>
      <c r="W5072" s="3"/>
      <c r="X5072" s="3"/>
      <c r="Y5072" s="3"/>
    </row>
    <row r="5073">
      <c r="A5073" s="3"/>
      <c r="B5073" s="3"/>
      <c r="C5073" s="3"/>
      <c r="D5073" s="3"/>
      <c r="E5073" s="3"/>
      <c r="F5073" s="3"/>
      <c r="G5073" s="3"/>
      <c r="H5073" s="3"/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  <c r="T5073" s="3"/>
      <c r="U5073" s="3"/>
      <c r="V5073" s="3"/>
      <c r="W5073" s="3"/>
      <c r="X5073" s="3"/>
      <c r="Y5073" s="3"/>
    </row>
    <row r="5074">
      <c r="A5074" s="3"/>
      <c r="B5074" s="3"/>
      <c r="C5074" s="3"/>
      <c r="D5074" s="3"/>
      <c r="E5074" s="3"/>
      <c r="F5074" s="3"/>
      <c r="G5074" s="3"/>
      <c r="H5074" s="3"/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  <c r="T5074" s="3"/>
      <c r="U5074" s="3"/>
      <c r="V5074" s="3"/>
      <c r="W5074" s="3"/>
      <c r="X5074" s="3"/>
      <c r="Y5074" s="3"/>
    </row>
    <row r="5075">
      <c r="A5075" s="3"/>
      <c r="B5075" s="3"/>
      <c r="C5075" s="3"/>
      <c r="D5075" s="3"/>
      <c r="E5075" s="3"/>
      <c r="F5075" s="3"/>
      <c r="G5075" s="3"/>
      <c r="H5075" s="3"/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  <c r="T5075" s="3"/>
      <c r="U5075" s="3"/>
      <c r="V5075" s="3"/>
      <c r="W5075" s="3"/>
      <c r="X5075" s="3"/>
      <c r="Y5075" s="3"/>
    </row>
    <row r="5076">
      <c r="A5076" s="3"/>
      <c r="B5076" s="3"/>
      <c r="C5076" s="3"/>
      <c r="D5076" s="3"/>
      <c r="E5076" s="3"/>
      <c r="F5076" s="3"/>
      <c r="G5076" s="3"/>
      <c r="H5076" s="3"/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  <c r="T5076" s="3"/>
      <c r="U5076" s="3"/>
      <c r="V5076" s="3"/>
      <c r="W5076" s="3"/>
      <c r="X5076" s="3"/>
      <c r="Y5076" s="3"/>
    </row>
    <row r="5077">
      <c r="A5077" s="3"/>
      <c r="B5077" s="3"/>
      <c r="C5077" s="3"/>
      <c r="D5077" s="3"/>
      <c r="E5077" s="3"/>
      <c r="F5077" s="3"/>
      <c r="G5077" s="3"/>
      <c r="H5077" s="3"/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  <c r="T5077" s="3"/>
      <c r="U5077" s="3"/>
      <c r="V5077" s="3"/>
      <c r="W5077" s="3"/>
      <c r="X5077" s="3"/>
      <c r="Y5077" s="3"/>
    </row>
    <row r="5078">
      <c r="A5078" s="3"/>
      <c r="B5078" s="3"/>
      <c r="C5078" s="3"/>
      <c r="D5078" s="3"/>
      <c r="E5078" s="3"/>
      <c r="F5078" s="3"/>
      <c r="G5078" s="3"/>
      <c r="H5078" s="3"/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  <c r="T5078" s="3"/>
      <c r="U5078" s="3"/>
      <c r="V5078" s="3"/>
      <c r="W5078" s="3"/>
      <c r="X5078" s="3"/>
      <c r="Y5078" s="3"/>
    </row>
    <row r="5079">
      <c r="A5079" s="3"/>
      <c r="B5079" s="3"/>
      <c r="C5079" s="3"/>
      <c r="D5079" s="3"/>
      <c r="E5079" s="3"/>
      <c r="F5079" s="3"/>
      <c r="G5079" s="3"/>
      <c r="H5079" s="3"/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  <c r="T5079" s="3"/>
      <c r="U5079" s="3"/>
      <c r="V5079" s="3"/>
      <c r="W5079" s="3"/>
      <c r="X5079" s="3"/>
      <c r="Y5079" s="3"/>
    </row>
    <row r="5080">
      <c r="A5080" s="3"/>
      <c r="B5080" s="3"/>
      <c r="C5080" s="3"/>
      <c r="D5080" s="3"/>
      <c r="E5080" s="3"/>
      <c r="F5080" s="3"/>
      <c r="G5080" s="3"/>
      <c r="H5080" s="3"/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  <c r="T5080" s="3"/>
      <c r="U5080" s="3"/>
      <c r="V5080" s="3"/>
      <c r="W5080" s="3"/>
      <c r="X5080" s="3"/>
      <c r="Y5080" s="3"/>
    </row>
    <row r="5081">
      <c r="A5081" s="3"/>
      <c r="B5081" s="3"/>
      <c r="C5081" s="3"/>
      <c r="D5081" s="3"/>
      <c r="E5081" s="3"/>
      <c r="F5081" s="3"/>
      <c r="G5081" s="3"/>
      <c r="H5081" s="3"/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  <c r="T5081" s="3"/>
      <c r="U5081" s="3"/>
      <c r="V5081" s="3"/>
      <c r="W5081" s="3"/>
      <c r="X5081" s="3"/>
      <c r="Y5081" s="3"/>
    </row>
    <row r="5082">
      <c r="A5082" s="3"/>
      <c r="B5082" s="3"/>
      <c r="C5082" s="3"/>
      <c r="D5082" s="3"/>
      <c r="E5082" s="3"/>
      <c r="F5082" s="3"/>
      <c r="G5082" s="3"/>
      <c r="H5082" s="3"/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  <c r="T5082" s="3"/>
      <c r="U5082" s="3"/>
      <c r="V5082" s="3"/>
      <c r="W5082" s="3"/>
      <c r="X5082" s="3"/>
      <c r="Y5082" s="3"/>
    </row>
    <row r="5083">
      <c r="A5083" s="3"/>
      <c r="B5083" s="3"/>
      <c r="C5083" s="3"/>
      <c r="D5083" s="3"/>
      <c r="E5083" s="3"/>
      <c r="F5083" s="3"/>
      <c r="G5083" s="3"/>
      <c r="H5083" s="3"/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  <c r="T5083" s="3"/>
      <c r="U5083" s="3"/>
      <c r="V5083" s="3"/>
      <c r="W5083" s="3"/>
      <c r="X5083" s="3"/>
      <c r="Y5083" s="3"/>
    </row>
    <row r="5084">
      <c r="A5084" s="3"/>
      <c r="B5084" s="3"/>
      <c r="C5084" s="3"/>
      <c r="D5084" s="3"/>
      <c r="E5084" s="3"/>
      <c r="F5084" s="3"/>
      <c r="G5084" s="3"/>
      <c r="H5084" s="3"/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  <c r="T5084" s="3"/>
      <c r="U5084" s="3"/>
      <c r="V5084" s="3"/>
      <c r="W5084" s="3"/>
      <c r="X5084" s="3"/>
      <c r="Y5084" s="3"/>
    </row>
    <row r="5085">
      <c r="A5085" s="3"/>
      <c r="B5085" s="3"/>
      <c r="C5085" s="3"/>
      <c r="D5085" s="3"/>
      <c r="E5085" s="3"/>
      <c r="F5085" s="3"/>
      <c r="G5085" s="3"/>
      <c r="H5085" s="3"/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  <c r="T5085" s="3"/>
      <c r="U5085" s="3"/>
      <c r="V5085" s="3"/>
      <c r="W5085" s="3"/>
      <c r="X5085" s="3"/>
      <c r="Y5085" s="3"/>
    </row>
    <row r="5086">
      <c r="A5086" s="3"/>
      <c r="B5086" s="3"/>
      <c r="C5086" s="3"/>
      <c r="D5086" s="3"/>
      <c r="E5086" s="3"/>
      <c r="F5086" s="3"/>
      <c r="G5086" s="3"/>
      <c r="H5086" s="3"/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  <c r="T5086" s="3"/>
      <c r="U5086" s="3"/>
      <c r="V5086" s="3"/>
      <c r="W5086" s="3"/>
      <c r="X5086" s="3"/>
      <c r="Y5086" s="3"/>
    </row>
    <row r="5087">
      <c r="A5087" s="3"/>
      <c r="B5087" s="3"/>
      <c r="C5087" s="3"/>
      <c r="D5087" s="3"/>
      <c r="E5087" s="3"/>
      <c r="F5087" s="3"/>
      <c r="G5087" s="3"/>
      <c r="H5087" s="3"/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  <c r="T5087" s="3"/>
      <c r="U5087" s="3"/>
      <c r="V5087" s="3"/>
      <c r="W5087" s="3"/>
      <c r="X5087" s="3"/>
      <c r="Y5087" s="3"/>
    </row>
    <row r="5088">
      <c r="A5088" s="3"/>
      <c r="B5088" s="3"/>
      <c r="C5088" s="3"/>
      <c r="D5088" s="3"/>
      <c r="E5088" s="3"/>
      <c r="F5088" s="3"/>
      <c r="G5088" s="3"/>
      <c r="H5088" s="3"/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  <c r="T5088" s="3"/>
      <c r="U5088" s="3"/>
      <c r="V5088" s="3"/>
      <c r="W5088" s="3"/>
      <c r="X5088" s="3"/>
      <c r="Y5088" s="3"/>
    </row>
    <row r="5089">
      <c r="A5089" s="3"/>
      <c r="B5089" s="3"/>
      <c r="C5089" s="3"/>
      <c r="D5089" s="3"/>
      <c r="E5089" s="3"/>
      <c r="F5089" s="3"/>
      <c r="G5089" s="3"/>
      <c r="H5089" s="3"/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  <c r="T5089" s="3"/>
      <c r="U5089" s="3"/>
      <c r="V5089" s="3"/>
      <c r="W5089" s="3"/>
      <c r="X5089" s="3"/>
      <c r="Y5089" s="3"/>
    </row>
    <row r="5090">
      <c r="A5090" s="3"/>
      <c r="B5090" s="3"/>
      <c r="C5090" s="3"/>
      <c r="D5090" s="3"/>
      <c r="E5090" s="3"/>
      <c r="F5090" s="3"/>
      <c r="G5090" s="3"/>
      <c r="H5090" s="3"/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  <c r="T5090" s="3"/>
      <c r="U5090" s="3"/>
      <c r="V5090" s="3"/>
      <c r="W5090" s="3"/>
      <c r="X5090" s="3"/>
      <c r="Y5090" s="3"/>
    </row>
    <row r="5091">
      <c r="A5091" s="3"/>
      <c r="B5091" s="3"/>
      <c r="C5091" s="3"/>
      <c r="D5091" s="3"/>
      <c r="E5091" s="3"/>
      <c r="F5091" s="3"/>
      <c r="G5091" s="3"/>
      <c r="H5091" s="3"/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  <c r="T5091" s="3"/>
      <c r="U5091" s="3"/>
      <c r="V5091" s="3"/>
      <c r="W5091" s="3"/>
      <c r="X5091" s="3"/>
      <c r="Y5091" s="3"/>
    </row>
    <row r="5092">
      <c r="A5092" s="3"/>
      <c r="B5092" s="3"/>
      <c r="C5092" s="3"/>
      <c r="D5092" s="3"/>
      <c r="E5092" s="3"/>
      <c r="F5092" s="3"/>
      <c r="G5092" s="3"/>
      <c r="H5092" s="3"/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  <c r="T5092" s="3"/>
      <c r="U5092" s="3"/>
      <c r="V5092" s="3"/>
      <c r="W5092" s="3"/>
      <c r="X5092" s="3"/>
      <c r="Y5092" s="3"/>
    </row>
    <row r="5093">
      <c r="A5093" s="3"/>
      <c r="B5093" s="3"/>
      <c r="C5093" s="3"/>
      <c r="D5093" s="3"/>
      <c r="E5093" s="3"/>
      <c r="F5093" s="3"/>
      <c r="G5093" s="3"/>
      <c r="H5093" s="3"/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  <c r="T5093" s="3"/>
      <c r="U5093" s="3"/>
      <c r="V5093" s="3"/>
      <c r="W5093" s="3"/>
      <c r="X5093" s="3"/>
      <c r="Y5093" s="3"/>
    </row>
    <row r="5094">
      <c r="A5094" s="3"/>
      <c r="B5094" s="3"/>
      <c r="C5094" s="3"/>
      <c r="D5094" s="3"/>
      <c r="E5094" s="3"/>
      <c r="F5094" s="3"/>
      <c r="G5094" s="3"/>
      <c r="H5094" s="3"/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  <c r="T5094" s="3"/>
      <c r="U5094" s="3"/>
      <c r="V5094" s="3"/>
      <c r="W5094" s="3"/>
      <c r="X5094" s="3"/>
      <c r="Y5094" s="3"/>
    </row>
    <row r="5095">
      <c r="A5095" s="3"/>
      <c r="B5095" s="3"/>
      <c r="C5095" s="3"/>
      <c r="D5095" s="3"/>
      <c r="E5095" s="3"/>
      <c r="F5095" s="3"/>
      <c r="G5095" s="3"/>
      <c r="H5095" s="3"/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  <c r="T5095" s="3"/>
      <c r="U5095" s="3"/>
      <c r="V5095" s="3"/>
      <c r="W5095" s="3"/>
      <c r="X5095" s="3"/>
      <c r="Y5095" s="3"/>
    </row>
    <row r="5096">
      <c r="A5096" s="3"/>
      <c r="B5096" s="3"/>
      <c r="C5096" s="3"/>
      <c r="D5096" s="3"/>
      <c r="E5096" s="3"/>
      <c r="F5096" s="3"/>
      <c r="G5096" s="3"/>
      <c r="H5096" s="3"/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3"/>
      <c r="V5096" s="3"/>
      <c r="W5096" s="3"/>
      <c r="X5096" s="3"/>
      <c r="Y5096" s="3"/>
    </row>
    <row r="5097">
      <c r="A5097" s="3"/>
      <c r="B5097" s="3"/>
      <c r="C5097" s="3"/>
      <c r="D5097" s="3"/>
      <c r="E5097" s="3"/>
      <c r="F5097" s="3"/>
      <c r="G5097" s="3"/>
      <c r="H5097" s="3"/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3"/>
      <c r="V5097" s="3"/>
      <c r="W5097" s="3"/>
      <c r="X5097" s="3"/>
      <c r="Y5097" s="3"/>
    </row>
    <row r="5098">
      <c r="A5098" s="3"/>
      <c r="B5098" s="3"/>
      <c r="C5098" s="3"/>
      <c r="D5098" s="3"/>
      <c r="E5098" s="3"/>
      <c r="F5098" s="3"/>
      <c r="G5098" s="3"/>
      <c r="H5098" s="3"/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  <c r="T5098" s="3"/>
      <c r="U5098" s="3"/>
      <c r="V5098" s="3"/>
      <c r="W5098" s="3"/>
      <c r="X5098" s="3"/>
      <c r="Y5098" s="3"/>
    </row>
    <row r="5099">
      <c r="A5099" s="3"/>
      <c r="B5099" s="3"/>
      <c r="C5099" s="3"/>
      <c r="D5099" s="3"/>
      <c r="E5099" s="3"/>
      <c r="F5099" s="3"/>
      <c r="G5099" s="3"/>
      <c r="H5099" s="3"/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  <c r="T5099" s="3"/>
      <c r="U5099" s="3"/>
      <c r="V5099" s="3"/>
      <c r="W5099" s="3"/>
      <c r="X5099" s="3"/>
      <c r="Y5099" s="3"/>
    </row>
    <row r="5100">
      <c r="A5100" s="3"/>
      <c r="B5100" s="3"/>
      <c r="C5100" s="3"/>
      <c r="D5100" s="3"/>
      <c r="E5100" s="3"/>
      <c r="F5100" s="3"/>
      <c r="G5100" s="3"/>
      <c r="H5100" s="3"/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  <c r="T5100" s="3"/>
      <c r="U5100" s="3"/>
      <c r="V5100" s="3"/>
      <c r="W5100" s="3"/>
      <c r="X5100" s="3"/>
      <c r="Y5100" s="3"/>
    </row>
    <row r="5101">
      <c r="A5101" s="3"/>
      <c r="B5101" s="3"/>
      <c r="C5101" s="3"/>
      <c r="D5101" s="3"/>
      <c r="E5101" s="3"/>
      <c r="F5101" s="3"/>
      <c r="G5101" s="3"/>
      <c r="H5101" s="3"/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  <c r="T5101" s="3"/>
      <c r="U5101" s="3"/>
      <c r="V5101" s="3"/>
      <c r="W5101" s="3"/>
      <c r="X5101" s="3"/>
      <c r="Y5101" s="3"/>
    </row>
    <row r="5102">
      <c r="A5102" s="3"/>
      <c r="B5102" s="3"/>
      <c r="C5102" s="3"/>
      <c r="D5102" s="3"/>
      <c r="E5102" s="3"/>
      <c r="F5102" s="3"/>
      <c r="G5102" s="3"/>
      <c r="H5102" s="3"/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3"/>
      <c r="V5102" s="3"/>
      <c r="W5102" s="3"/>
      <c r="X5102" s="3"/>
      <c r="Y5102" s="3"/>
    </row>
    <row r="5103">
      <c r="A5103" s="3"/>
      <c r="B5103" s="3"/>
      <c r="C5103" s="3"/>
      <c r="D5103" s="3"/>
      <c r="E5103" s="3"/>
      <c r="F5103" s="3"/>
      <c r="G5103" s="3"/>
      <c r="H5103" s="3"/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  <c r="T5103" s="3"/>
      <c r="U5103" s="3"/>
      <c r="V5103" s="3"/>
      <c r="W5103" s="3"/>
      <c r="X5103" s="3"/>
      <c r="Y5103" s="3"/>
    </row>
    <row r="5104">
      <c r="A5104" s="3"/>
      <c r="B5104" s="3"/>
      <c r="C5104" s="3"/>
      <c r="D5104" s="3"/>
      <c r="E5104" s="3"/>
      <c r="F5104" s="3"/>
      <c r="G5104" s="3"/>
      <c r="H5104" s="3"/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  <c r="T5104" s="3"/>
      <c r="U5104" s="3"/>
      <c r="V5104" s="3"/>
      <c r="W5104" s="3"/>
      <c r="X5104" s="3"/>
      <c r="Y5104" s="3"/>
    </row>
    <row r="5105">
      <c r="A5105" s="3"/>
      <c r="B5105" s="3"/>
      <c r="C5105" s="3"/>
      <c r="D5105" s="3"/>
      <c r="E5105" s="3"/>
      <c r="F5105" s="3"/>
      <c r="G5105" s="3"/>
      <c r="H5105" s="3"/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  <c r="T5105" s="3"/>
      <c r="U5105" s="3"/>
      <c r="V5105" s="3"/>
      <c r="W5105" s="3"/>
      <c r="X5105" s="3"/>
      <c r="Y5105" s="3"/>
    </row>
    <row r="5106">
      <c r="A5106" s="3"/>
      <c r="B5106" s="3"/>
      <c r="C5106" s="3"/>
      <c r="D5106" s="3"/>
      <c r="E5106" s="3"/>
      <c r="F5106" s="3"/>
      <c r="G5106" s="3"/>
      <c r="H5106" s="3"/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  <c r="T5106" s="3"/>
      <c r="U5106" s="3"/>
      <c r="V5106" s="3"/>
      <c r="W5106" s="3"/>
      <c r="X5106" s="3"/>
      <c r="Y5106" s="3"/>
    </row>
    <row r="5107">
      <c r="A5107" s="3"/>
      <c r="B5107" s="3"/>
      <c r="C5107" s="3"/>
      <c r="D5107" s="3"/>
      <c r="E5107" s="3"/>
      <c r="F5107" s="3"/>
      <c r="G5107" s="3"/>
      <c r="H5107" s="3"/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3"/>
      <c r="V5107" s="3"/>
      <c r="W5107" s="3"/>
      <c r="X5107" s="3"/>
      <c r="Y5107" s="3"/>
    </row>
    <row r="5108">
      <c r="A5108" s="3"/>
      <c r="B5108" s="3"/>
      <c r="C5108" s="3"/>
      <c r="D5108" s="3"/>
      <c r="E5108" s="3"/>
      <c r="F5108" s="3"/>
      <c r="G5108" s="3"/>
      <c r="H5108" s="3"/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  <c r="T5108" s="3"/>
      <c r="U5108" s="3"/>
      <c r="V5108" s="3"/>
      <c r="W5108" s="3"/>
      <c r="X5108" s="3"/>
      <c r="Y5108" s="3"/>
    </row>
    <row r="5109">
      <c r="A5109" s="3"/>
      <c r="B5109" s="3"/>
      <c r="C5109" s="3"/>
      <c r="D5109" s="3"/>
      <c r="E5109" s="3"/>
      <c r="F5109" s="3"/>
      <c r="G5109" s="3"/>
      <c r="H5109" s="3"/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  <c r="T5109" s="3"/>
      <c r="U5109" s="3"/>
      <c r="V5109" s="3"/>
      <c r="W5109" s="3"/>
      <c r="X5109" s="3"/>
      <c r="Y5109" s="3"/>
    </row>
    <row r="5110">
      <c r="A5110" s="3"/>
      <c r="B5110" s="3"/>
      <c r="C5110" s="3"/>
      <c r="D5110" s="3"/>
      <c r="E5110" s="3"/>
      <c r="F5110" s="3"/>
      <c r="G5110" s="3"/>
      <c r="H5110" s="3"/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  <c r="T5110" s="3"/>
      <c r="U5110" s="3"/>
      <c r="V5110" s="3"/>
      <c r="W5110" s="3"/>
      <c r="X5110" s="3"/>
      <c r="Y5110" s="3"/>
    </row>
    <row r="5111">
      <c r="A5111" s="3"/>
      <c r="B5111" s="3"/>
      <c r="C5111" s="3"/>
      <c r="D5111" s="3"/>
      <c r="E5111" s="3"/>
      <c r="F5111" s="3"/>
      <c r="G5111" s="3"/>
      <c r="H5111" s="3"/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  <c r="T5111" s="3"/>
      <c r="U5111" s="3"/>
      <c r="V5111" s="3"/>
      <c r="W5111" s="3"/>
      <c r="X5111" s="3"/>
      <c r="Y5111" s="3"/>
    </row>
    <row r="5112">
      <c r="A5112" s="3"/>
      <c r="B5112" s="3"/>
      <c r="C5112" s="3"/>
      <c r="D5112" s="3"/>
      <c r="E5112" s="3"/>
      <c r="F5112" s="3"/>
      <c r="G5112" s="3"/>
      <c r="H5112" s="3"/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  <c r="T5112" s="3"/>
      <c r="U5112" s="3"/>
      <c r="V5112" s="3"/>
      <c r="W5112" s="3"/>
      <c r="X5112" s="3"/>
      <c r="Y5112" s="3"/>
    </row>
    <row r="5113">
      <c r="A5113" s="3"/>
      <c r="B5113" s="3"/>
      <c r="C5113" s="3"/>
      <c r="D5113" s="3"/>
      <c r="E5113" s="3"/>
      <c r="F5113" s="3"/>
      <c r="G5113" s="3"/>
      <c r="H5113" s="3"/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  <c r="T5113" s="3"/>
      <c r="U5113" s="3"/>
      <c r="V5113" s="3"/>
      <c r="W5113" s="3"/>
      <c r="X5113" s="3"/>
      <c r="Y5113" s="3"/>
    </row>
    <row r="5114">
      <c r="A5114" s="3"/>
      <c r="B5114" s="3"/>
      <c r="C5114" s="3"/>
      <c r="D5114" s="3"/>
      <c r="E5114" s="3"/>
      <c r="F5114" s="3"/>
      <c r="G5114" s="3"/>
      <c r="H5114" s="3"/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  <c r="T5114" s="3"/>
      <c r="U5114" s="3"/>
      <c r="V5114" s="3"/>
      <c r="W5114" s="3"/>
      <c r="X5114" s="3"/>
      <c r="Y5114" s="3"/>
    </row>
    <row r="5115">
      <c r="A5115" s="3"/>
      <c r="B5115" s="3"/>
      <c r="C5115" s="3"/>
      <c r="D5115" s="3"/>
      <c r="E5115" s="3"/>
      <c r="F5115" s="3"/>
      <c r="G5115" s="3"/>
      <c r="H5115" s="3"/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  <c r="T5115" s="3"/>
      <c r="U5115" s="3"/>
      <c r="V5115" s="3"/>
      <c r="W5115" s="3"/>
      <c r="X5115" s="3"/>
      <c r="Y5115" s="3"/>
    </row>
    <row r="5116">
      <c r="A5116" s="3"/>
      <c r="B5116" s="3"/>
      <c r="C5116" s="3"/>
      <c r="D5116" s="3"/>
      <c r="E5116" s="3"/>
      <c r="F5116" s="3"/>
      <c r="G5116" s="3"/>
      <c r="H5116" s="3"/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  <c r="T5116" s="3"/>
      <c r="U5116" s="3"/>
      <c r="V5116" s="3"/>
      <c r="W5116" s="3"/>
      <c r="X5116" s="3"/>
      <c r="Y5116" s="3"/>
    </row>
    <row r="5117">
      <c r="A5117" s="3"/>
      <c r="B5117" s="3"/>
      <c r="C5117" s="3"/>
      <c r="D5117" s="3"/>
      <c r="E5117" s="3"/>
      <c r="F5117" s="3"/>
      <c r="G5117" s="3"/>
      <c r="H5117" s="3"/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  <c r="T5117" s="3"/>
      <c r="U5117" s="3"/>
      <c r="V5117" s="3"/>
      <c r="W5117" s="3"/>
      <c r="X5117" s="3"/>
      <c r="Y5117" s="3"/>
    </row>
    <row r="5118">
      <c r="A5118" s="3"/>
      <c r="B5118" s="3"/>
      <c r="C5118" s="3"/>
      <c r="D5118" s="3"/>
      <c r="E5118" s="3"/>
      <c r="F5118" s="3"/>
      <c r="G5118" s="3"/>
      <c r="H5118" s="3"/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  <c r="T5118" s="3"/>
      <c r="U5118" s="3"/>
      <c r="V5118" s="3"/>
      <c r="W5118" s="3"/>
      <c r="X5118" s="3"/>
      <c r="Y5118" s="3"/>
    </row>
    <row r="5119">
      <c r="A5119" s="3"/>
      <c r="B5119" s="3"/>
      <c r="C5119" s="3"/>
      <c r="D5119" s="3"/>
      <c r="E5119" s="3"/>
      <c r="F5119" s="3"/>
      <c r="G5119" s="3"/>
      <c r="H5119" s="3"/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  <c r="T5119" s="3"/>
      <c r="U5119" s="3"/>
      <c r="V5119" s="3"/>
      <c r="W5119" s="3"/>
      <c r="X5119" s="3"/>
      <c r="Y5119" s="3"/>
    </row>
    <row r="5120">
      <c r="A5120" s="3"/>
      <c r="B5120" s="3"/>
      <c r="C5120" s="3"/>
      <c r="D5120" s="3"/>
      <c r="E5120" s="3"/>
      <c r="F5120" s="3"/>
      <c r="G5120" s="3"/>
      <c r="H5120" s="3"/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  <c r="T5120" s="3"/>
      <c r="U5120" s="3"/>
      <c r="V5120" s="3"/>
      <c r="W5120" s="3"/>
      <c r="X5120" s="3"/>
      <c r="Y5120" s="3"/>
    </row>
    <row r="5121">
      <c r="A5121" s="3"/>
      <c r="B5121" s="3"/>
      <c r="C5121" s="3"/>
      <c r="D5121" s="3"/>
      <c r="E5121" s="3"/>
      <c r="F5121" s="3"/>
      <c r="G5121" s="3"/>
      <c r="H5121" s="3"/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  <c r="T5121" s="3"/>
      <c r="U5121" s="3"/>
      <c r="V5121" s="3"/>
      <c r="W5121" s="3"/>
      <c r="X5121" s="3"/>
      <c r="Y5121" s="3"/>
    </row>
    <row r="5122">
      <c r="A5122" s="3"/>
      <c r="B5122" s="3"/>
      <c r="C5122" s="3"/>
      <c r="D5122" s="3"/>
      <c r="E5122" s="3"/>
      <c r="F5122" s="3"/>
      <c r="G5122" s="3"/>
      <c r="H5122" s="3"/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  <c r="T5122" s="3"/>
      <c r="U5122" s="3"/>
      <c r="V5122" s="3"/>
      <c r="W5122" s="3"/>
      <c r="X5122" s="3"/>
      <c r="Y5122" s="3"/>
    </row>
    <row r="5123">
      <c r="A5123" s="3"/>
      <c r="B5123" s="3"/>
      <c r="C5123" s="3"/>
      <c r="D5123" s="3"/>
      <c r="E5123" s="3"/>
      <c r="F5123" s="3"/>
      <c r="G5123" s="3"/>
      <c r="H5123" s="3"/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  <c r="T5123" s="3"/>
      <c r="U5123" s="3"/>
      <c r="V5123" s="3"/>
      <c r="W5123" s="3"/>
      <c r="X5123" s="3"/>
      <c r="Y5123" s="3"/>
    </row>
    <row r="5124">
      <c r="A5124" s="3"/>
      <c r="B5124" s="3"/>
      <c r="C5124" s="3"/>
      <c r="D5124" s="3"/>
      <c r="E5124" s="3"/>
      <c r="F5124" s="3"/>
      <c r="G5124" s="3"/>
      <c r="H5124" s="3"/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  <c r="T5124" s="3"/>
      <c r="U5124" s="3"/>
      <c r="V5124" s="3"/>
      <c r="W5124" s="3"/>
      <c r="X5124" s="3"/>
      <c r="Y5124" s="3"/>
    </row>
    <row r="5125">
      <c r="A5125" s="3"/>
      <c r="B5125" s="3"/>
      <c r="C5125" s="3"/>
      <c r="D5125" s="3"/>
      <c r="E5125" s="3"/>
      <c r="F5125" s="3"/>
      <c r="G5125" s="3"/>
      <c r="H5125" s="3"/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  <c r="T5125" s="3"/>
      <c r="U5125" s="3"/>
      <c r="V5125" s="3"/>
      <c r="W5125" s="3"/>
      <c r="X5125" s="3"/>
      <c r="Y5125" s="3"/>
    </row>
    <row r="5126">
      <c r="A5126" s="3"/>
      <c r="B5126" s="3"/>
      <c r="C5126" s="3"/>
      <c r="D5126" s="3"/>
      <c r="E5126" s="3"/>
      <c r="F5126" s="3"/>
      <c r="G5126" s="3"/>
      <c r="H5126" s="3"/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  <c r="T5126" s="3"/>
      <c r="U5126" s="3"/>
      <c r="V5126" s="3"/>
      <c r="W5126" s="3"/>
      <c r="X5126" s="3"/>
      <c r="Y5126" s="3"/>
    </row>
    <row r="5127">
      <c r="A5127" s="3"/>
      <c r="B5127" s="3"/>
      <c r="C5127" s="3"/>
      <c r="D5127" s="3"/>
      <c r="E5127" s="3"/>
      <c r="F5127" s="3"/>
      <c r="G5127" s="3"/>
      <c r="H5127" s="3"/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  <c r="T5127" s="3"/>
      <c r="U5127" s="3"/>
      <c r="V5127" s="3"/>
      <c r="W5127" s="3"/>
      <c r="X5127" s="3"/>
      <c r="Y5127" s="3"/>
    </row>
    <row r="5128">
      <c r="A5128" s="3"/>
      <c r="B5128" s="3"/>
      <c r="C5128" s="3"/>
      <c r="D5128" s="3"/>
      <c r="E5128" s="3"/>
      <c r="F5128" s="3"/>
      <c r="G5128" s="3"/>
      <c r="H5128" s="3"/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  <c r="T5128" s="3"/>
      <c r="U5128" s="3"/>
      <c r="V5128" s="3"/>
      <c r="W5128" s="3"/>
      <c r="X5128" s="3"/>
      <c r="Y5128" s="3"/>
    </row>
    <row r="5129">
      <c r="A5129" s="3"/>
      <c r="B5129" s="3"/>
      <c r="C5129" s="3"/>
      <c r="D5129" s="3"/>
      <c r="E5129" s="3"/>
      <c r="F5129" s="3"/>
      <c r="G5129" s="3"/>
      <c r="H5129" s="3"/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  <c r="T5129" s="3"/>
      <c r="U5129" s="3"/>
      <c r="V5129" s="3"/>
      <c r="W5129" s="3"/>
      <c r="X5129" s="3"/>
      <c r="Y5129" s="3"/>
    </row>
    <row r="5130">
      <c r="A5130" s="3"/>
      <c r="B5130" s="3"/>
      <c r="C5130" s="3"/>
      <c r="D5130" s="3"/>
      <c r="E5130" s="3"/>
      <c r="F5130" s="3"/>
      <c r="G5130" s="3"/>
      <c r="H5130" s="3"/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  <c r="T5130" s="3"/>
      <c r="U5130" s="3"/>
      <c r="V5130" s="3"/>
      <c r="W5130" s="3"/>
      <c r="X5130" s="3"/>
      <c r="Y5130" s="3"/>
    </row>
    <row r="5131">
      <c r="A5131" s="3"/>
      <c r="B5131" s="3"/>
      <c r="C5131" s="3"/>
      <c r="D5131" s="3"/>
      <c r="E5131" s="3"/>
      <c r="F5131" s="3"/>
      <c r="G5131" s="3"/>
      <c r="H5131" s="3"/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  <c r="T5131" s="3"/>
      <c r="U5131" s="3"/>
      <c r="V5131" s="3"/>
      <c r="W5131" s="3"/>
      <c r="X5131" s="3"/>
      <c r="Y5131" s="3"/>
    </row>
    <row r="5132">
      <c r="A5132" s="3"/>
      <c r="B5132" s="3"/>
      <c r="C5132" s="3"/>
      <c r="D5132" s="3"/>
      <c r="E5132" s="3"/>
      <c r="F5132" s="3"/>
      <c r="G5132" s="3"/>
      <c r="H5132" s="3"/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  <c r="T5132" s="3"/>
      <c r="U5132" s="3"/>
      <c r="V5132" s="3"/>
      <c r="W5132" s="3"/>
      <c r="X5132" s="3"/>
      <c r="Y5132" s="3"/>
    </row>
    <row r="5133">
      <c r="A5133" s="3"/>
      <c r="B5133" s="3"/>
      <c r="C5133" s="3"/>
      <c r="D5133" s="3"/>
      <c r="E5133" s="3"/>
      <c r="F5133" s="3"/>
      <c r="G5133" s="3"/>
      <c r="H5133" s="3"/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  <c r="T5133" s="3"/>
      <c r="U5133" s="3"/>
      <c r="V5133" s="3"/>
      <c r="W5133" s="3"/>
      <c r="X5133" s="3"/>
      <c r="Y5133" s="3"/>
    </row>
    <row r="5134">
      <c r="A5134" s="3"/>
      <c r="B5134" s="3"/>
      <c r="C5134" s="3"/>
      <c r="D5134" s="3"/>
      <c r="E5134" s="3"/>
      <c r="F5134" s="3"/>
      <c r="G5134" s="3"/>
      <c r="H5134" s="3"/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  <c r="T5134" s="3"/>
      <c r="U5134" s="3"/>
      <c r="V5134" s="3"/>
      <c r="W5134" s="3"/>
      <c r="X5134" s="3"/>
      <c r="Y5134" s="3"/>
    </row>
    <row r="5135">
      <c r="A5135" s="3"/>
      <c r="B5135" s="3"/>
      <c r="C5135" s="3"/>
      <c r="D5135" s="3"/>
      <c r="E5135" s="3"/>
      <c r="F5135" s="3"/>
      <c r="G5135" s="3"/>
      <c r="H5135" s="3"/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  <c r="T5135" s="3"/>
      <c r="U5135" s="3"/>
      <c r="V5135" s="3"/>
      <c r="W5135" s="3"/>
      <c r="X5135" s="3"/>
      <c r="Y5135" s="3"/>
    </row>
    <row r="5136">
      <c r="A5136" s="3"/>
      <c r="B5136" s="3"/>
      <c r="C5136" s="3"/>
      <c r="D5136" s="3"/>
      <c r="E5136" s="3"/>
      <c r="F5136" s="3"/>
      <c r="G5136" s="3"/>
      <c r="H5136" s="3"/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  <c r="T5136" s="3"/>
      <c r="U5136" s="3"/>
      <c r="V5136" s="3"/>
      <c r="W5136" s="3"/>
      <c r="X5136" s="3"/>
      <c r="Y5136" s="3"/>
    </row>
    <row r="5137">
      <c r="A5137" s="3"/>
      <c r="B5137" s="3"/>
      <c r="C5137" s="3"/>
      <c r="D5137" s="3"/>
      <c r="E5137" s="3"/>
      <c r="F5137" s="3"/>
      <c r="G5137" s="3"/>
      <c r="H5137" s="3"/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  <c r="T5137" s="3"/>
      <c r="U5137" s="3"/>
      <c r="V5137" s="3"/>
      <c r="W5137" s="3"/>
      <c r="X5137" s="3"/>
      <c r="Y5137" s="3"/>
    </row>
    <row r="5138">
      <c r="A5138" s="3"/>
      <c r="B5138" s="3"/>
      <c r="C5138" s="3"/>
      <c r="D5138" s="3"/>
      <c r="E5138" s="3"/>
      <c r="F5138" s="3"/>
      <c r="G5138" s="3"/>
      <c r="H5138" s="3"/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  <c r="T5138" s="3"/>
      <c r="U5138" s="3"/>
      <c r="V5138" s="3"/>
      <c r="W5138" s="3"/>
      <c r="X5138" s="3"/>
      <c r="Y5138" s="3"/>
    </row>
    <row r="5139">
      <c r="A5139" s="3"/>
      <c r="B5139" s="3"/>
      <c r="C5139" s="3"/>
      <c r="D5139" s="3"/>
      <c r="E5139" s="3"/>
      <c r="F5139" s="3"/>
      <c r="G5139" s="3"/>
      <c r="H5139" s="3"/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  <c r="T5139" s="3"/>
      <c r="U5139" s="3"/>
      <c r="V5139" s="3"/>
      <c r="W5139" s="3"/>
      <c r="X5139" s="3"/>
      <c r="Y5139" s="3"/>
    </row>
    <row r="5140">
      <c r="A5140" s="3"/>
      <c r="B5140" s="3"/>
      <c r="C5140" s="3"/>
      <c r="D5140" s="3"/>
      <c r="E5140" s="3"/>
      <c r="F5140" s="3"/>
      <c r="G5140" s="3"/>
      <c r="H5140" s="3"/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  <c r="T5140" s="3"/>
      <c r="U5140" s="3"/>
      <c r="V5140" s="3"/>
      <c r="W5140" s="3"/>
      <c r="X5140" s="3"/>
      <c r="Y5140" s="3"/>
    </row>
    <row r="5141">
      <c r="A5141" s="3"/>
      <c r="B5141" s="3"/>
      <c r="C5141" s="3"/>
      <c r="D5141" s="3"/>
      <c r="E5141" s="3"/>
      <c r="F5141" s="3"/>
      <c r="G5141" s="3"/>
      <c r="H5141" s="3"/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  <c r="T5141" s="3"/>
      <c r="U5141" s="3"/>
      <c r="V5141" s="3"/>
      <c r="W5141" s="3"/>
      <c r="X5141" s="3"/>
      <c r="Y5141" s="3"/>
    </row>
    <row r="5142">
      <c r="A5142" s="3"/>
      <c r="B5142" s="3"/>
      <c r="C5142" s="3"/>
      <c r="D5142" s="3"/>
      <c r="E5142" s="3"/>
      <c r="F5142" s="3"/>
      <c r="G5142" s="3"/>
      <c r="H5142" s="3"/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  <c r="T5142" s="3"/>
      <c r="U5142" s="3"/>
      <c r="V5142" s="3"/>
      <c r="W5142" s="3"/>
      <c r="X5142" s="3"/>
      <c r="Y5142" s="3"/>
    </row>
    <row r="5143">
      <c r="A5143" s="3"/>
      <c r="B5143" s="3"/>
      <c r="C5143" s="3"/>
      <c r="D5143" s="3"/>
      <c r="E5143" s="3"/>
      <c r="F5143" s="3"/>
      <c r="G5143" s="3"/>
      <c r="H5143" s="3"/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  <c r="T5143" s="3"/>
      <c r="U5143" s="3"/>
      <c r="V5143" s="3"/>
      <c r="W5143" s="3"/>
      <c r="X5143" s="3"/>
      <c r="Y5143" s="3"/>
    </row>
    <row r="5144">
      <c r="A5144" s="3"/>
      <c r="B5144" s="3"/>
      <c r="C5144" s="3"/>
      <c r="D5144" s="3"/>
      <c r="E5144" s="3"/>
      <c r="F5144" s="3"/>
      <c r="G5144" s="3"/>
      <c r="H5144" s="3"/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  <c r="T5144" s="3"/>
      <c r="U5144" s="3"/>
      <c r="V5144" s="3"/>
      <c r="W5144" s="3"/>
      <c r="X5144" s="3"/>
      <c r="Y5144" s="3"/>
    </row>
    <row r="5145">
      <c r="A5145" s="3"/>
      <c r="B5145" s="3"/>
      <c r="C5145" s="3"/>
      <c r="D5145" s="3"/>
      <c r="E5145" s="3"/>
      <c r="F5145" s="3"/>
      <c r="G5145" s="3"/>
      <c r="H5145" s="3"/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  <c r="T5145" s="3"/>
      <c r="U5145" s="3"/>
      <c r="V5145" s="3"/>
      <c r="W5145" s="3"/>
      <c r="X5145" s="3"/>
      <c r="Y5145" s="3"/>
    </row>
    <row r="5146">
      <c r="A5146" s="3"/>
      <c r="B5146" s="3"/>
      <c r="C5146" s="3"/>
      <c r="D5146" s="3"/>
      <c r="E5146" s="3"/>
      <c r="F5146" s="3"/>
      <c r="G5146" s="3"/>
      <c r="H5146" s="3"/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  <c r="T5146" s="3"/>
      <c r="U5146" s="3"/>
      <c r="V5146" s="3"/>
      <c r="W5146" s="3"/>
      <c r="X5146" s="3"/>
      <c r="Y5146" s="3"/>
    </row>
    <row r="5147">
      <c r="A5147" s="3"/>
      <c r="B5147" s="3"/>
      <c r="C5147" s="3"/>
      <c r="D5147" s="3"/>
      <c r="E5147" s="3"/>
      <c r="F5147" s="3"/>
      <c r="G5147" s="3"/>
      <c r="H5147" s="3"/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  <c r="T5147" s="3"/>
      <c r="U5147" s="3"/>
      <c r="V5147" s="3"/>
      <c r="W5147" s="3"/>
      <c r="X5147" s="3"/>
      <c r="Y5147" s="3"/>
    </row>
    <row r="5148">
      <c r="A5148" s="3"/>
      <c r="B5148" s="3"/>
      <c r="C5148" s="3"/>
      <c r="D5148" s="3"/>
      <c r="E5148" s="3"/>
      <c r="F5148" s="3"/>
      <c r="G5148" s="3"/>
      <c r="H5148" s="3"/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  <c r="T5148" s="3"/>
      <c r="U5148" s="3"/>
      <c r="V5148" s="3"/>
      <c r="W5148" s="3"/>
      <c r="X5148" s="3"/>
      <c r="Y5148" s="3"/>
    </row>
    <row r="5149">
      <c r="A5149" s="3"/>
      <c r="B5149" s="3"/>
      <c r="C5149" s="3"/>
      <c r="D5149" s="3"/>
      <c r="E5149" s="3"/>
      <c r="F5149" s="3"/>
      <c r="G5149" s="3"/>
      <c r="H5149" s="3"/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  <c r="T5149" s="3"/>
      <c r="U5149" s="3"/>
      <c r="V5149" s="3"/>
      <c r="W5149" s="3"/>
      <c r="X5149" s="3"/>
      <c r="Y5149" s="3"/>
    </row>
    <row r="5150">
      <c r="A5150" s="3"/>
      <c r="B5150" s="3"/>
      <c r="C5150" s="3"/>
      <c r="D5150" s="3"/>
      <c r="E5150" s="3"/>
      <c r="F5150" s="3"/>
      <c r="G5150" s="3"/>
      <c r="H5150" s="3"/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  <c r="T5150" s="3"/>
      <c r="U5150" s="3"/>
      <c r="V5150" s="3"/>
      <c r="W5150" s="3"/>
      <c r="X5150" s="3"/>
      <c r="Y5150" s="3"/>
    </row>
    <row r="5151">
      <c r="A5151" s="3"/>
      <c r="B5151" s="3"/>
      <c r="C5151" s="3"/>
      <c r="D5151" s="3"/>
      <c r="E5151" s="3"/>
      <c r="F5151" s="3"/>
      <c r="G5151" s="3"/>
      <c r="H5151" s="3"/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  <c r="T5151" s="3"/>
      <c r="U5151" s="3"/>
      <c r="V5151" s="3"/>
      <c r="W5151" s="3"/>
      <c r="X5151" s="3"/>
      <c r="Y5151" s="3"/>
    </row>
    <row r="5152">
      <c r="A5152" s="3"/>
      <c r="B5152" s="3"/>
      <c r="C5152" s="3"/>
      <c r="D5152" s="3"/>
      <c r="E5152" s="3"/>
      <c r="F5152" s="3"/>
      <c r="G5152" s="3"/>
      <c r="H5152" s="3"/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  <c r="T5152" s="3"/>
      <c r="U5152" s="3"/>
      <c r="V5152" s="3"/>
      <c r="W5152" s="3"/>
      <c r="X5152" s="3"/>
      <c r="Y5152" s="3"/>
    </row>
    <row r="5153">
      <c r="A5153" s="3"/>
      <c r="B5153" s="3"/>
      <c r="C5153" s="3"/>
      <c r="D5153" s="3"/>
      <c r="E5153" s="3"/>
      <c r="F5153" s="3"/>
      <c r="G5153" s="3"/>
      <c r="H5153" s="3"/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  <c r="T5153" s="3"/>
      <c r="U5153" s="3"/>
      <c r="V5153" s="3"/>
      <c r="W5153" s="3"/>
      <c r="X5153" s="3"/>
      <c r="Y5153" s="3"/>
    </row>
    <row r="5154">
      <c r="A5154" s="3"/>
      <c r="B5154" s="3"/>
      <c r="C5154" s="3"/>
      <c r="D5154" s="3"/>
      <c r="E5154" s="3"/>
      <c r="F5154" s="3"/>
      <c r="G5154" s="3"/>
      <c r="H5154" s="3"/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  <c r="T5154" s="3"/>
      <c r="U5154" s="3"/>
      <c r="V5154" s="3"/>
      <c r="W5154" s="3"/>
      <c r="X5154" s="3"/>
      <c r="Y5154" s="3"/>
    </row>
    <row r="5155">
      <c r="A5155" s="3"/>
      <c r="B5155" s="3"/>
      <c r="C5155" s="3"/>
      <c r="D5155" s="3"/>
      <c r="E5155" s="3"/>
      <c r="F5155" s="3"/>
      <c r="G5155" s="3"/>
      <c r="H5155" s="3"/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  <c r="T5155" s="3"/>
      <c r="U5155" s="3"/>
      <c r="V5155" s="3"/>
      <c r="W5155" s="3"/>
      <c r="X5155" s="3"/>
      <c r="Y5155" s="3"/>
    </row>
    <row r="5156">
      <c r="A5156" s="3"/>
      <c r="B5156" s="3"/>
      <c r="C5156" s="3"/>
      <c r="D5156" s="3"/>
      <c r="E5156" s="3"/>
      <c r="F5156" s="3"/>
      <c r="G5156" s="3"/>
      <c r="H5156" s="3"/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  <c r="T5156" s="3"/>
      <c r="U5156" s="3"/>
      <c r="V5156" s="3"/>
      <c r="W5156" s="3"/>
      <c r="X5156" s="3"/>
      <c r="Y5156" s="3"/>
    </row>
    <row r="5157">
      <c r="A5157" s="3"/>
      <c r="B5157" s="3"/>
      <c r="C5157" s="3"/>
      <c r="D5157" s="3"/>
      <c r="E5157" s="3"/>
      <c r="F5157" s="3"/>
      <c r="G5157" s="3"/>
      <c r="H5157" s="3"/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  <c r="T5157" s="3"/>
      <c r="U5157" s="3"/>
      <c r="V5157" s="3"/>
      <c r="W5157" s="3"/>
      <c r="X5157" s="3"/>
      <c r="Y5157" s="3"/>
    </row>
    <row r="5158">
      <c r="A5158" s="3"/>
      <c r="B5158" s="3"/>
      <c r="C5158" s="3"/>
      <c r="D5158" s="3"/>
      <c r="E5158" s="3"/>
      <c r="F5158" s="3"/>
      <c r="G5158" s="3"/>
      <c r="H5158" s="3"/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  <c r="T5158" s="3"/>
      <c r="U5158" s="3"/>
      <c r="V5158" s="3"/>
      <c r="W5158" s="3"/>
      <c r="X5158" s="3"/>
      <c r="Y5158" s="3"/>
    </row>
    <row r="5159">
      <c r="A5159" s="3"/>
      <c r="B5159" s="3"/>
      <c r="C5159" s="3"/>
      <c r="D5159" s="3"/>
      <c r="E5159" s="3"/>
      <c r="F5159" s="3"/>
      <c r="G5159" s="3"/>
      <c r="H5159" s="3"/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  <c r="T5159" s="3"/>
      <c r="U5159" s="3"/>
      <c r="V5159" s="3"/>
      <c r="W5159" s="3"/>
      <c r="X5159" s="3"/>
      <c r="Y5159" s="3"/>
    </row>
    <row r="5160">
      <c r="A5160" s="3"/>
      <c r="B5160" s="3"/>
      <c r="C5160" s="3"/>
      <c r="D5160" s="3"/>
      <c r="E5160" s="3"/>
      <c r="F5160" s="3"/>
      <c r="G5160" s="3"/>
      <c r="H5160" s="3"/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  <c r="T5160" s="3"/>
      <c r="U5160" s="3"/>
      <c r="V5160" s="3"/>
      <c r="W5160" s="3"/>
      <c r="X5160" s="3"/>
      <c r="Y5160" s="3"/>
    </row>
    <row r="5161">
      <c r="A5161" s="3"/>
      <c r="B5161" s="3"/>
      <c r="C5161" s="3"/>
      <c r="D5161" s="3"/>
      <c r="E5161" s="3"/>
      <c r="F5161" s="3"/>
      <c r="G5161" s="3"/>
      <c r="H5161" s="3"/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  <c r="T5161" s="3"/>
      <c r="U5161" s="3"/>
      <c r="V5161" s="3"/>
      <c r="W5161" s="3"/>
      <c r="X5161" s="3"/>
      <c r="Y5161" s="3"/>
    </row>
    <row r="5162">
      <c r="A5162" s="3"/>
      <c r="B5162" s="3"/>
      <c r="C5162" s="3"/>
      <c r="D5162" s="3"/>
      <c r="E5162" s="3"/>
      <c r="F5162" s="3"/>
      <c r="G5162" s="3"/>
      <c r="H5162" s="3"/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  <c r="T5162" s="3"/>
      <c r="U5162" s="3"/>
      <c r="V5162" s="3"/>
      <c r="W5162" s="3"/>
      <c r="X5162" s="3"/>
      <c r="Y5162" s="3"/>
    </row>
    <row r="5163">
      <c r="A5163" s="3"/>
      <c r="B5163" s="3"/>
      <c r="C5163" s="3"/>
      <c r="D5163" s="3"/>
      <c r="E5163" s="3"/>
      <c r="F5163" s="3"/>
      <c r="G5163" s="3"/>
      <c r="H5163" s="3"/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  <c r="T5163" s="3"/>
      <c r="U5163" s="3"/>
      <c r="V5163" s="3"/>
      <c r="W5163" s="3"/>
      <c r="X5163" s="3"/>
      <c r="Y5163" s="3"/>
    </row>
    <row r="5164">
      <c r="A5164" s="3"/>
      <c r="B5164" s="3"/>
      <c r="C5164" s="3"/>
      <c r="D5164" s="3"/>
      <c r="E5164" s="3"/>
      <c r="F5164" s="3"/>
      <c r="G5164" s="3"/>
      <c r="H5164" s="3"/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  <c r="T5164" s="3"/>
      <c r="U5164" s="3"/>
      <c r="V5164" s="3"/>
      <c r="W5164" s="3"/>
      <c r="X5164" s="3"/>
      <c r="Y5164" s="3"/>
    </row>
    <row r="5165">
      <c r="A5165" s="3"/>
      <c r="B5165" s="3"/>
      <c r="C5165" s="3"/>
      <c r="D5165" s="3"/>
      <c r="E5165" s="3"/>
      <c r="F5165" s="3"/>
      <c r="G5165" s="3"/>
      <c r="H5165" s="3"/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  <c r="T5165" s="3"/>
      <c r="U5165" s="3"/>
      <c r="V5165" s="3"/>
      <c r="W5165" s="3"/>
      <c r="X5165" s="3"/>
      <c r="Y5165" s="3"/>
    </row>
    <row r="5166">
      <c r="A5166" s="3"/>
      <c r="B5166" s="3"/>
      <c r="C5166" s="3"/>
      <c r="D5166" s="3"/>
      <c r="E5166" s="3"/>
      <c r="F5166" s="3"/>
      <c r="G5166" s="3"/>
      <c r="H5166" s="3"/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  <c r="T5166" s="3"/>
      <c r="U5166" s="3"/>
      <c r="V5166" s="3"/>
      <c r="W5166" s="3"/>
      <c r="X5166" s="3"/>
      <c r="Y5166" s="3"/>
    </row>
    <row r="5167">
      <c r="A5167" s="3"/>
      <c r="B5167" s="3"/>
      <c r="C5167" s="3"/>
      <c r="D5167" s="3"/>
      <c r="E5167" s="3"/>
      <c r="F5167" s="3"/>
      <c r="G5167" s="3"/>
      <c r="H5167" s="3"/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  <c r="T5167" s="3"/>
      <c r="U5167" s="3"/>
      <c r="V5167" s="3"/>
      <c r="W5167" s="3"/>
      <c r="X5167" s="3"/>
      <c r="Y5167" s="3"/>
    </row>
    <row r="5168">
      <c r="A5168" s="3"/>
      <c r="B5168" s="3"/>
      <c r="C5168" s="3"/>
      <c r="D5168" s="3"/>
      <c r="E5168" s="3"/>
      <c r="F5168" s="3"/>
      <c r="G5168" s="3"/>
      <c r="H5168" s="3"/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  <c r="T5168" s="3"/>
      <c r="U5168" s="3"/>
      <c r="V5168" s="3"/>
      <c r="W5168" s="3"/>
      <c r="X5168" s="3"/>
      <c r="Y5168" s="3"/>
    </row>
    <row r="5169">
      <c r="A5169" s="3"/>
      <c r="B5169" s="3"/>
      <c r="C5169" s="3"/>
      <c r="D5169" s="3"/>
      <c r="E5169" s="3"/>
      <c r="F5169" s="3"/>
      <c r="G5169" s="3"/>
      <c r="H5169" s="3"/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  <c r="T5169" s="3"/>
      <c r="U5169" s="3"/>
      <c r="V5169" s="3"/>
      <c r="W5169" s="3"/>
      <c r="X5169" s="3"/>
      <c r="Y5169" s="3"/>
    </row>
    <row r="5170">
      <c r="A5170" s="3"/>
      <c r="B5170" s="3"/>
      <c r="C5170" s="3"/>
      <c r="D5170" s="3"/>
      <c r="E5170" s="3"/>
      <c r="F5170" s="3"/>
      <c r="G5170" s="3"/>
      <c r="H5170" s="3"/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  <c r="T5170" s="3"/>
      <c r="U5170" s="3"/>
      <c r="V5170" s="3"/>
      <c r="W5170" s="3"/>
      <c r="X5170" s="3"/>
      <c r="Y5170" s="3"/>
    </row>
    <row r="5171">
      <c r="A5171" s="3"/>
      <c r="B5171" s="3"/>
      <c r="C5171" s="3"/>
      <c r="D5171" s="3"/>
      <c r="E5171" s="3"/>
      <c r="F5171" s="3"/>
      <c r="G5171" s="3"/>
      <c r="H5171" s="3"/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  <c r="T5171" s="3"/>
      <c r="U5171" s="3"/>
      <c r="V5171" s="3"/>
      <c r="W5171" s="3"/>
      <c r="X5171" s="3"/>
      <c r="Y5171" s="3"/>
    </row>
    <row r="5172">
      <c r="A5172" s="3"/>
      <c r="B5172" s="3"/>
      <c r="C5172" s="3"/>
      <c r="D5172" s="3"/>
      <c r="E5172" s="3"/>
      <c r="F5172" s="3"/>
      <c r="G5172" s="3"/>
      <c r="H5172" s="3"/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  <c r="T5172" s="3"/>
      <c r="U5172" s="3"/>
      <c r="V5172" s="3"/>
      <c r="W5172" s="3"/>
      <c r="X5172" s="3"/>
      <c r="Y5172" s="3"/>
    </row>
    <row r="5173">
      <c r="A5173" s="3"/>
      <c r="B5173" s="3"/>
      <c r="C5173" s="3"/>
      <c r="D5173" s="3"/>
      <c r="E5173" s="3"/>
      <c r="F5173" s="3"/>
      <c r="G5173" s="3"/>
      <c r="H5173" s="3"/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  <c r="T5173" s="3"/>
      <c r="U5173" s="3"/>
      <c r="V5173" s="3"/>
      <c r="W5173" s="3"/>
      <c r="X5173" s="3"/>
      <c r="Y5173" s="3"/>
    </row>
    <row r="5174">
      <c r="A5174" s="3"/>
      <c r="B5174" s="3"/>
      <c r="C5174" s="3"/>
      <c r="D5174" s="3"/>
      <c r="E5174" s="3"/>
      <c r="F5174" s="3"/>
      <c r="G5174" s="3"/>
      <c r="H5174" s="3"/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  <c r="T5174" s="3"/>
      <c r="U5174" s="3"/>
      <c r="V5174" s="3"/>
      <c r="W5174" s="3"/>
      <c r="X5174" s="3"/>
      <c r="Y5174" s="3"/>
    </row>
    <row r="5175">
      <c r="A5175" s="3"/>
      <c r="B5175" s="3"/>
      <c r="C5175" s="3"/>
      <c r="D5175" s="3"/>
      <c r="E5175" s="3"/>
      <c r="F5175" s="3"/>
      <c r="G5175" s="3"/>
      <c r="H5175" s="3"/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  <c r="T5175" s="3"/>
      <c r="U5175" s="3"/>
      <c r="V5175" s="3"/>
      <c r="W5175" s="3"/>
      <c r="X5175" s="3"/>
      <c r="Y5175" s="3"/>
    </row>
    <row r="5176">
      <c r="A5176" s="3"/>
      <c r="B5176" s="3"/>
      <c r="C5176" s="3"/>
      <c r="D5176" s="3"/>
      <c r="E5176" s="3"/>
      <c r="F5176" s="3"/>
      <c r="G5176" s="3"/>
      <c r="H5176" s="3"/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  <c r="T5176" s="3"/>
      <c r="U5176" s="3"/>
      <c r="V5176" s="3"/>
      <c r="W5176" s="3"/>
      <c r="X5176" s="3"/>
      <c r="Y5176" s="3"/>
    </row>
    <row r="5177">
      <c r="A5177" s="3"/>
      <c r="B5177" s="3"/>
      <c r="C5177" s="3"/>
      <c r="D5177" s="3"/>
      <c r="E5177" s="3"/>
      <c r="F5177" s="3"/>
      <c r="G5177" s="3"/>
      <c r="H5177" s="3"/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  <c r="T5177" s="3"/>
      <c r="U5177" s="3"/>
      <c r="V5177" s="3"/>
      <c r="W5177" s="3"/>
      <c r="X5177" s="3"/>
      <c r="Y5177" s="3"/>
    </row>
    <row r="5178">
      <c r="A5178" s="3"/>
      <c r="B5178" s="3"/>
      <c r="C5178" s="3"/>
      <c r="D5178" s="3"/>
      <c r="E5178" s="3"/>
      <c r="F5178" s="3"/>
      <c r="G5178" s="3"/>
      <c r="H5178" s="3"/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  <c r="T5178" s="3"/>
      <c r="U5178" s="3"/>
      <c r="V5178" s="3"/>
      <c r="W5178" s="3"/>
      <c r="X5178" s="3"/>
      <c r="Y5178" s="3"/>
    </row>
    <row r="5179">
      <c r="A5179" s="3"/>
      <c r="B5179" s="3"/>
      <c r="C5179" s="3"/>
      <c r="D5179" s="3"/>
      <c r="E5179" s="3"/>
      <c r="F5179" s="3"/>
      <c r="G5179" s="3"/>
      <c r="H5179" s="3"/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  <c r="T5179" s="3"/>
      <c r="U5179" s="3"/>
      <c r="V5179" s="3"/>
      <c r="W5179" s="3"/>
      <c r="X5179" s="3"/>
      <c r="Y5179" s="3"/>
    </row>
    <row r="5180">
      <c r="A5180" s="3"/>
      <c r="B5180" s="3"/>
      <c r="C5180" s="3"/>
      <c r="D5180" s="3"/>
      <c r="E5180" s="3"/>
      <c r="F5180" s="3"/>
      <c r="G5180" s="3"/>
      <c r="H5180" s="3"/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  <c r="T5180" s="3"/>
      <c r="U5180" s="3"/>
      <c r="V5180" s="3"/>
      <c r="W5180" s="3"/>
      <c r="X5180" s="3"/>
      <c r="Y5180" s="3"/>
    </row>
    <row r="5181">
      <c r="A5181" s="3"/>
      <c r="B5181" s="3"/>
      <c r="C5181" s="3"/>
      <c r="D5181" s="3"/>
      <c r="E5181" s="3"/>
      <c r="F5181" s="3"/>
      <c r="G5181" s="3"/>
      <c r="H5181" s="3"/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  <c r="T5181" s="3"/>
      <c r="U5181" s="3"/>
      <c r="V5181" s="3"/>
      <c r="W5181" s="3"/>
      <c r="X5181" s="3"/>
      <c r="Y5181" s="3"/>
    </row>
    <row r="5182">
      <c r="A5182" s="3"/>
      <c r="B5182" s="3"/>
      <c r="C5182" s="3"/>
      <c r="D5182" s="3"/>
      <c r="E5182" s="3"/>
      <c r="F5182" s="3"/>
      <c r="G5182" s="3"/>
      <c r="H5182" s="3"/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  <c r="T5182" s="3"/>
      <c r="U5182" s="3"/>
      <c r="V5182" s="3"/>
      <c r="W5182" s="3"/>
      <c r="X5182" s="3"/>
      <c r="Y5182" s="3"/>
    </row>
    <row r="5183">
      <c r="A5183" s="3"/>
      <c r="B5183" s="3"/>
      <c r="C5183" s="3"/>
      <c r="D5183" s="3"/>
      <c r="E5183" s="3"/>
      <c r="F5183" s="3"/>
      <c r="G5183" s="3"/>
      <c r="H5183" s="3"/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  <c r="T5183" s="3"/>
      <c r="U5183" s="3"/>
      <c r="V5183" s="3"/>
      <c r="W5183" s="3"/>
      <c r="X5183" s="3"/>
      <c r="Y5183" s="3"/>
    </row>
    <row r="5184">
      <c r="A5184" s="3"/>
      <c r="B5184" s="3"/>
      <c r="C5184" s="3"/>
      <c r="D5184" s="3"/>
      <c r="E5184" s="3"/>
      <c r="F5184" s="3"/>
      <c r="G5184" s="3"/>
      <c r="H5184" s="3"/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  <c r="T5184" s="3"/>
      <c r="U5184" s="3"/>
      <c r="V5184" s="3"/>
      <c r="W5184" s="3"/>
      <c r="X5184" s="3"/>
      <c r="Y5184" s="3"/>
    </row>
    <row r="5185">
      <c r="A5185" s="3"/>
      <c r="B5185" s="3"/>
      <c r="C5185" s="3"/>
      <c r="D5185" s="3"/>
      <c r="E5185" s="3"/>
      <c r="F5185" s="3"/>
      <c r="G5185" s="3"/>
      <c r="H5185" s="3"/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  <c r="T5185" s="3"/>
      <c r="U5185" s="3"/>
      <c r="V5185" s="3"/>
      <c r="W5185" s="3"/>
      <c r="X5185" s="3"/>
      <c r="Y5185" s="3"/>
    </row>
    <row r="5186">
      <c r="A5186" s="3"/>
      <c r="B5186" s="3"/>
      <c r="C5186" s="3"/>
      <c r="D5186" s="3"/>
      <c r="E5186" s="3"/>
      <c r="F5186" s="3"/>
      <c r="G5186" s="3"/>
      <c r="H5186" s="3"/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  <c r="T5186" s="3"/>
      <c r="U5186" s="3"/>
      <c r="V5186" s="3"/>
      <c r="W5186" s="3"/>
      <c r="X5186" s="3"/>
      <c r="Y5186" s="3"/>
    </row>
    <row r="5187">
      <c r="A5187" s="3"/>
      <c r="B5187" s="3"/>
      <c r="C5187" s="3"/>
      <c r="D5187" s="3"/>
      <c r="E5187" s="3"/>
      <c r="F5187" s="3"/>
      <c r="G5187" s="3"/>
      <c r="H5187" s="3"/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  <c r="T5187" s="3"/>
      <c r="U5187" s="3"/>
      <c r="V5187" s="3"/>
      <c r="W5187" s="3"/>
      <c r="X5187" s="3"/>
      <c r="Y5187" s="3"/>
    </row>
    <row r="5188">
      <c r="A5188" s="3"/>
      <c r="B5188" s="3"/>
      <c r="C5188" s="3"/>
      <c r="D5188" s="3"/>
      <c r="E5188" s="3"/>
      <c r="F5188" s="3"/>
      <c r="G5188" s="3"/>
      <c r="H5188" s="3"/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  <c r="T5188" s="3"/>
      <c r="U5188" s="3"/>
      <c r="V5188" s="3"/>
      <c r="W5188" s="3"/>
      <c r="X5188" s="3"/>
      <c r="Y5188" s="3"/>
    </row>
    <row r="5189">
      <c r="A5189" s="3"/>
      <c r="B5189" s="3"/>
      <c r="C5189" s="3"/>
      <c r="D5189" s="3"/>
      <c r="E5189" s="3"/>
      <c r="F5189" s="3"/>
      <c r="G5189" s="3"/>
      <c r="H5189" s="3"/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  <c r="T5189" s="3"/>
      <c r="U5189" s="3"/>
      <c r="V5189" s="3"/>
      <c r="W5189" s="3"/>
      <c r="X5189" s="3"/>
      <c r="Y5189" s="3"/>
    </row>
    <row r="5190">
      <c r="A5190" s="3"/>
      <c r="B5190" s="3"/>
      <c r="C5190" s="3"/>
      <c r="D5190" s="3"/>
      <c r="E5190" s="3"/>
      <c r="F5190" s="3"/>
      <c r="G5190" s="3"/>
      <c r="H5190" s="3"/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  <c r="T5190" s="3"/>
      <c r="U5190" s="3"/>
      <c r="V5190" s="3"/>
      <c r="W5190" s="3"/>
      <c r="X5190" s="3"/>
      <c r="Y5190" s="3"/>
    </row>
    <row r="5191">
      <c r="A5191" s="3"/>
      <c r="B5191" s="3"/>
      <c r="C5191" s="3"/>
      <c r="D5191" s="3"/>
      <c r="E5191" s="3"/>
      <c r="F5191" s="3"/>
      <c r="G5191" s="3"/>
      <c r="H5191" s="3"/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  <c r="T5191" s="3"/>
      <c r="U5191" s="3"/>
      <c r="V5191" s="3"/>
      <c r="W5191" s="3"/>
      <c r="X5191" s="3"/>
      <c r="Y5191" s="3"/>
    </row>
    <row r="5192">
      <c r="A5192" s="3"/>
      <c r="B5192" s="3"/>
      <c r="C5192" s="3"/>
      <c r="D5192" s="3"/>
      <c r="E5192" s="3"/>
      <c r="F5192" s="3"/>
      <c r="G5192" s="3"/>
      <c r="H5192" s="3"/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  <c r="T5192" s="3"/>
      <c r="U5192" s="3"/>
      <c r="V5192" s="3"/>
      <c r="W5192" s="3"/>
      <c r="X5192" s="3"/>
      <c r="Y5192" s="3"/>
    </row>
    <row r="5193">
      <c r="A5193" s="3"/>
      <c r="B5193" s="3"/>
      <c r="C5193" s="3"/>
      <c r="D5193" s="3"/>
      <c r="E5193" s="3"/>
      <c r="F5193" s="3"/>
      <c r="G5193" s="3"/>
      <c r="H5193" s="3"/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  <c r="T5193" s="3"/>
      <c r="U5193" s="3"/>
      <c r="V5193" s="3"/>
      <c r="W5193" s="3"/>
      <c r="X5193" s="3"/>
      <c r="Y5193" s="3"/>
    </row>
    <row r="5194">
      <c r="A5194" s="3"/>
      <c r="B5194" s="3"/>
      <c r="C5194" s="3"/>
      <c r="D5194" s="3"/>
      <c r="E5194" s="3"/>
      <c r="F5194" s="3"/>
      <c r="G5194" s="3"/>
      <c r="H5194" s="3"/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  <c r="T5194" s="3"/>
      <c r="U5194" s="3"/>
      <c r="V5194" s="3"/>
      <c r="W5194" s="3"/>
      <c r="X5194" s="3"/>
      <c r="Y5194" s="3"/>
    </row>
    <row r="5195">
      <c r="A5195" s="3"/>
      <c r="B5195" s="3"/>
      <c r="C5195" s="3"/>
      <c r="D5195" s="3"/>
      <c r="E5195" s="3"/>
      <c r="F5195" s="3"/>
      <c r="G5195" s="3"/>
      <c r="H5195" s="3"/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  <c r="T5195" s="3"/>
      <c r="U5195" s="3"/>
      <c r="V5195" s="3"/>
      <c r="W5195" s="3"/>
      <c r="X5195" s="3"/>
      <c r="Y5195" s="3"/>
    </row>
    <row r="5196">
      <c r="A5196" s="3"/>
      <c r="B5196" s="3"/>
      <c r="C5196" s="3"/>
      <c r="D5196" s="3"/>
      <c r="E5196" s="3"/>
      <c r="F5196" s="3"/>
      <c r="G5196" s="3"/>
      <c r="H5196" s="3"/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  <c r="T5196" s="3"/>
      <c r="U5196" s="3"/>
      <c r="V5196" s="3"/>
      <c r="W5196" s="3"/>
      <c r="X5196" s="3"/>
      <c r="Y5196" s="3"/>
    </row>
    <row r="5197">
      <c r="A5197" s="3"/>
      <c r="B5197" s="3"/>
      <c r="C5197" s="3"/>
      <c r="D5197" s="3"/>
      <c r="E5197" s="3"/>
      <c r="F5197" s="3"/>
      <c r="G5197" s="3"/>
      <c r="H5197" s="3"/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  <c r="T5197" s="3"/>
      <c r="U5197" s="3"/>
      <c r="V5197" s="3"/>
      <c r="W5197" s="3"/>
      <c r="X5197" s="3"/>
      <c r="Y5197" s="3"/>
    </row>
    <row r="5198">
      <c r="A5198" s="3"/>
      <c r="B5198" s="3"/>
      <c r="C5198" s="3"/>
      <c r="D5198" s="3"/>
      <c r="E5198" s="3"/>
      <c r="F5198" s="3"/>
      <c r="G5198" s="3"/>
      <c r="H5198" s="3"/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  <c r="T5198" s="3"/>
      <c r="U5198" s="3"/>
      <c r="V5198" s="3"/>
      <c r="W5198" s="3"/>
      <c r="X5198" s="3"/>
      <c r="Y5198" s="3"/>
    </row>
    <row r="5199">
      <c r="A5199" s="3"/>
      <c r="B5199" s="3"/>
      <c r="C5199" s="3"/>
      <c r="D5199" s="3"/>
      <c r="E5199" s="3"/>
      <c r="F5199" s="3"/>
      <c r="G5199" s="3"/>
      <c r="H5199" s="3"/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  <c r="T5199" s="3"/>
      <c r="U5199" s="3"/>
      <c r="V5199" s="3"/>
      <c r="W5199" s="3"/>
      <c r="X5199" s="3"/>
      <c r="Y5199" s="3"/>
    </row>
    <row r="5200">
      <c r="A5200" s="3"/>
      <c r="B5200" s="3"/>
      <c r="C5200" s="3"/>
      <c r="D5200" s="3"/>
      <c r="E5200" s="3"/>
      <c r="F5200" s="3"/>
      <c r="G5200" s="3"/>
      <c r="H5200" s="3"/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  <c r="T5200" s="3"/>
      <c r="U5200" s="3"/>
      <c r="V5200" s="3"/>
      <c r="W5200" s="3"/>
      <c r="X5200" s="3"/>
      <c r="Y5200" s="3"/>
    </row>
    <row r="5201">
      <c r="A5201" s="3"/>
      <c r="B5201" s="3"/>
      <c r="C5201" s="3"/>
      <c r="D5201" s="3"/>
      <c r="E5201" s="3"/>
      <c r="F5201" s="3"/>
      <c r="G5201" s="3"/>
      <c r="H5201" s="3"/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  <c r="T5201" s="3"/>
      <c r="U5201" s="3"/>
      <c r="V5201" s="3"/>
      <c r="W5201" s="3"/>
      <c r="X5201" s="3"/>
      <c r="Y5201" s="3"/>
    </row>
    <row r="5202">
      <c r="A5202" s="3"/>
      <c r="B5202" s="3"/>
      <c r="C5202" s="3"/>
      <c r="D5202" s="3"/>
      <c r="E5202" s="3"/>
      <c r="F5202" s="3"/>
      <c r="G5202" s="3"/>
      <c r="H5202" s="3"/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  <c r="T5202" s="3"/>
      <c r="U5202" s="3"/>
      <c r="V5202" s="3"/>
      <c r="W5202" s="3"/>
      <c r="X5202" s="3"/>
      <c r="Y5202" s="3"/>
    </row>
    <row r="5203">
      <c r="A5203" s="3"/>
      <c r="B5203" s="3"/>
      <c r="C5203" s="3"/>
      <c r="D5203" s="3"/>
      <c r="E5203" s="3"/>
      <c r="F5203" s="3"/>
      <c r="G5203" s="3"/>
      <c r="H5203" s="3"/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  <c r="T5203" s="3"/>
      <c r="U5203" s="3"/>
      <c r="V5203" s="3"/>
      <c r="W5203" s="3"/>
      <c r="X5203" s="3"/>
      <c r="Y5203" s="3"/>
    </row>
    <row r="5204">
      <c r="A5204" s="3"/>
      <c r="B5204" s="3"/>
      <c r="C5204" s="3"/>
      <c r="D5204" s="3"/>
      <c r="E5204" s="3"/>
      <c r="F5204" s="3"/>
      <c r="G5204" s="3"/>
      <c r="H5204" s="3"/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  <c r="T5204" s="3"/>
      <c r="U5204" s="3"/>
      <c r="V5204" s="3"/>
      <c r="W5204" s="3"/>
      <c r="X5204" s="3"/>
      <c r="Y5204" s="3"/>
    </row>
    <row r="5205">
      <c r="A5205" s="3"/>
      <c r="B5205" s="3"/>
      <c r="C5205" s="3"/>
      <c r="D5205" s="3"/>
      <c r="E5205" s="3"/>
      <c r="F5205" s="3"/>
      <c r="G5205" s="3"/>
      <c r="H5205" s="3"/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  <c r="T5205" s="3"/>
      <c r="U5205" s="3"/>
      <c r="V5205" s="3"/>
      <c r="W5205" s="3"/>
      <c r="X5205" s="3"/>
      <c r="Y5205" s="3"/>
    </row>
    <row r="5206">
      <c r="A5206" s="3"/>
      <c r="B5206" s="3"/>
      <c r="C5206" s="3"/>
      <c r="D5206" s="3"/>
      <c r="E5206" s="3"/>
      <c r="F5206" s="3"/>
      <c r="G5206" s="3"/>
      <c r="H5206" s="3"/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  <c r="T5206" s="3"/>
      <c r="U5206" s="3"/>
      <c r="V5206" s="3"/>
      <c r="W5206" s="3"/>
      <c r="X5206" s="3"/>
      <c r="Y5206" s="3"/>
    </row>
    <row r="5207">
      <c r="A5207" s="3"/>
      <c r="B5207" s="3"/>
      <c r="C5207" s="3"/>
      <c r="D5207" s="3"/>
      <c r="E5207" s="3"/>
      <c r="F5207" s="3"/>
      <c r="G5207" s="3"/>
      <c r="H5207" s="3"/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  <c r="T5207" s="3"/>
      <c r="U5207" s="3"/>
      <c r="V5207" s="3"/>
      <c r="W5207" s="3"/>
      <c r="X5207" s="3"/>
      <c r="Y5207" s="3"/>
    </row>
    <row r="5208">
      <c r="A5208" s="3"/>
      <c r="B5208" s="3"/>
      <c r="C5208" s="3"/>
      <c r="D5208" s="3"/>
      <c r="E5208" s="3"/>
      <c r="F5208" s="3"/>
      <c r="G5208" s="3"/>
      <c r="H5208" s="3"/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  <c r="T5208" s="3"/>
      <c r="U5208" s="3"/>
      <c r="V5208" s="3"/>
      <c r="W5208" s="3"/>
      <c r="X5208" s="3"/>
      <c r="Y5208" s="3"/>
    </row>
    <row r="5209">
      <c r="A5209" s="3"/>
      <c r="B5209" s="3"/>
      <c r="C5209" s="3"/>
      <c r="D5209" s="3"/>
      <c r="E5209" s="3"/>
      <c r="F5209" s="3"/>
      <c r="G5209" s="3"/>
      <c r="H5209" s="3"/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  <c r="T5209" s="3"/>
      <c r="U5209" s="3"/>
      <c r="V5209" s="3"/>
      <c r="W5209" s="3"/>
      <c r="X5209" s="3"/>
      <c r="Y5209" s="3"/>
    </row>
    <row r="5210">
      <c r="A5210" s="3"/>
      <c r="B5210" s="3"/>
      <c r="C5210" s="3"/>
      <c r="D5210" s="3"/>
      <c r="E5210" s="3"/>
      <c r="F5210" s="3"/>
      <c r="G5210" s="3"/>
      <c r="H5210" s="3"/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  <c r="T5210" s="3"/>
      <c r="U5210" s="3"/>
      <c r="V5210" s="3"/>
      <c r="W5210" s="3"/>
      <c r="X5210" s="3"/>
      <c r="Y5210" s="3"/>
    </row>
    <row r="5211">
      <c r="A5211" s="3"/>
      <c r="B5211" s="3"/>
      <c r="C5211" s="3"/>
      <c r="D5211" s="3"/>
      <c r="E5211" s="3"/>
      <c r="F5211" s="3"/>
      <c r="G5211" s="3"/>
      <c r="H5211" s="3"/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  <c r="T5211" s="3"/>
      <c r="U5211" s="3"/>
      <c r="V5211" s="3"/>
      <c r="W5211" s="3"/>
      <c r="X5211" s="3"/>
      <c r="Y5211" s="3"/>
    </row>
    <row r="5212">
      <c r="A5212" s="3"/>
      <c r="B5212" s="3"/>
      <c r="C5212" s="3"/>
      <c r="D5212" s="3"/>
      <c r="E5212" s="3"/>
      <c r="F5212" s="3"/>
      <c r="G5212" s="3"/>
      <c r="H5212" s="3"/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  <c r="T5212" s="3"/>
      <c r="U5212" s="3"/>
      <c r="V5212" s="3"/>
      <c r="W5212" s="3"/>
      <c r="X5212" s="3"/>
      <c r="Y5212" s="3"/>
    </row>
    <row r="5213">
      <c r="A5213" s="3"/>
      <c r="B5213" s="3"/>
      <c r="C5213" s="3"/>
      <c r="D5213" s="3"/>
      <c r="E5213" s="3"/>
      <c r="F5213" s="3"/>
      <c r="G5213" s="3"/>
      <c r="H5213" s="3"/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  <c r="T5213" s="3"/>
      <c r="U5213" s="3"/>
      <c r="V5213" s="3"/>
      <c r="W5213" s="3"/>
      <c r="X5213" s="3"/>
      <c r="Y5213" s="3"/>
    </row>
    <row r="5214">
      <c r="A5214" s="3"/>
      <c r="B5214" s="3"/>
      <c r="C5214" s="3"/>
      <c r="D5214" s="3"/>
      <c r="E5214" s="3"/>
      <c r="F5214" s="3"/>
      <c r="G5214" s="3"/>
      <c r="H5214" s="3"/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  <c r="T5214" s="3"/>
      <c r="U5214" s="3"/>
      <c r="V5214" s="3"/>
      <c r="W5214" s="3"/>
      <c r="X5214" s="3"/>
      <c r="Y5214" s="3"/>
    </row>
    <row r="5215">
      <c r="A5215" s="3"/>
      <c r="B5215" s="3"/>
      <c r="C5215" s="3"/>
      <c r="D5215" s="3"/>
      <c r="E5215" s="3"/>
      <c r="F5215" s="3"/>
      <c r="G5215" s="3"/>
      <c r="H5215" s="3"/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  <c r="T5215" s="3"/>
      <c r="U5215" s="3"/>
      <c r="V5215" s="3"/>
      <c r="W5215" s="3"/>
      <c r="X5215" s="3"/>
      <c r="Y5215" s="3"/>
    </row>
    <row r="5216">
      <c r="A5216" s="3"/>
      <c r="B5216" s="3"/>
      <c r="C5216" s="3"/>
      <c r="D5216" s="3"/>
      <c r="E5216" s="3"/>
      <c r="F5216" s="3"/>
      <c r="G5216" s="3"/>
      <c r="H5216" s="3"/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  <c r="T5216" s="3"/>
      <c r="U5216" s="3"/>
      <c r="V5216" s="3"/>
      <c r="W5216" s="3"/>
      <c r="X5216" s="3"/>
      <c r="Y5216" s="3"/>
    </row>
    <row r="5217">
      <c r="A5217" s="3"/>
      <c r="B5217" s="3"/>
      <c r="C5217" s="3"/>
      <c r="D5217" s="3"/>
      <c r="E5217" s="3"/>
      <c r="F5217" s="3"/>
      <c r="G5217" s="3"/>
      <c r="H5217" s="3"/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  <c r="T5217" s="3"/>
      <c r="U5217" s="3"/>
      <c r="V5217" s="3"/>
      <c r="W5217" s="3"/>
      <c r="X5217" s="3"/>
      <c r="Y5217" s="3"/>
    </row>
    <row r="5218">
      <c r="A5218" s="3"/>
      <c r="B5218" s="3"/>
      <c r="C5218" s="3"/>
      <c r="D5218" s="3"/>
      <c r="E5218" s="3"/>
      <c r="F5218" s="3"/>
      <c r="G5218" s="3"/>
      <c r="H5218" s="3"/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  <c r="T5218" s="3"/>
      <c r="U5218" s="3"/>
      <c r="V5218" s="3"/>
      <c r="W5218" s="3"/>
      <c r="X5218" s="3"/>
      <c r="Y5218" s="3"/>
    </row>
    <row r="5219">
      <c r="A5219" s="3"/>
      <c r="B5219" s="3"/>
      <c r="C5219" s="3"/>
      <c r="D5219" s="3"/>
      <c r="E5219" s="3"/>
      <c r="F5219" s="3"/>
      <c r="G5219" s="3"/>
      <c r="H5219" s="3"/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  <c r="T5219" s="3"/>
      <c r="U5219" s="3"/>
      <c r="V5219" s="3"/>
      <c r="W5219" s="3"/>
      <c r="X5219" s="3"/>
      <c r="Y5219" s="3"/>
    </row>
    <row r="5220">
      <c r="A5220" s="3"/>
      <c r="B5220" s="3"/>
      <c r="C5220" s="3"/>
      <c r="D5220" s="3"/>
      <c r="E5220" s="3"/>
      <c r="F5220" s="3"/>
      <c r="G5220" s="3"/>
      <c r="H5220" s="3"/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  <c r="T5220" s="3"/>
      <c r="U5220" s="3"/>
      <c r="V5220" s="3"/>
      <c r="W5220" s="3"/>
      <c r="X5220" s="3"/>
      <c r="Y5220" s="3"/>
    </row>
    <row r="5221">
      <c r="A5221" s="3"/>
      <c r="B5221" s="3"/>
      <c r="C5221" s="3"/>
      <c r="D5221" s="3"/>
      <c r="E5221" s="3"/>
      <c r="F5221" s="3"/>
      <c r="G5221" s="3"/>
      <c r="H5221" s="3"/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  <c r="T5221" s="3"/>
      <c r="U5221" s="3"/>
      <c r="V5221" s="3"/>
      <c r="W5221" s="3"/>
      <c r="X5221" s="3"/>
      <c r="Y5221" s="3"/>
    </row>
    <row r="5222">
      <c r="A5222" s="3"/>
      <c r="B5222" s="3"/>
      <c r="C5222" s="3"/>
      <c r="D5222" s="3"/>
      <c r="E5222" s="3"/>
      <c r="F5222" s="3"/>
      <c r="G5222" s="3"/>
      <c r="H5222" s="3"/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  <c r="T5222" s="3"/>
      <c r="U5222" s="3"/>
      <c r="V5222" s="3"/>
      <c r="W5222" s="3"/>
      <c r="X5222" s="3"/>
      <c r="Y5222" s="3"/>
    </row>
    <row r="5223">
      <c r="A5223" s="3"/>
      <c r="B5223" s="3"/>
      <c r="C5223" s="3"/>
      <c r="D5223" s="3"/>
      <c r="E5223" s="3"/>
      <c r="F5223" s="3"/>
      <c r="G5223" s="3"/>
      <c r="H5223" s="3"/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  <c r="T5223" s="3"/>
      <c r="U5223" s="3"/>
      <c r="V5223" s="3"/>
      <c r="W5223" s="3"/>
      <c r="X5223" s="3"/>
      <c r="Y5223" s="3"/>
    </row>
    <row r="5224">
      <c r="A5224" s="3"/>
      <c r="B5224" s="3"/>
      <c r="C5224" s="3"/>
      <c r="D5224" s="3"/>
      <c r="E5224" s="3"/>
      <c r="F5224" s="3"/>
      <c r="G5224" s="3"/>
      <c r="H5224" s="3"/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  <c r="T5224" s="3"/>
      <c r="U5224" s="3"/>
      <c r="V5224" s="3"/>
      <c r="W5224" s="3"/>
      <c r="X5224" s="3"/>
      <c r="Y5224" s="3"/>
    </row>
    <row r="5225">
      <c r="A5225" s="3"/>
      <c r="B5225" s="3"/>
      <c r="C5225" s="3"/>
      <c r="D5225" s="3"/>
      <c r="E5225" s="3"/>
      <c r="F5225" s="3"/>
      <c r="G5225" s="3"/>
      <c r="H5225" s="3"/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  <c r="T5225" s="3"/>
      <c r="U5225" s="3"/>
      <c r="V5225" s="3"/>
      <c r="W5225" s="3"/>
      <c r="X5225" s="3"/>
      <c r="Y5225" s="3"/>
    </row>
    <row r="5226">
      <c r="A5226" s="3"/>
      <c r="B5226" s="3"/>
      <c r="C5226" s="3"/>
      <c r="D5226" s="3"/>
      <c r="E5226" s="3"/>
      <c r="F5226" s="3"/>
      <c r="G5226" s="3"/>
      <c r="H5226" s="3"/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  <c r="T5226" s="3"/>
      <c r="U5226" s="3"/>
      <c r="V5226" s="3"/>
      <c r="W5226" s="3"/>
      <c r="X5226" s="3"/>
      <c r="Y5226" s="3"/>
    </row>
    <row r="5227">
      <c r="A5227" s="3"/>
      <c r="B5227" s="3"/>
      <c r="C5227" s="3"/>
      <c r="D5227" s="3"/>
      <c r="E5227" s="3"/>
      <c r="F5227" s="3"/>
      <c r="G5227" s="3"/>
      <c r="H5227" s="3"/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  <c r="T5227" s="3"/>
      <c r="U5227" s="3"/>
      <c r="V5227" s="3"/>
      <c r="W5227" s="3"/>
      <c r="X5227" s="3"/>
      <c r="Y5227" s="3"/>
    </row>
    <row r="5228">
      <c r="A5228" s="3"/>
      <c r="B5228" s="3"/>
      <c r="C5228" s="3"/>
      <c r="D5228" s="3"/>
      <c r="E5228" s="3"/>
      <c r="F5228" s="3"/>
      <c r="G5228" s="3"/>
      <c r="H5228" s="3"/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  <c r="T5228" s="3"/>
      <c r="U5228" s="3"/>
      <c r="V5228" s="3"/>
      <c r="W5228" s="3"/>
      <c r="X5228" s="3"/>
      <c r="Y5228" s="3"/>
    </row>
    <row r="5229">
      <c r="A5229" s="3"/>
      <c r="B5229" s="3"/>
      <c r="C5229" s="3"/>
      <c r="D5229" s="3"/>
      <c r="E5229" s="3"/>
      <c r="F5229" s="3"/>
      <c r="G5229" s="3"/>
      <c r="H5229" s="3"/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  <c r="T5229" s="3"/>
      <c r="U5229" s="3"/>
      <c r="V5229" s="3"/>
      <c r="W5229" s="3"/>
      <c r="X5229" s="3"/>
      <c r="Y5229" s="3"/>
    </row>
    <row r="5230">
      <c r="A5230" s="3"/>
      <c r="B5230" s="3"/>
      <c r="C5230" s="3"/>
      <c r="D5230" s="3"/>
      <c r="E5230" s="3"/>
      <c r="F5230" s="3"/>
      <c r="G5230" s="3"/>
      <c r="H5230" s="3"/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  <c r="T5230" s="3"/>
      <c r="U5230" s="3"/>
      <c r="V5230" s="3"/>
      <c r="W5230" s="3"/>
      <c r="X5230" s="3"/>
      <c r="Y5230" s="3"/>
    </row>
    <row r="5231">
      <c r="A5231" s="3"/>
      <c r="B5231" s="3"/>
      <c r="C5231" s="3"/>
      <c r="D5231" s="3"/>
      <c r="E5231" s="3"/>
      <c r="F5231" s="3"/>
      <c r="G5231" s="3"/>
      <c r="H5231" s="3"/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  <c r="T5231" s="3"/>
      <c r="U5231" s="3"/>
      <c r="V5231" s="3"/>
      <c r="W5231" s="3"/>
      <c r="X5231" s="3"/>
      <c r="Y5231" s="3"/>
    </row>
    <row r="5232">
      <c r="A5232" s="3"/>
      <c r="B5232" s="3"/>
      <c r="C5232" s="3"/>
      <c r="D5232" s="3"/>
      <c r="E5232" s="3"/>
      <c r="F5232" s="3"/>
      <c r="G5232" s="3"/>
      <c r="H5232" s="3"/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  <c r="T5232" s="3"/>
      <c r="U5232" s="3"/>
      <c r="V5232" s="3"/>
      <c r="W5232" s="3"/>
      <c r="X5232" s="3"/>
      <c r="Y5232" s="3"/>
    </row>
    <row r="5233">
      <c r="A5233" s="3"/>
      <c r="B5233" s="3"/>
      <c r="C5233" s="3"/>
      <c r="D5233" s="3"/>
      <c r="E5233" s="3"/>
      <c r="F5233" s="3"/>
      <c r="G5233" s="3"/>
      <c r="H5233" s="3"/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  <c r="T5233" s="3"/>
      <c r="U5233" s="3"/>
      <c r="V5233" s="3"/>
      <c r="W5233" s="3"/>
      <c r="X5233" s="3"/>
      <c r="Y5233" s="3"/>
    </row>
    <row r="5234">
      <c r="A5234" s="3"/>
      <c r="B5234" s="3"/>
      <c r="C5234" s="3"/>
      <c r="D5234" s="3"/>
      <c r="E5234" s="3"/>
      <c r="F5234" s="3"/>
      <c r="G5234" s="3"/>
      <c r="H5234" s="3"/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  <c r="T5234" s="3"/>
      <c r="U5234" s="3"/>
      <c r="V5234" s="3"/>
      <c r="W5234" s="3"/>
      <c r="X5234" s="3"/>
      <c r="Y5234" s="3"/>
    </row>
    <row r="5235">
      <c r="A5235" s="3"/>
      <c r="B5235" s="3"/>
      <c r="C5235" s="3"/>
      <c r="D5235" s="3"/>
      <c r="E5235" s="3"/>
      <c r="F5235" s="3"/>
      <c r="G5235" s="3"/>
      <c r="H5235" s="3"/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  <c r="T5235" s="3"/>
      <c r="U5235" s="3"/>
      <c r="V5235" s="3"/>
      <c r="W5235" s="3"/>
      <c r="X5235" s="3"/>
      <c r="Y5235" s="3"/>
    </row>
    <row r="5236">
      <c r="A5236" s="3"/>
      <c r="B5236" s="3"/>
      <c r="C5236" s="3"/>
      <c r="D5236" s="3"/>
      <c r="E5236" s="3"/>
      <c r="F5236" s="3"/>
      <c r="G5236" s="3"/>
      <c r="H5236" s="3"/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  <c r="T5236" s="3"/>
      <c r="U5236" s="3"/>
      <c r="V5236" s="3"/>
      <c r="W5236" s="3"/>
      <c r="X5236" s="3"/>
      <c r="Y5236" s="3"/>
    </row>
    <row r="5237">
      <c r="A5237" s="3"/>
      <c r="B5237" s="3"/>
      <c r="C5237" s="3"/>
      <c r="D5237" s="3"/>
      <c r="E5237" s="3"/>
      <c r="F5237" s="3"/>
      <c r="G5237" s="3"/>
      <c r="H5237" s="3"/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  <c r="T5237" s="3"/>
      <c r="U5237" s="3"/>
      <c r="V5237" s="3"/>
      <c r="W5237" s="3"/>
      <c r="X5237" s="3"/>
      <c r="Y5237" s="3"/>
    </row>
    <row r="5238">
      <c r="A5238" s="3"/>
      <c r="B5238" s="3"/>
      <c r="C5238" s="3"/>
      <c r="D5238" s="3"/>
      <c r="E5238" s="3"/>
      <c r="F5238" s="3"/>
      <c r="G5238" s="3"/>
      <c r="H5238" s="3"/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  <c r="T5238" s="3"/>
      <c r="U5238" s="3"/>
      <c r="V5238" s="3"/>
      <c r="W5238" s="3"/>
      <c r="X5238" s="3"/>
      <c r="Y5238" s="3"/>
    </row>
    <row r="5239">
      <c r="A5239" s="3"/>
      <c r="B5239" s="3"/>
      <c r="C5239" s="3"/>
      <c r="D5239" s="3"/>
      <c r="E5239" s="3"/>
      <c r="F5239" s="3"/>
      <c r="G5239" s="3"/>
      <c r="H5239" s="3"/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  <c r="T5239" s="3"/>
      <c r="U5239" s="3"/>
      <c r="V5239" s="3"/>
      <c r="W5239" s="3"/>
      <c r="X5239" s="3"/>
      <c r="Y5239" s="3"/>
    </row>
    <row r="5240">
      <c r="A5240" s="3"/>
      <c r="B5240" s="3"/>
      <c r="C5240" s="3"/>
      <c r="D5240" s="3"/>
      <c r="E5240" s="3"/>
      <c r="F5240" s="3"/>
      <c r="G5240" s="3"/>
      <c r="H5240" s="3"/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  <c r="T5240" s="3"/>
      <c r="U5240" s="3"/>
      <c r="V5240" s="3"/>
      <c r="W5240" s="3"/>
      <c r="X5240" s="3"/>
      <c r="Y5240" s="3"/>
    </row>
    <row r="5241">
      <c r="A5241" s="3"/>
      <c r="B5241" s="3"/>
      <c r="C5241" s="3"/>
      <c r="D5241" s="3"/>
      <c r="E5241" s="3"/>
      <c r="F5241" s="3"/>
      <c r="G5241" s="3"/>
      <c r="H5241" s="3"/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  <c r="T5241" s="3"/>
      <c r="U5241" s="3"/>
      <c r="V5241" s="3"/>
      <c r="W5241" s="3"/>
      <c r="X5241" s="3"/>
      <c r="Y5241" s="3"/>
    </row>
    <row r="5242">
      <c r="A5242" s="3"/>
      <c r="B5242" s="3"/>
      <c r="C5242" s="3"/>
      <c r="D5242" s="3"/>
      <c r="E5242" s="3"/>
      <c r="F5242" s="3"/>
      <c r="G5242" s="3"/>
      <c r="H5242" s="3"/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  <c r="T5242" s="3"/>
      <c r="U5242" s="3"/>
      <c r="V5242" s="3"/>
      <c r="W5242" s="3"/>
      <c r="X5242" s="3"/>
      <c r="Y5242" s="3"/>
    </row>
    <row r="5243">
      <c r="A5243" s="3"/>
      <c r="B5243" s="3"/>
      <c r="C5243" s="3"/>
      <c r="D5243" s="3"/>
      <c r="E5243" s="3"/>
      <c r="F5243" s="3"/>
      <c r="G5243" s="3"/>
      <c r="H5243" s="3"/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  <c r="T5243" s="3"/>
      <c r="U5243" s="3"/>
      <c r="V5243" s="3"/>
      <c r="W5243" s="3"/>
      <c r="X5243" s="3"/>
      <c r="Y5243" s="3"/>
    </row>
    <row r="5244">
      <c r="A5244" s="3"/>
      <c r="B5244" s="3"/>
      <c r="C5244" s="3"/>
      <c r="D5244" s="3"/>
      <c r="E5244" s="3"/>
      <c r="F5244" s="3"/>
      <c r="G5244" s="3"/>
      <c r="H5244" s="3"/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  <c r="T5244" s="3"/>
      <c r="U5244" s="3"/>
      <c r="V5244" s="3"/>
      <c r="W5244" s="3"/>
      <c r="X5244" s="3"/>
      <c r="Y5244" s="3"/>
    </row>
    <row r="5245">
      <c r="A5245" s="3"/>
      <c r="B5245" s="3"/>
      <c r="C5245" s="3"/>
      <c r="D5245" s="3"/>
      <c r="E5245" s="3"/>
      <c r="F5245" s="3"/>
      <c r="G5245" s="3"/>
      <c r="H5245" s="3"/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  <c r="T5245" s="3"/>
      <c r="U5245" s="3"/>
      <c r="V5245" s="3"/>
      <c r="W5245" s="3"/>
      <c r="X5245" s="3"/>
      <c r="Y5245" s="3"/>
    </row>
    <row r="5246">
      <c r="A5246" s="3"/>
      <c r="B5246" s="3"/>
      <c r="C5246" s="3"/>
      <c r="D5246" s="3"/>
      <c r="E5246" s="3"/>
      <c r="F5246" s="3"/>
      <c r="G5246" s="3"/>
      <c r="H5246" s="3"/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  <c r="T5246" s="3"/>
      <c r="U5246" s="3"/>
      <c r="V5246" s="3"/>
      <c r="W5246" s="3"/>
      <c r="X5246" s="3"/>
      <c r="Y5246" s="3"/>
    </row>
    <row r="5247">
      <c r="A5247" s="3"/>
      <c r="B5247" s="3"/>
      <c r="C5247" s="3"/>
      <c r="D5247" s="3"/>
      <c r="E5247" s="3"/>
      <c r="F5247" s="3"/>
      <c r="G5247" s="3"/>
      <c r="H5247" s="3"/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  <c r="T5247" s="3"/>
      <c r="U5247" s="3"/>
      <c r="V5247" s="3"/>
      <c r="W5247" s="3"/>
      <c r="X5247" s="3"/>
      <c r="Y5247" s="3"/>
    </row>
    <row r="5248">
      <c r="A5248" s="3"/>
      <c r="B5248" s="3"/>
      <c r="C5248" s="3"/>
      <c r="D5248" s="3"/>
      <c r="E5248" s="3"/>
      <c r="F5248" s="3"/>
      <c r="G5248" s="3"/>
      <c r="H5248" s="3"/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  <c r="T5248" s="3"/>
      <c r="U5248" s="3"/>
      <c r="V5248" s="3"/>
      <c r="W5248" s="3"/>
      <c r="X5248" s="3"/>
      <c r="Y5248" s="3"/>
    </row>
    <row r="5249">
      <c r="A5249" s="3"/>
      <c r="B5249" s="3"/>
      <c r="C5249" s="3"/>
      <c r="D5249" s="3"/>
      <c r="E5249" s="3"/>
      <c r="F5249" s="3"/>
      <c r="G5249" s="3"/>
      <c r="H5249" s="3"/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  <c r="T5249" s="3"/>
      <c r="U5249" s="3"/>
      <c r="V5249" s="3"/>
      <c r="W5249" s="3"/>
      <c r="X5249" s="3"/>
      <c r="Y5249" s="3"/>
    </row>
    <row r="5250">
      <c r="A5250" s="3"/>
      <c r="B5250" s="3"/>
      <c r="C5250" s="3"/>
      <c r="D5250" s="3"/>
      <c r="E5250" s="3"/>
      <c r="F5250" s="3"/>
      <c r="G5250" s="3"/>
      <c r="H5250" s="3"/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  <c r="T5250" s="3"/>
      <c r="U5250" s="3"/>
      <c r="V5250" s="3"/>
      <c r="W5250" s="3"/>
      <c r="X5250" s="3"/>
      <c r="Y5250" s="3"/>
    </row>
    <row r="5251">
      <c r="A5251" s="3"/>
      <c r="B5251" s="3"/>
      <c r="C5251" s="3"/>
      <c r="D5251" s="3"/>
      <c r="E5251" s="3"/>
      <c r="F5251" s="3"/>
      <c r="G5251" s="3"/>
      <c r="H5251" s="3"/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  <c r="T5251" s="3"/>
      <c r="U5251" s="3"/>
      <c r="V5251" s="3"/>
      <c r="W5251" s="3"/>
      <c r="X5251" s="3"/>
      <c r="Y5251" s="3"/>
    </row>
    <row r="5252">
      <c r="A5252" s="3"/>
      <c r="B5252" s="3"/>
      <c r="C5252" s="3"/>
      <c r="D5252" s="3"/>
      <c r="E5252" s="3"/>
      <c r="F5252" s="3"/>
      <c r="G5252" s="3"/>
      <c r="H5252" s="3"/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  <c r="T5252" s="3"/>
      <c r="U5252" s="3"/>
      <c r="V5252" s="3"/>
      <c r="W5252" s="3"/>
      <c r="X5252" s="3"/>
      <c r="Y5252" s="3"/>
    </row>
    <row r="5253">
      <c r="A5253" s="3"/>
      <c r="B5253" s="3"/>
      <c r="C5253" s="3"/>
      <c r="D5253" s="3"/>
      <c r="E5253" s="3"/>
      <c r="F5253" s="3"/>
      <c r="G5253" s="3"/>
      <c r="H5253" s="3"/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  <c r="T5253" s="3"/>
      <c r="U5253" s="3"/>
      <c r="V5253" s="3"/>
      <c r="W5253" s="3"/>
      <c r="X5253" s="3"/>
      <c r="Y5253" s="3"/>
    </row>
    <row r="5254">
      <c r="A5254" s="3"/>
      <c r="B5254" s="3"/>
      <c r="C5254" s="3"/>
      <c r="D5254" s="3"/>
      <c r="E5254" s="3"/>
      <c r="F5254" s="3"/>
      <c r="G5254" s="3"/>
      <c r="H5254" s="3"/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  <c r="T5254" s="3"/>
      <c r="U5254" s="3"/>
      <c r="V5254" s="3"/>
      <c r="W5254" s="3"/>
      <c r="X5254" s="3"/>
      <c r="Y5254" s="3"/>
    </row>
    <row r="5255">
      <c r="A5255" s="3"/>
      <c r="B5255" s="3"/>
      <c r="C5255" s="3"/>
      <c r="D5255" s="3"/>
      <c r="E5255" s="3"/>
      <c r="F5255" s="3"/>
      <c r="G5255" s="3"/>
      <c r="H5255" s="3"/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  <c r="T5255" s="3"/>
      <c r="U5255" s="3"/>
      <c r="V5255" s="3"/>
      <c r="W5255" s="3"/>
      <c r="X5255" s="3"/>
      <c r="Y5255" s="3"/>
    </row>
    <row r="5256">
      <c r="A5256" s="3"/>
      <c r="B5256" s="3"/>
      <c r="C5256" s="3"/>
      <c r="D5256" s="3"/>
      <c r="E5256" s="3"/>
      <c r="F5256" s="3"/>
      <c r="G5256" s="3"/>
      <c r="H5256" s="3"/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  <c r="T5256" s="3"/>
      <c r="U5256" s="3"/>
      <c r="V5256" s="3"/>
      <c r="W5256" s="3"/>
      <c r="X5256" s="3"/>
      <c r="Y5256" s="3"/>
    </row>
    <row r="5257">
      <c r="A5257" s="3"/>
      <c r="B5257" s="3"/>
      <c r="C5257" s="3"/>
      <c r="D5257" s="3"/>
      <c r="E5257" s="3"/>
      <c r="F5257" s="3"/>
      <c r="G5257" s="3"/>
      <c r="H5257" s="3"/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  <c r="T5257" s="3"/>
      <c r="U5257" s="3"/>
      <c r="V5257" s="3"/>
      <c r="W5257" s="3"/>
      <c r="X5257" s="3"/>
      <c r="Y5257" s="3"/>
    </row>
    <row r="5258">
      <c r="A5258" s="3"/>
      <c r="B5258" s="3"/>
      <c r="C5258" s="3"/>
      <c r="D5258" s="3"/>
      <c r="E5258" s="3"/>
      <c r="F5258" s="3"/>
      <c r="G5258" s="3"/>
      <c r="H5258" s="3"/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  <c r="T5258" s="3"/>
      <c r="U5258" s="3"/>
      <c r="V5258" s="3"/>
      <c r="W5258" s="3"/>
      <c r="X5258" s="3"/>
      <c r="Y5258" s="3"/>
    </row>
    <row r="5259">
      <c r="A5259" s="3"/>
      <c r="B5259" s="3"/>
      <c r="C5259" s="3"/>
      <c r="D5259" s="3"/>
      <c r="E5259" s="3"/>
      <c r="F5259" s="3"/>
      <c r="G5259" s="3"/>
      <c r="H5259" s="3"/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  <c r="T5259" s="3"/>
      <c r="U5259" s="3"/>
      <c r="V5259" s="3"/>
      <c r="W5259" s="3"/>
      <c r="X5259" s="3"/>
      <c r="Y5259" s="3"/>
    </row>
    <row r="5260">
      <c r="A5260" s="3"/>
      <c r="B5260" s="3"/>
      <c r="C5260" s="3"/>
      <c r="D5260" s="3"/>
      <c r="E5260" s="3"/>
      <c r="F5260" s="3"/>
      <c r="G5260" s="3"/>
      <c r="H5260" s="3"/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  <c r="T5260" s="3"/>
      <c r="U5260" s="3"/>
      <c r="V5260" s="3"/>
      <c r="W5260" s="3"/>
      <c r="X5260" s="3"/>
      <c r="Y5260" s="3"/>
    </row>
    <row r="5261">
      <c r="A5261" s="3"/>
      <c r="B5261" s="3"/>
      <c r="C5261" s="3"/>
      <c r="D5261" s="3"/>
      <c r="E5261" s="3"/>
      <c r="F5261" s="3"/>
      <c r="G5261" s="3"/>
      <c r="H5261" s="3"/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  <c r="T5261" s="3"/>
      <c r="U5261" s="3"/>
      <c r="V5261" s="3"/>
      <c r="W5261" s="3"/>
      <c r="X5261" s="3"/>
      <c r="Y5261" s="3"/>
    </row>
    <row r="5262">
      <c r="A5262" s="3"/>
      <c r="B5262" s="3"/>
      <c r="C5262" s="3"/>
      <c r="D5262" s="3"/>
      <c r="E5262" s="3"/>
      <c r="F5262" s="3"/>
      <c r="G5262" s="3"/>
      <c r="H5262" s="3"/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  <c r="T5262" s="3"/>
      <c r="U5262" s="3"/>
      <c r="V5262" s="3"/>
      <c r="W5262" s="3"/>
      <c r="X5262" s="3"/>
      <c r="Y5262" s="3"/>
    </row>
    <row r="5263">
      <c r="A5263" s="3"/>
      <c r="B5263" s="3"/>
      <c r="C5263" s="3"/>
      <c r="D5263" s="3"/>
      <c r="E5263" s="3"/>
      <c r="F5263" s="3"/>
      <c r="G5263" s="3"/>
      <c r="H5263" s="3"/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  <c r="T5263" s="3"/>
      <c r="U5263" s="3"/>
      <c r="V5263" s="3"/>
      <c r="W5263" s="3"/>
      <c r="X5263" s="3"/>
      <c r="Y5263" s="3"/>
    </row>
    <row r="5264">
      <c r="A5264" s="3"/>
      <c r="B5264" s="3"/>
      <c r="C5264" s="3"/>
      <c r="D5264" s="3"/>
      <c r="E5264" s="3"/>
      <c r="F5264" s="3"/>
      <c r="G5264" s="3"/>
      <c r="H5264" s="3"/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  <c r="T5264" s="3"/>
      <c r="U5264" s="3"/>
      <c r="V5264" s="3"/>
      <c r="W5264" s="3"/>
      <c r="X5264" s="3"/>
      <c r="Y5264" s="3"/>
    </row>
    <row r="5265">
      <c r="A5265" s="3"/>
      <c r="B5265" s="3"/>
      <c r="C5265" s="3"/>
      <c r="D5265" s="3"/>
      <c r="E5265" s="3"/>
      <c r="F5265" s="3"/>
      <c r="G5265" s="3"/>
      <c r="H5265" s="3"/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  <c r="T5265" s="3"/>
      <c r="U5265" s="3"/>
      <c r="V5265" s="3"/>
      <c r="W5265" s="3"/>
      <c r="X5265" s="3"/>
      <c r="Y5265" s="3"/>
    </row>
    <row r="5266">
      <c r="A5266" s="3"/>
      <c r="B5266" s="3"/>
      <c r="C5266" s="3"/>
      <c r="D5266" s="3"/>
      <c r="E5266" s="3"/>
      <c r="F5266" s="3"/>
      <c r="G5266" s="3"/>
      <c r="H5266" s="3"/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  <c r="T5266" s="3"/>
      <c r="U5266" s="3"/>
      <c r="V5266" s="3"/>
      <c r="W5266" s="3"/>
      <c r="X5266" s="3"/>
      <c r="Y5266" s="3"/>
    </row>
    <row r="5267">
      <c r="A5267" s="3"/>
      <c r="B5267" s="3"/>
      <c r="C5267" s="3"/>
      <c r="D5267" s="3"/>
      <c r="E5267" s="3"/>
      <c r="F5267" s="3"/>
      <c r="G5267" s="3"/>
      <c r="H5267" s="3"/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  <c r="T5267" s="3"/>
      <c r="U5267" s="3"/>
      <c r="V5267" s="3"/>
      <c r="W5267" s="3"/>
      <c r="X5267" s="3"/>
      <c r="Y5267" s="3"/>
    </row>
    <row r="5268">
      <c r="A5268" s="3"/>
      <c r="B5268" s="3"/>
      <c r="C5268" s="3"/>
      <c r="D5268" s="3"/>
      <c r="E5268" s="3"/>
      <c r="F5268" s="3"/>
      <c r="G5268" s="3"/>
      <c r="H5268" s="3"/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  <c r="T5268" s="3"/>
      <c r="U5268" s="3"/>
      <c r="V5268" s="3"/>
      <c r="W5268" s="3"/>
      <c r="X5268" s="3"/>
      <c r="Y5268" s="3"/>
    </row>
    <row r="5269">
      <c r="A5269" s="3"/>
      <c r="B5269" s="3"/>
      <c r="C5269" s="3"/>
      <c r="D5269" s="3"/>
      <c r="E5269" s="3"/>
      <c r="F5269" s="3"/>
      <c r="G5269" s="3"/>
      <c r="H5269" s="3"/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  <c r="T5269" s="3"/>
      <c r="U5269" s="3"/>
      <c r="V5269" s="3"/>
      <c r="W5269" s="3"/>
      <c r="X5269" s="3"/>
      <c r="Y5269" s="3"/>
    </row>
    <row r="5270">
      <c r="A5270" s="3"/>
      <c r="B5270" s="3"/>
      <c r="C5270" s="3"/>
      <c r="D5270" s="3"/>
      <c r="E5270" s="3"/>
      <c r="F5270" s="3"/>
      <c r="G5270" s="3"/>
      <c r="H5270" s="3"/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  <c r="T5270" s="3"/>
      <c r="U5270" s="3"/>
      <c r="V5270" s="3"/>
      <c r="W5270" s="3"/>
      <c r="X5270" s="3"/>
      <c r="Y5270" s="3"/>
    </row>
    <row r="5271">
      <c r="A5271" s="3"/>
      <c r="B5271" s="3"/>
      <c r="C5271" s="3"/>
      <c r="D5271" s="3"/>
      <c r="E5271" s="3"/>
      <c r="F5271" s="3"/>
      <c r="G5271" s="3"/>
      <c r="H5271" s="3"/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  <c r="T5271" s="3"/>
      <c r="U5271" s="3"/>
      <c r="V5271" s="3"/>
      <c r="W5271" s="3"/>
      <c r="X5271" s="3"/>
      <c r="Y5271" s="3"/>
    </row>
    <row r="5272">
      <c r="A5272" s="3"/>
      <c r="B5272" s="3"/>
      <c r="C5272" s="3"/>
      <c r="D5272" s="3"/>
      <c r="E5272" s="3"/>
      <c r="F5272" s="3"/>
      <c r="G5272" s="3"/>
      <c r="H5272" s="3"/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  <c r="T5272" s="3"/>
      <c r="U5272" s="3"/>
      <c r="V5272" s="3"/>
      <c r="W5272" s="3"/>
      <c r="X5272" s="3"/>
      <c r="Y5272" s="3"/>
    </row>
    <row r="5273">
      <c r="A5273" s="3"/>
      <c r="B5273" s="3"/>
      <c r="C5273" s="3"/>
      <c r="D5273" s="3"/>
      <c r="E5273" s="3"/>
      <c r="F5273" s="3"/>
      <c r="G5273" s="3"/>
      <c r="H5273" s="3"/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  <c r="T5273" s="3"/>
      <c r="U5273" s="3"/>
      <c r="V5273" s="3"/>
      <c r="W5273" s="3"/>
      <c r="X5273" s="3"/>
      <c r="Y5273" s="3"/>
    </row>
    <row r="5274">
      <c r="A5274" s="3"/>
      <c r="B5274" s="3"/>
      <c r="C5274" s="3"/>
      <c r="D5274" s="3"/>
      <c r="E5274" s="3"/>
      <c r="F5274" s="3"/>
      <c r="G5274" s="3"/>
      <c r="H5274" s="3"/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  <c r="T5274" s="3"/>
      <c r="U5274" s="3"/>
      <c r="V5274" s="3"/>
      <c r="W5274" s="3"/>
      <c r="X5274" s="3"/>
      <c r="Y5274" s="3"/>
    </row>
    <row r="5275">
      <c r="A5275" s="3"/>
      <c r="B5275" s="3"/>
      <c r="C5275" s="3"/>
      <c r="D5275" s="3"/>
      <c r="E5275" s="3"/>
      <c r="F5275" s="3"/>
      <c r="G5275" s="3"/>
      <c r="H5275" s="3"/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  <c r="T5275" s="3"/>
      <c r="U5275" s="3"/>
      <c r="V5275" s="3"/>
      <c r="W5275" s="3"/>
      <c r="X5275" s="3"/>
      <c r="Y5275" s="3"/>
    </row>
    <row r="5276">
      <c r="A5276" s="3"/>
      <c r="B5276" s="3"/>
      <c r="C5276" s="3"/>
      <c r="D5276" s="3"/>
      <c r="E5276" s="3"/>
      <c r="F5276" s="3"/>
      <c r="G5276" s="3"/>
      <c r="H5276" s="3"/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  <c r="T5276" s="3"/>
      <c r="U5276" s="3"/>
      <c r="V5276" s="3"/>
      <c r="W5276" s="3"/>
      <c r="X5276" s="3"/>
      <c r="Y5276" s="3"/>
    </row>
    <row r="5277">
      <c r="A5277" s="3"/>
      <c r="B5277" s="3"/>
      <c r="C5277" s="3"/>
      <c r="D5277" s="3"/>
      <c r="E5277" s="3"/>
      <c r="F5277" s="3"/>
      <c r="G5277" s="3"/>
      <c r="H5277" s="3"/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  <c r="T5277" s="3"/>
      <c r="U5277" s="3"/>
      <c r="V5277" s="3"/>
      <c r="W5277" s="3"/>
      <c r="X5277" s="3"/>
      <c r="Y5277" s="3"/>
    </row>
    <row r="5278">
      <c r="A5278" s="3"/>
      <c r="B5278" s="3"/>
      <c r="C5278" s="3"/>
      <c r="D5278" s="3"/>
      <c r="E5278" s="3"/>
      <c r="F5278" s="3"/>
      <c r="G5278" s="3"/>
      <c r="H5278" s="3"/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  <c r="T5278" s="3"/>
      <c r="U5278" s="3"/>
      <c r="V5278" s="3"/>
      <c r="W5278" s="3"/>
      <c r="X5278" s="3"/>
      <c r="Y5278" s="3"/>
    </row>
    <row r="5279">
      <c r="A5279" s="3"/>
      <c r="B5279" s="3"/>
      <c r="C5279" s="3"/>
      <c r="D5279" s="3"/>
      <c r="E5279" s="3"/>
      <c r="F5279" s="3"/>
      <c r="G5279" s="3"/>
      <c r="H5279" s="3"/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  <c r="T5279" s="3"/>
      <c r="U5279" s="3"/>
      <c r="V5279" s="3"/>
      <c r="W5279" s="3"/>
      <c r="X5279" s="3"/>
      <c r="Y5279" s="3"/>
    </row>
    <row r="5280">
      <c r="A5280" s="3"/>
      <c r="B5280" s="3"/>
      <c r="C5280" s="3"/>
      <c r="D5280" s="3"/>
      <c r="E5280" s="3"/>
      <c r="F5280" s="3"/>
      <c r="G5280" s="3"/>
      <c r="H5280" s="3"/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  <c r="T5280" s="3"/>
      <c r="U5280" s="3"/>
      <c r="V5280" s="3"/>
      <c r="W5280" s="3"/>
      <c r="X5280" s="3"/>
      <c r="Y5280" s="3"/>
    </row>
    <row r="5281">
      <c r="A5281" s="3"/>
      <c r="B5281" s="3"/>
      <c r="C5281" s="3"/>
      <c r="D5281" s="3"/>
      <c r="E5281" s="3"/>
      <c r="F5281" s="3"/>
      <c r="G5281" s="3"/>
      <c r="H5281" s="3"/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  <c r="T5281" s="3"/>
      <c r="U5281" s="3"/>
      <c r="V5281" s="3"/>
      <c r="W5281" s="3"/>
      <c r="X5281" s="3"/>
      <c r="Y5281" s="3"/>
    </row>
    <row r="5282">
      <c r="A5282" s="3"/>
      <c r="B5282" s="3"/>
      <c r="C5282" s="3"/>
      <c r="D5282" s="3"/>
      <c r="E5282" s="3"/>
      <c r="F5282" s="3"/>
      <c r="G5282" s="3"/>
      <c r="H5282" s="3"/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  <c r="T5282" s="3"/>
      <c r="U5282" s="3"/>
      <c r="V5282" s="3"/>
      <c r="W5282" s="3"/>
      <c r="X5282" s="3"/>
      <c r="Y5282" s="3"/>
    </row>
    <row r="5283">
      <c r="A5283" s="3"/>
      <c r="B5283" s="3"/>
      <c r="C5283" s="3"/>
      <c r="D5283" s="3"/>
      <c r="E5283" s="3"/>
      <c r="F5283" s="3"/>
      <c r="G5283" s="3"/>
      <c r="H5283" s="3"/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  <c r="T5283" s="3"/>
      <c r="U5283" s="3"/>
      <c r="V5283" s="3"/>
      <c r="W5283" s="3"/>
      <c r="X5283" s="3"/>
      <c r="Y5283" s="3"/>
    </row>
    <row r="5284">
      <c r="A5284" s="3"/>
      <c r="B5284" s="3"/>
      <c r="C5284" s="3"/>
      <c r="D5284" s="3"/>
      <c r="E5284" s="3"/>
      <c r="F5284" s="3"/>
      <c r="G5284" s="3"/>
      <c r="H5284" s="3"/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  <c r="T5284" s="3"/>
      <c r="U5284" s="3"/>
      <c r="V5284" s="3"/>
      <c r="W5284" s="3"/>
      <c r="X5284" s="3"/>
      <c r="Y5284" s="3"/>
    </row>
    <row r="5285">
      <c r="A5285" s="3"/>
      <c r="B5285" s="3"/>
      <c r="C5285" s="3"/>
      <c r="D5285" s="3"/>
      <c r="E5285" s="3"/>
      <c r="F5285" s="3"/>
      <c r="G5285" s="3"/>
      <c r="H5285" s="3"/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  <c r="T5285" s="3"/>
      <c r="U5285" s="3"/>
      <c r="V5285" s="3"/>
      <c r="W5285" s="3"/>
      <c r="X5285" s="3"/>
      <c r="Y5285" s="3"/>
    </row>
    <row r="5286">
      <c r="A5286" s="3"/>
      <c r="B5286" s="3"/>
      <c r="C5286" s="3"/>
      <c r="D5286" s="3"/>
      <c r="E5286" s="3"/>
      <c r="F5286" s="3"/>
      <c r="G5286" s="3"/>
      <c r="H5286" s="3"/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  <c r="T5286" s="3"/>
      <c r="U5286" s="3"/>
      <c r="V5286" s="3"/>
      <c r="W5286" s="3"/>
      <c r="X5286" s="3"/>
      <c r="Y5286" s="3"/>
    </row>
    <row r="5287">
      <c r="A5287" s="3"/>
      <c r="B5287" s="3"/>
      <c r="C5287" s="3"/>
      <c r="D5287" s="3"/>
      <c r="E5287" s="3"/>
      <c r="F5287" s="3"/>
      <c r="G5287" s="3"/>
      <c r="H5287" s="3"/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  <c r="T5287" s="3"/>
      <c r="U5287" s="3"/>
      <c r="V5287" s="3"/>
      <c r="W5287" s="3"/>
      <c r="X5287" s="3"/>
      <c r="Y5287" s="3"/>
    </row>
    <row r="5288">
      <c r="A5288" s="3"/>
      <c r="B5288" s="3"/>
      <c r="C5288" s="3"/>
      <c r="D5288" s="3"/>
      <c r="E5288" s="3"/>
      <c r="F5288" s="3"/>
      <c r="G5288" s="3"/>
      <c r="H5288" s="3"/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  <c r="T5288" s="3"/>
      <c r="U5288" s="3"/>
      <c r="V5288" s="3"/>
      <c r="W5288" s="3"/>
      <c r="X5288" s="3"/>
      <c r="Y5288" s="3"/>
    </row>
    <row r="5289">
      <c r="A5289" s="3"/>
      <c r="B5289" s="3"/>
      <c r="C5289" s="3"/>
      <c r="D5289" s="3"/>
      <c r="E5289" s="3"/>
      <c r="F5289" s="3"/>
      <c r="G5289" s="3"/>
      <c r="H5289" s="3"/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  <c r="T5289" s="3"/>
      <c r="U5289" s="3"/>
      <c r="V5289" s="3"/>
      <c r="W5289" s="3"/>
      <c r="X5289" s="3"/>
      <c r="Y5289" s="3"/>
    </row>
    <row r="5290">
      <c r="A5290" s="3"/>
      <c r="B5290" s="3"/>
      <c r="C5290" s="3"/>
      <c r="D5290" s="3"/>
      <c r="E5290" s="3"/>
      <c r="F5290" s="3"/>
      <c r="G5290" s="3"/>
      <c r="H5290" s="3"/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  <c r="T5290" s="3"/>
      <c r="U5290" s="3"/>
      <c r="V5290" s="3"/>
      <c r="W5290" s="3"/>
      <c r="X5290" s="3"/>
      <c r="Y5290" s="3"/>
    </row>
    <row r="5291">
      <c r="A5291" s="3"/>
      <c r="B5291" s="3"/>
      <c r="C5291" s="3"/>
      <c r="D5291" s="3"/>
      <c r="E5291" s="3"/>
      <c r="F5291" s="3"/>
      <c r="G5291" s="3"/>
      <c r="H5291" s="3"/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  <c r="T5291" s="3"/>
      <c r="U5291" s="3"/>
      <c r="V5291" s="3"/>
      <c r="W5291" s="3"/>
      <c r="X5291" s="3"/>
      <c r="Y5291" s="3"/>
    </row>
    <row r="5292">
      <c r="A5292" s="3"/>
      <c r="B5292" s="3"/>
      <c r="C5292" s="3"/>
      <c r="D5292" s="3"/>
      <c r="E5292" s="3"/>
      <c r="F5292" s="3"/>
      <c r="G5292" s="3"/>
      <c r="H5292" s="3"/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  <c r="T5292" s="3"/>
      <c r="U5292" s="3"/>
      <c r="V5292" s="3"/>
      <c r="W5292" s="3"/>
      <c r="X5292" s="3"/>
      <c r="Y5292" s="3"/>
    </row>
    <row r="5293">
      <c r="A5293" s="3"/>
      <c r="B5293" s="3"/>
      <c r="C5293" s="3"/>
      <c r="D5293" s="3"/>
      <c r="E5293" s="3"/>
      <c r="F5293" s="3"/>
      <c r="G5293" s="3"/>
      <c r="H5293" s="3"/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  <c r="T5293" s="3"/>
      <c r="U5293" s="3"/>
      <c r="V5293" s="3"/>
      <c r="W5293" s="3"/>
      <c r="X5293" s="3"/>
      <c r="Y5293" s="3"/>
    </row>
    <row r="5294">
      <c r="A5294" s="3"/>
      <c r="B5294" s="3"/>
      <c r="C5294" s="3"/>
      <c r="D5294" s="3"/>
      <c r="E5294" s="3"/>
      <c r="F5294" s="3"/>
      <c r="G5294" s="3"/>
      <c r="H5294" s="3"/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  <c r="T5294" s="3"/>
      <c r="U5294" s="3"/>
      <c r="V5294" s="3"/>
      <c r="W5294" s="3"/>
      <c r="X5294" s="3"/>
      <c r="Y5294" s="3"/>
    </row>
    <row r="5295">
      <c r="A5295" s="3"/>
      <c r="B5295" s="3"/>
      <c r="C5295" s="3"/>
      <c r="D5295" s="3"/>
      <c r="E5295" s="3"/>
      <c r="F5295" s="3"/>
      <c r="G5295" s="3"/>
      <c r="H5295" s="3"/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  <c r="T5295" s="3"/>
      <c r="U5295" s="3"/>
      <c r="V5295" s="3"/>
      <c r="W5295" s="3"/>
      <c r="X5295" s="3"/>
      <c r="Y5295" s="3"/>
    </row>
    <row r="5296">
      <c r="A5296" s="3"/>
      <c r="B5296" s="3"/>
      <c r="C5296" s="3"/>
      <c r="D5296" s="3"/>
      <c r="E5296" s="3"/>
      <c r="F5296" s="3"/>
      <c r="G5296" s="3"/>
      <c r="H5296" s="3"/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  <c r="T5296" s="3"/>
      <c r="U5296" s="3"/>
      <c r="V5296" s="3"/>
      <c r="W5296" s="3"/>
      <c r="X5296" s="3"/>
      <c r="Y5296" s="3"/>
    </row>
    <row r="5297">
      <c r="A5297" s="3"/>
      <c r="B5297" s="3"/>
      <c r="C5297" s="3"/>
      <c r="D5297" s="3"/>
      <c r="E5297" s="3"/>
      <c r="F5297" s="3"/>
      <c r="G5297" s="3"/>
      <c r="H5297" s="3"/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  <c r="T5297" s="3"/>
      <c r="U5297" s="3"/>
      <c r="V5297" s="3"/>
      <c r="W5297" s="3"/>
      <c r="X5297" s="3"/>
      <c r="Y5297" s="3"/>
    </row>
    <row r="5298">
      <c r="A5298" s="3"/>
      <c r="B5298" s="3"/>
      <c r="C5298" s="3"/>
      <c r="D5298" s="3"/>
      <c r="E5298" s="3"/>
      <c r="F5298" s="3"/>
      <c r="G5298" s="3"/>
      <c r="H5298" s="3"/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  <c r="T5298" s="3"/>
      <c r="U5298" s="3"/>
      <c r="V5298" s="3"/>
      <c r="W5298" s="3"/>
      <c r="X5298" s="3"/>
      <c r="Y5298" s="3"/>
    </row>
    <row r="5299">
      <c r="A5299" s="3"/>
      <c r="B5299" s="3"/>
      <c r="C5299" s="3"/>
      <c r="D5299" s="3"/>
      <c r="E5299" s="3"/>
      <c r="F5299" s="3"/>
      <c r="G5299" s="3"/>
      <c r="H5299" s="3"/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  <c r="T5299" s="3"/>
      <c r="U5299" s="3"/>
      <c r="V5299" s="3"/>
      <c r="W5299" s="3"/>
      <c r="X5299" s="3"/>
      <c r="Y5299" s="3"/>
    </row>
    <row r="5300">
      <c r="A5300" s="3"/>
      <c r="B5300" s="3"/>
      <c r="C5300" s="3"/>
      <c r="D5300" s="3"/>
      <c r="E5300" s="3"/>
      <c r="F5300" s="3"/>
      <c r="G5300" s="3"/>
      <c r="H5300" s="3"/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  <c r="T5300" s="3"/>
      <c r="U5300" s="3"/>
      <c r="V5300" s="3"/>
      <c r="W5300" s="3"/>
      <c r="X5300" s="3"/>
      <c r="Y5300" s="3"/>
    </row>
    <row r="5301">
      <c r="A5301" s="3"/>
      <c r="B5301" s="3"/>
      <c r="C5301" s="3"/>
      <c r="D5301" s="3"/>
      <c r="E5301" s="3"/>
      <c r="F5301" s="3"/>
      <c r="G5301" s="3"/>
      <c r="H5301" s="3"/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  <c r="T5301" s="3"/>
      <c r="U5301" s="3"/>
      <c r="V5301" s="3"/>
      <c r="W5301" s="3"/>
      <c r="X5301" s="3"/>
      <c r="Y5301" s="3"/>
    </row>
    <row r="5302">
      <c r="A5302" s="3"/>
      <c r="B5302" s="3"/>
      <c r="C5302" s="3"/>
      <c r="D5302" s="3"/>
      <c r="E5302" s="3"/>
      <c r="F5302" s="3"/>
      <c r="G5302" s="3"/>
      <c r="H5302" s="3"/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  <c r="T5302" s="3"/>
      <c r="U5302" s="3"/>
      <c r="V5302" s="3"/>
      <c r="W5302" s="3"/>
      <c r="X5302" s="3"/>
      <c r="Y5302" s="3"/>
    </row>
    <row r="5303">
      <c r="A5303" s="3"/>
      <c r="B5303" s="3"/>
      <c r="C5303" s="3"/>
      <c r="D5303" s="3"/>
      <c r="E5303" s="3"/>
      <c r="F5303" s="3"/>
      <c r="G5303" s="3"/>
      <c r="H5303" s="3"/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  <c r="T5303" s="3"/>
      <c r="U5303" s="3"/>
      <c r="V5303" s="3"/>
      <c r="W5303" s="3"/>
      <c r="X5303" s="3"/>
      <c r="Y5303" s="3"/>
    </row>
    <row r="5304">
      <c r="A5304" s="3"/>
      <c r="B5304" s="3"/>
      <c r="C5304" s="3"/>
      <c r="D5304" s="3"/>
      <c r="E5304" s="3"/>
      <c r="F5304" s="3"/>
      <c r="G5304" s="3"/>
      <c r="H5304" s="3"/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  <c r="T5304" s="3"/>
      <c r="U5304" s="3"/>
      <c r="V5304" s="3"/>
      <c r="W5304" s="3"/>
      <c r="X5304" s="3"/>
      <c r="Y5304" s="3"/>
    </row>
    <row r="5305">
      <c r="A5305" s="3"/>
      <c r="B5305" s="3"/>
      <c r="C5305" s="3"/>
      <c r="D5305" s="3"/>
      <c r="E5305" s="3"/>
      <c r="F5305" s="3"/>
      <c r="G5305" s="3"/>
      <c r="H5305" s="3"/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  <c r="T5305" s="3"/>
      <c r="U5305" s="3"/>
      <c r="V5305" s="3"/>
      <c r="W5305" s="3"/>
      <c r="X5305" s="3"/>
      <c r="Y5305" s="3"/>
    </row>
    <row r="5306">
      <c r="A5306" s="3"/>
      <c r="B5306" s="3"/>
      <c r="C5306" s="3"/>
      <c r="D5306" s="3"/>
      <c r="E5306" s="3"/>
      <c r="F5306" s="3"/>
      <c r="G5306" s="3"/>
      <c r="H5306" s="3"/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  <c r="T5306" s="3"/>
      <c r="U5306" s="3"/>
      <c r="V5306" s="3"/>
      <c r="W5306" s="3"/>
      <c r="X5306" s="3"/>
      <c r="Y5306" s="3"/>
    </row>
    <row r="5307">
      <c r="A5307" s="3"/>
      <c r="B5307" s="3"/>
      <c r="C5307" s="3"/>
      <c r="D5307" s="3"/>
      <c r="E5307" s="3"/>
      <c r="F5307" s="3"/>
      <c r="G5307" s="3"/>
      <c r="H5307" s="3"/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  <c r="T5307" s="3"/>
      <c r="U5307" s="3"/>
      <c r="V5307" s="3"/>
      <c r="W5307" s="3"/>
      <c r="X5307" s="3"/>
      <c r="Y5307" s="3"/>
    </row>
    <row r="5308">
      <c r="A5308" s="3"/>
      <c r="B5308" s="3"/>
      <c r="C5308" s="3"/>
      <c r="D5308" s="3"/>
      <c r="E5308" s="3"/>
      <c r="F5308" s="3"/>
      <c r="G5308" s="3"/>
      <c r="H5308" s="3"/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  <c r="T5308" s="3"/>
      <c r="U5308" s="3"/>
      <c r="V5308" s="3"/>
      <c r="W5308" s="3"/>
      <c r="X5308" s="3"/>
      <c r="Y5308" s="3"/>
    </row>
    <row r="5309">
      <c r="A5309" s="3"/>
      <c r="B5309" s="3"/>
      <c r="C5309" s="3"/>
      <c r="D5309" s="3"/>
      <c r="E5309" s="3"/>
      <c r="F5309" s="3"/>
      <c r="G5309" s="3"/>
      <c r="H5309" s="3"/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  <c r="T5309" s="3"/>
      <c r="U5309" s="3"/>
      <c r="V5309" s="3"/>
      <c r="W5309" s="3"/>
      <c r="X5309" s="3"/>
      <c r="Y5309" s="3"/>
    </row>
    <row r="5310">
      <c r="A5310" s="3"/>
      <c r="B5310" s="3"/>
      <c r="C5310" s="3"/>
      <c r="D5310" s="3"/>
      <c r="E5310" s="3"/>
      <c r="F5310" s="3"/>
      <c r="G5310" s="3"/>
      <c r="H5310" s="3"/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  <c r="T5310" s="3"/>
      <c r="U5310" s="3"/>
      <c r="V5310" s="3"/>
      <c r="W5310" s="3"/>
      <c r="X5310" s="3"/>
      <c r="Y5310" s="3"/>
    </row>
    <row r="5311">
      <c r="A5311" s="3"/>
      <c r="B5311" s="3"/>
      <c r="C5311" s="3"/>
      <c r="D5311" s="3"/>
      <c r="E5311" s="3"/>
      <c r="F5311" s="3"/>
      <c r="G5311" s="3"/>
      <c r="H5311" s="3"/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  <c r="T5311" s="3"/>
      <c r="U5311" s="3"/>
      <c r="V5311" s="3"/>
      <c r="W5311" s="3"/>
      <c r="X5311" s="3"/>
      <c r="Y5311" s="3"/>
    </row>
    <row r="5312">
      <c r="A5312" s="3"/>
      <c r="B5312" s="3"/>
      <c r="C5312" s="3"/>
      <c r="D5312" s="3"/>
      <c r="E5312" s="3"/>
      <c r="F5312" s="3"/>
      <c r="G5312" s="3"/>
      <c r="H5312" s="3"/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  <c r="T5312" s="3"/>
      <c r="U5312" s="3"/>
      <c r="V5312" s="3"/>
      <c r="W5312" s="3"/>
      <c r="X5312" s="3"/>
      <c r="Y5312" s="3"/>
    </row>
    <row r="5313">
      <c r="A5313" s="3"/>
      <c r="B5313" s="3"/>
      <c r="C5313" s="3"/>
      <c r="D5313" s="3"/>
      <c r="E5313" s="3"/>
      <c r="F5313" s="3"/>
      <c r="G5313" s="3"/>
      <c r="H5313" s="3"/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  <c r="T5313" s="3"/>
      <c r="U5313" s="3"/>
      <c r="V5313" s="3"/>
      <c r="W5313" s="3"/>
      <c r="X5313" s="3"/>
      <c r="Y5313" s="3"/>
    </row>
    <row r="5314">
      <c r="A5314" s="3"/>
      <c r="B5314" s="3"/>
      <c r="C5314" s="3"/>
      <c r="D5314" s="3"/>
      <c r="E5314" s="3"/>
      <c r="F5314" s="3"/>
      <c r="G5314" s="3"/>
      <c r="H5314" s="3"/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  <c r="T5314" s="3"/>
      <c r="U5314" s="3"/>
      <c r="V5314" s="3"/>
      <c r="W5314" s="3"/>
      <c r="X5314" s="3"/>
      <c r="Y5314" s="3"/>
    </row>
    <row r="5315">
      <c r="A5315" s="3"/>
      <c r="B5315" s="3"/>
      <c r="C5315" s="3"/>
      <c r="D5315" s="3"/>
      <c r="E5315" s="3"/>
      <c r="F5315" s="3"/>
      <c r="G5315" s="3"/>
      <c r="H5315" s="3"/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  <c r="T5315" s="3"/>
      <c r="U5315" s="3"/>
      <c r="V5315" s="3"/>
      <c r="W5315" s="3"/>
      <c r="X5315" s="3"/>
      <c r="Y5315" s="3"/>
    </row>
    <row r="5316">
      <c r="A5316" s="3"/>
      <c r="B5316" s="3"/>
      <c r="C5316" s="3"/>
      <c r="D5316" s="3"/>
      <c r="E5316" s="3"/>
      <c r="F5316" s="3"/>
      <c r="G5316" s="3"/>
      <c r="H5316" s="3"/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  <c r="T5316" s="3"/>
      <c r="U5316" s="3"/>
      <c r="V5316" s="3"/>
      <c r="W5316" s="3"/>
      <c r="X5316" s="3"/>
      <c r="Y5316" s="3"/>
    </row>
    <row r="5317">
      <c r="A5317" s="3"/>
      <c r="B5317" s="3"/>
      <c r="C5317" s="3"/>
      <c r="D5317" s="3"/>
      <c r="E5317" s="3"/>
      <c r="F5317" s="3"/>
      <c r="G5317" s="3"/>
      <c r="H5317" s="3"/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  <c r="T5317" s="3"/>
      <c r="U5317" s="3"/>
      <c r="V5317" s="3"/>
      <c r="W5317" s="3"/>
      <c r="X5317" s="3"/>
      <c r="Y5317" s="3"/>
    </row>
    <row r="5318">
      <c r="A5318" s="3"/>
      <c r="B5318" s="3"/>
      <c r="C5318" s="3"/>
      <c r="D5318" s="3"/>
      <c r="E5318" s="3"/>
      <c r="F5318" s="3"/>
      <c r="G5318" s="3"/>
      <c r="H5318" s="3"/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  <c r="T5318" s="3"/>
      <c r="U5318" s="3"/>
      <c r="V5318" s="3"/>
      <c r="W5318" s="3"/>
      <c r="X5318" s="3"/>
      <c r="Y5318" s="3"/>
    </row>
    <row r="5319">
      <c r="A5319" s="3"/>
      <c r="B5319" s="3"/>
      <c r="C5319" s="3"/>
      <c r="D5319" s="3"/>
      <c r="E5319" s="3"/>
      <c r="F5319" s="3"/>
      <c r="G5319" s="3"/>
      <c r="H5319" s="3"/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  <c r="T5319" s="3"/>
      <c r="U5319" s="3"/>
      <c r="V5319" s="3"/>
      <c r="W5319" s="3"/>
      <c r="X5319" s="3"/>
      <c r="Y5319" s="3"/>
    </row>
    <row r="5320">
      <c r="A5320" s="3"/>
      <c r="B5320" s="3"/>
      <c r="C5320" s="3"/>
      <c r="D5320" s="3"/>
      <c r="E5320" s="3"/>
      <c r="F5320" s="3"/>
      <c r="G5320" s="3"/>
      <c r="H5320" s="3"/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  <c r="T5320" s="3"/>
      <c r="U5320" s="3"/>
      <c r="V5320" s="3"/>
      <c r="W5320" s="3"/>
      <c r="X5320" s="3"/>
      <c r="Y5320" s="3"/>
    </row>
    <row r="5321">
      <c r="A5321" s="3"/>
      <c r="B5321" s="3"/>
      <c r="C5321" s="3"/>
      <c r="D5321" s="3"/>
      <c r="E5321" s="3"/>
      <c r="F5321" s="3"/>
      <c r="G5321" s="3"/>
      <c r="H5321" s="3"/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  <c r="T5321" s="3"/>
      <c r="U5321" s="3"/>
      <c r="V5321" s="3"/>
      <c r="W5321" s="3"/>
      <c r="X5321" s="3"/>
      <c r="Y5321" s="3"/>
    </row>
    <row r="5322">
      <c r="A5322" s="3"/>
      <c r="B5322" s="3"/>
      <c r="C5322" s="3"/>
      <c r="D5322" s="3"/>
      <c r="E5322" s="3"/>
      <c r="F5322" s="3"/>
      <c r="G5322" s="3"/>
      <c r="H5322" s="3"/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  <c r="T5322" s="3"/>
      <c r="U5322" s="3"/>
      <c r="V5322" s="3"/>
      <c r="W5322" s="3"/>
      <c r="X5322" s="3"/>
      <c r="Y5322" s="3"/>
    </row>
    <row r="5323">
      <c r="A5323" s="3"/>
      <c r="B5323" s="3"/>
      <c r="C5323" s="3"/>
      <c r="D5323" s="3"/>
      <c r="E5323" s="3"/>
      <c r="F5323" s="3"/>
      <c r="G5323" s="3"/>
      <c r="H5323" s="3"/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  <c r="T5323" s="3"/>
      <c r="U5323" s="3"/>
      <c r="V5323" s="3"/>
      <c r="W5323" s="3"/>
      <c r="X5323" s="3"/>
      <c r="Y5323" s="3"/>
    </row>
    <row r="5324">
      <c r="A5324" s="3"/>
      <c r="B5324" s="3"/>
      <c r="C5324" s="3"/>
      <c r="D5324" s="3"/>
      <c r="E5324" s="3"/>
      <c r="F5324" s="3"/>
      <c r="G5324" s="3"/>
      <c r="H5324" s="3"/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  <c r="T5324" s="3"/>
      <c r="U5324" s="3"/>
      <c r="V5324" s="3"/>
      <c r="W5324" s="3"/>
      <c r="X5324" s="3"/>
      <c r="Y5324" s="3"/>
    </row>
    <row r="5325">
      <c r="A5325" s="3"/>
      <c r="B5325" s="3"/>
      <c r="C5325" s="3"/>
      <c r="D5325" s="3"/>
      <c r="E5325" s="3"/>
      <c r="F5325" s="3"/>
      <c r="G5325" s="3"/>
      <c r="H5325" s="3"/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  <c r="T5325" s="3"/>
      <c r="U5325" s="3"/>
      <c r="V5325" s="3"/>
      <c r="W5325" s="3"/>
      <c r="X5325" s="3"/>
      <c r="Y5325" s="3"/>
    </row>
    <row r="5326">
      <c r="A5326" s="3"/>
      <c r="B5326" s="3"/>
      <c r="C5326" s="3"/>
      <c r="D5326" s="3"/>
      <c r="E5326" s="3"/>
      <c r="F5326" s="3"/>
      <c r="G5326" s="3"/>
      <c r="H5326" s="3"/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  <c r="T5326" s="3"/>
      <c r="U5326" s="3"/>
      <c r="V5326" s="3"/>
      <c r="W5326" s="3"/>
      <c r="X5326" s="3"/>
      <c r="Y5326" s="3"/>
    </row>
    <row r="5327">
      <c r="A5327" s="3"/>
      <c r="B5327" s="3"/>
      <c r="C5327" s="3"/>
      <c r="D5327" s="3"/>
      <c r="E5327" s="3"/>
      <c r="F5327" s="3"/>
      <c r="G5327" s="3"/>
      <c r="H5327" s="3"/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  <c r="T5327" s="3"/>
      <c r="U5327" s="3"/>
      <c r="V5327" s="3"/>
      <c r="W5327" s="3"/>
      <c r="X5327" s="3"/>
      <c r="Y5327" s="3"/>
    </row>
    <row r="5328">
      <c r="A5328" s="3"/>
      <c r="B5328" s="3"/>
      <c r="C5328" s="3"/>
      <c r="D5328" s="3"/>
      <c r="E5328" s="3"/>
      <c r="F5328" s="3"/>
      <c r="G5328" s="3"/>
      <c r="H5328" s="3"/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  <c r="T5328" s="3"/>
      <c r="U5328" s="3"/>
      <c r="V5328" s="3"/>
      <c r="W5328" s="3"/>
      <c r="X5328" s="3"/>
      <c r="Y5328" s="3"/>
    </row>
    <row r="5329">
      <c r="A5329" s="3"/>
      <c r="B5329" s="3"/>
      <c r="C5329" s="3"/>
      <c r="D5329" s="3"/>
      <c r="E5329" s="3"/>
      <c r="F5329" s="3"/>
      <c r="G5329" s="3"/>
      <c r="H5329" s="3"/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  <c r="T5329" s="3"/>
      <c r="U5329" s="3"/>
      <c r="V5329" s="3"/>
      <c r="W5329" s="3"/>
      <c r="X5329" s="3"/>
      <c r="Y5329" s="3"/>
    </row>
    <row r="5330">
      <c r="A5330" s="3"/>
      <c r="B5330" s="3"/>
      <c r="C5330" s="3"/>
      <c r="D5330" s="3"/>
      <c r="E5330" s="3"/>
      <c r="F5330" s="3"/>
      <c r="G5330" s="3"/>
      <c r="H5330" s="3"/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  <c r="T5330" s="3"/>
      <c r="U5330" s="3"/>
      <c r="V5330" s="3"/>
      <c r="W5330" s="3"/>
      <c r="X5330" s="3"/>
      <c r="Y5330" s="3"/>
    </row>
    <row r="5331">
      <c r="A5331" s="3"/>
      <c r="B5331" s="3"/>
      <c r="C5331" s="3"/>
      <c r="D5331" s="3"/>
      <c r="E5331" s="3"/>
      <c r="F5331" s="3"/>
      <c r="G5331" s="3"/>
      <c r="H5331" s="3"/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  <c r="T5331" s="3"/>
      <c r="U5331" s="3"/>
      <c r="V5331" s="3"/>
      <c r="W5331" s="3"/>
      <c r="X5331" s="3"/>
      <c r="Y5331" s="3"/>
    </row>
    <row r="5332">
      <c r="A5332" s="3"/>
      <c r="B5332" s="3"/>
      <c r="C5332" s="3"/>
      <c r="D5332" s="3"/>
      <c r="E5332" s="3"/>
      <c r="F5332" s="3"/>
      <c r="G5332" s="3"/>
      <c r="H5332" s="3"/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  <c r="T5332" s="3"/>
      <c r="U5332" s="3"/>
      <c r="V5332" s="3"/>
      <c r="W5332" s="3"/>
      <c r="X5332" s="3"/>
      <c r="Y5332" s="3"/>
    </row>
    <row r="5333">
      <c r="A5333" s="3"/>
      <c r="B5333" s="3"/>
      <c r="C5333" s="3"/>
      <c r="D5333" s="3"/>
      <c r="E5333" s="3"/>
      <c r="F5333" s="3"/>
      <c r="G5333" s="3"/>
      <c r="H5333" s="3"/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  <c r="T5333" s="3"/>
      <c r="U5333" s="3"/>
      <c r="V5333" s="3"/>
      <c r="W5333" s="3"/>
      <c r="X5333" s="3"/>
      <c r="Y5333" s="3"/>
    </row>
    <row r="5334">
      <c r="A5334" s="3"/>
      <c r="B5334" s="3"/>
      <c r="C5334" s="3"/>
      <c r="D5334" s="3"/>
      <c r="E5334" s="3"/>
      <c r="F5334" s="3"/>
      <c r="G5334" s="3"/>
      <c r="H5334" s="3"/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  <c r="T5334" s="3"/>
      <c r="U5334" s="3"/>
      <c r="V5334" s="3"/>
      <c r="W5334" s="3"/>
      <c r="X5334" s="3"/>
      <c r="Y5334" s="3"/>
    </row>
    <row r="5335">
      <c r="A5335" s="3"/>
      <c r="B5335" s="3"/>
      <c r="C5335" s="3"/>
      <c r="D5335" s="3"/>
      <c r="E5335" s="3"/>
      <c r="F5335" s="3"/>
      <c r="G5335" s="3"/>
      <c r="H5335" s="3"/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  <c r="T5335" s="3"/>
      <c r="U5335" s="3"/>
      <c r="V5335" s="3"/>
      <c r="W5335" s="3"/>
      <c r="X5335" s="3"/>
      <c r="Y5335" s="3"/>
    </row>
    <row r="5336">
      <c r="A5336" s="3"/>
      <c r="B5336" s="3"/>
      <c r="C5336" s="3"/>
      <c r="D5336" s="3"/>
      <c r="E5336" s="3"/>
      <c r="F5336" s="3"/>
      <c r="G5336" s="3"/>
      <c r="H5336" s="3"/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  <c r="T5336" s="3"/>
      <c r="U5336" s="3"/>
      <c r="V5336" s="3"/>
      <c r="W5336" s="3"/>
      <c r="X5336" s="3"/>
      <c r="Y5336" s="3"/>
    </row>
    <row r="5337">
      <c r="A5337" s="3"/>
      <c r="B5337" s="3"/>
      <c r="C5337" s="3"/>
      <c r="D5337" s="3"/>
      <c r="E5337" s="3"/>
      <c r="F5337" s="3"/>
      <c r="G5337" s="3"/>
      <c r="H5337" s="3"/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  <c r="T5337" s="3"/>
      <c r="U5337" s="3"/>
      <c r="V5337" s="3"/>
      <c r="W5337" s="3"/>
      <c r="X5337" s="3"/>
      <c r="Y5337" s="3"/>
    </row>
    <row r="5338">
      <c r="A5338" s="3"/>
      <c r="B5338" s="3"/>
      <c r="C5338" s="3"/>
      <c r="D5338" s="3"/>
      <c r="E5338" s="3"/>
      <c r="F5338" s="3"/>
      <c r="G5338" s="3"/>
      <c r="H5338" s="3"/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  <c r="T5338" s="3"/>
      <c r="U5338" s="3"/>
      <c r="V5338" s="3"/>
      <c r="W5338" s="3"/>
      <c r="X5338" s="3"/>
      <c r="Y5338" s="3"/>
    </row>
    <row r="5339">
      <c r="A5339" s="3"/>
      <c r="B5339" s="3"/>
      <c r="C5339" s="3"/>
      <c r="D5339" s="3"/>
      <c r="E5339" s="3"/>
      <c r="F5339" s="3"/>
      <c r="G5339" s="3"/>
      <c r="H5339" s="3"/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  <c r="T5339" s="3"/>
      <c r="U5339" s="3"/>
      <c r="V5339" s="3"/>
      <c r="W5339" s="3"/>
      <c r="X5339" s="3"/>
      <c r="Y5339" s="3"/>
    </row>
    <row r="5340">
      <c r="A5340" s="3"/>
      <c r="B5340" s="3"/>
      <c r="C5340" s="3"/>
      <c r="D5340" s="3"/>
      <c r="E5340" s="3"/>
      <c r="F5340" s="3"/>
      <c r="G5340" s="3"/>
      <c r="H5340" s="3"/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  <c r="T5340" s="3"/>
      <c r="U5340" s="3"/>
      <c r="V5340" s="3"/>
      <c r="W5340" s="3"/>
      <c r="X5340" s="3"/>
      <c r="Y5340" s="3"/>
    </row>
    <row r="5341">
      <c r="A5341" s="3"/>
      <c r="B5341" s="3"/>
      <c r="C5341" s="3"/>
      <c r="D5341" s="3"/>
      <c r="E5341" s="3"/>
      <c r="F5341" s="3"/>
      <c r="G5341" s="3"/>
      <c r="H5341" s="3"/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  <c r="T5341" s="3"/>
      <c r="U5341" s="3"/>
      <c r="V5341" s="3"/>
      <c r="W5341" s="3"/>
      <c r="X5341" s="3"/>
      <c r="Y5341" s="3"/>
    </row>
    <row r="5342">
      <c r="A5342" s="3"/>
      <c r="B5342" s="3"/>
      <c r="C5342" s="3"/>
      <c r="D5342" s="3"/>
      <c r="E5342" s="3"/>
      <c r="F5342" s="3"/>
      <c r="G5342" s="3"/>
      <c r="H5342" s="3"/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  <c r="T5342" s="3"/>
      <c r="U5342" s="3"/>
      <c r="V5342" s="3"/>
      <c r="W5342" s="3"/>
      <c r="X5342" s="3"/>
      <c r="Y5342" s="3"/>
    </row>
    <row r="5343">
      <c r="A5343" s="3"/>
      <c r="B5343" s="3"/>
      <c r="C5343" s="3"/>
      <c r="D5343" s="3"/>
      <c r="E5343" s="3"/>
      <c r="F5343" s="3"/>
      <c r="G5343" s="3"/>
      <c r="H5343" s="3"/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  <c r="T5343" s="3"/>
      <c r="U5343" s="3"/>
      <c r="V5343" s="3"/>
      <c r="W5343" s="3"/>
      <c r="X5343" s="3"/>
      <c r="Y5343" s="3"/>
    </row>
    <row r="5344">
      <c r="A5344" s="3"/>
      <c r="B5344" s="3"/>
      <c r="C5344" s="3"/>
      <c r="D5344" s="3"/>
      <c r="E5344" s="3"/>
      <c r="F5344" s="3"/>
      <c r="G5344" s="3"/>
      <c r="H5344" s="3"/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  <c r="T5344" s="3"/>
      <c r="U5344" s="3"/>
      <c r="V5344" s="3"/>
      <c r="W5344" s="3"/>
      <c r="X5344" s="3"/>
      <c r="Y5344" s="3"/>
    </row>
    <row r="5345">
      <c r="A5345" s="3"/>
      <c r="B5345" s="3"/>
      <c r="C5345" s="3"/>
      <c r="D5345" s="3"/>
      <c r="E5345" s="3"/>
      <c r="F5345" s="3"/>
      <c r="G5345" s="3"/>
      <c r="H5345" s="3"/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  <c r="T5345" s="3"/>
      <c r="U5345" s="3"/>
      <c r="V5345" s="3"/>
      <c r="W5345" s="3"/>
      <c r="X5345" s="3"/>
      <c r="Y5345" s="3"/>
    </row>
    <row r="5346">
      <c r="A5346" s="3"/>
      <c r="B5346" s="3"/>
      <c r="C5346" s="3"/>
      <c r="D5346" s="3"/>
      <c r="E5346" s="3"/>
      <c r="F5346" s="3"/>
      <c r="G5346" s="3"/>
      <c r="H5346" s="3"/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  <c r="T5346" s="3"/>
      <c r="U5346" s="3"/>
      <c r="V5346" s="3"/>
      <c r="W5346" s="3"/>
      <c r="X5346" s="3"/>
      <c r="Y5346" s="3"/>
    </row>
    <row r="5347">
      <c r="A5347" s="3"/>
      <c r="B5347" s="3"/>
      <c r="C5347" s="3"/>
      <c r="D5347" s="3"/>
      <c r="E5347" s="3"/>
      <c r="F5347" s="3"/>
      <c r="G5347" s="3"/>
      <c r="H5347" s="3"/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  <c r="T5347" s="3"/>
      <c r="U5347" s="3"/>
      <c r="V5347" s="3"/>
      <c r="W5347" s="3"/>
      <c r="X5347" s="3"/>
      <c r="Y5347" s="3"/>
    </row>
    <row r="5348">
      <c r="A5348" s="3"/>
      <c r="B5348" s="3"/>
      <c r="C5348" s="3"/>
      <c r="D5348" s="3"/>
      <c r="E5348" s="3"/>
      <c r="F5348" s="3"/>
      <c r="G5348" s="3"/>
      <c r="H5348" s="3"/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  <c r="T5348" s="3"/>
      <c r="U5348" s="3"/>
      <c r="V5348" s="3"/>
      <c r="W5348" s="3"/>
      <c r="X5348" s="3"/>
      <c r="Y5348" s="3"/>
    </row>
    <row r="5349">
      <c r="A5349" s="3"/>
      <c r="B5349" s="3"/>
      <c r="C5349" s="3"/>
      <c r="D5349" s="3"/>
      <c r="E5349" s="3"/>
      <c r="F5349" s="3"/>
      <c r="G5349" s="3"/>
      <c r="H5349" s="3"/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  <c r="T5349" s="3"/>
      <c r="U5349" s="3"/>
      <c r="V5349" s="3"/>
      <c r="W5349" s="3"/>
      <c r="X5349" s="3"/>
      <c r="Y5349" s="3"/>
    </row>
    <row r="5350">
      <c r="A5350" s="3"/>
      <c r="B5350" s="3"/>
      <c r="C5350" s="3"/>
      <c r="D5350" s="3"/>
      <c r="E5350" s="3"/>
      <c r="F5350" s="3"/>
      <c r="G5350" s="3"/>
      <c r="H5350" s="3"/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  <c r="T5350" s="3"/>
      <c r="U5350" s="3"/>
      <c r="V5350" s="3"/>
      <c r="W5350" s="3"/>
      <c r="X5350" s="3"/>
      <c r="Y5350" s="3"/>
    </row>
    <row r="5351">
      <c r="A5351" s="3"/>
      <c r="B5351" s="3"/>
      <c r="C5351" s="3"/>
      <c r="D5351" s="3"/>
      <c r="E5351" s="3"/>
      <c r="F5351" s="3"/>
      <c r="G5351" s="3"/>
      <c r="H5351" s="3"/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  <c r="T5351" s="3"/>
      <c r="U5351" s="3"/>
      <c r="V5351" s="3"/>
      <c r="W5351" s="3"/>
      <c r="X5351" s="3"/>
      <c r="Y5351" s="3"/>
    </row>
    <row r="5352">
      <c r="A5352" s="3"/>
      <c r="B5352" s="3"/>
      <c r="C5352" s="3"/>
      <c r="D5352" s="3"/>
      <c r="E5352" s="3"/>
      <c r="F5352" s="3"/>
      <c r="G5352" s="3"/>
      <c r="H5352" s="3"/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  <c r="T5352" s="3"/>
      <c r="U5352" s="3"/>
      <c r="V5352" s="3"/>
      <c r="W5352" s="3"/>
      <c r="X5352" s="3"/>
      <c r="Y5352" s="3"/>
    </row>
    <row r="5353">
      <c r="A5353" s="3"/>
      <c r="B5353" s="3"/>
      <c r="C5353" s="3"/>
      <c r="D5353" s="3"/>
      <c r="E5353" s="3"/>
      <c r="F5353" s="3"/>
      <c r="G5353" s="3"/>
      <c r="H5353" s="3"/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  <c r="T5353" s="3"/>
      <c r="U5353" s="3"/>
      <c r="V5353" s="3"/>
      <c r="W5353" s="3"/>
      <c r="X5353" s="3"/>
      <c r="Y5353" s="3"/>
    </row>
    <row r="5354">
      <c r="A5354" s="3"/>
      <c r="B5354" s="3"/>
      <c r="C5354" s="3"/>
      <c r="D5354" s="3"/>
      <c r="E5354" s="3"/>
      <c r="F5354" s="3"/>
      <c r="G5354" s="3"/>
      <c r="H5354" s="3"/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  <c r="T5354" s="3"/>
      <c r="U5354" s="3"/>
      <c r="V5354" s="3"/>
      <c r="W5354" s="3"/>
      <c r="X5354" s="3"/>
      <c r="Y5354" s="3"/>
    </row>
    <row r="5355">
      <c r="A5355" s="3"/>
      <c r="B5355" s="3"/>
      <c r="C5355" s="3"/>
      <c r="D5355" s="3"/>
      <c r="E5355" s="3"/>
      <c r="F5355" s="3"/>
      <c r="G5355" s="3"/>
      <c r="H5355" s="3"/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  <c r="T5355" s="3"/>
      <c r="U5355" s="3"/>
      <c r="V5355" s="3"/>
      <c r="W5355" s="3"/>
      <c r="X5355" s="3"/>
      <c r="Y5355" s="3"/>
    </row>
    <row r="5356">
      <c r="A5356" s="3"/>
      <c r="B5356" s="3"/>
      <c r="C5356" s="3"/>
      <c r="D5356" s="3"/>
      <c r="E5356" s="3"/>
      <c r="F5356" s="3"/>
      <c r="G5356" s="3"/>
      <c r="H5356" s="3"/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  <c r="T5356" s="3"/>
      <c r="U5356" s="3"/>
      <c r="V5356" s="3"/>
      <c r="W5356" s="3"/>
      <c r="X5356" s="3"/>
      <c r="Y5356" s="3"/>
    </row>
    <row r="5357">
      <c r="A5357" s="3"/>
      <c r="B5357" s="3"/>
      <c r="C5357" s="3"/>
      <c r="D5357" s="3"/>
      <c r="E5357" s="3"/>
      <c r="F5357" s="3"/>
      <c r="G5357" s="3"/>
      <c r="H5357" s="3"/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  <c r="T5357" s="3"/>
      <c r="U5357" s="3"/>
      <c r="V5357" s="3"/>
      <c r="W5357" s="3"/>
      <c r="X5357" s="3"/>
      <c r="Y5357" s="3"/>
    </row>
    <row r="5358">
      <c r="A5358" s="3"/>
      <c r="B5358" s="3"/>
      <c r="C5358" s="3"/>
      <c r="D5358" s="3"/>
      <c r="E5358" s="3"/>
      <c r="F5358" s="3"/>
      <c r="G5358" s="3"/>
      <c r="H5358" s="3"/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  <c r="T5358" s="3"/>
      <c r="U5358" s="3"/>
      <c r="V5358" s="3"/>
      <c r="W5358" s="3"/>
      <c r="X5358" s="3"/>
      <c r="Y5358" s="3"/>
    </row>
    <row r="5359">
      <c r="A5359" s="3"/>
      <c r="B5359" s="3"/>
      <c r="C5359" s="3"/>
      <c r="D5359" s="3"/>
      <c r="E5359" s="3"/>
      <c r="F5359" s="3"/>
      <c r="G5359" s="3"/>
      <c r="H5359" s="3"/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  <c r="T5359" s="3"/>
      <c r="U5359" s="3"/>
      <c r="V5359" s="3"/>
      <c r="W5359" s="3"/>
      <c r="X5359" s="3"/>
      <c r="Y5359" s="3"/>
    </row>
    <row r="5360">
      <c r="A5360" s="3"/>
      <c r="B5360" s="3"/>
      <c r="C5360" s="3"/>
      <c r="D5360" s="3"/>
      <c r="E5360" s="3"/>
      <c r="F5360" s="3"/>
      <c r="G5360" s="3"/>
      <c r="H5360" s="3"/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  <c r="T5360" s="3"/>
      <c r="U5360" s="3"/>
      <c r="V5360" s="3"/>
      <c r="W5360" s="3"/>
      <c r="X5360" s="3"/>
      <c r="Y5360" s="3"/>
    </row>
    <row r="5361">
      <c r="A5361" s="3"/>
      <c r="B5361" s="3"/>
      <c r="C5361" s="3"/>
      <c r="D5361" s="3"/>
      <c r="E5361" s="3"/>
      <c r="F5361" s="3"/>
      <c r="G5361" s="3"/>
      <c r="H5361" s="3"/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  <c r="T5361" s="3"/>
      <c r="U5361" s="3"/>
      <c r="V5361" s="3"/>
      <c r="W5361" s="3"/>
      <c r="X5361" s="3"/>
      <c r="Y5361" s="3"/>
    </row>
    <row r="5362">
      <c r="A5362" s="3"/>
      <c r="B5362" s="3"/>
      <c r="C5362" s="3"/>
      <c r="D5362" s="3"/>
      <c r="E5362" s="3"/>
      <c r="F5362" s="3"/>
      <c r="G5362" s="3"/>
      <c r="H5362" s="3"/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  <c r="T5362" s="3"/>
      <c r="U5362" s="3"/>
      <c r="V5362" s="3"/>
      <c r="W5362" s="3"/>
      <c r="X5362" s="3"/>
      <c r="Y5362" s="3"/>
    </row>
    <row r="5363">
      <c r="A5363" s="3"/>
      <c r="B5363" s="3"/>
      <c r="C5363" s="3"/>
      <c r="D5363" s="3"/>
      <c r="E5363" s="3"/>
      <c r="F5363" s="3"/>
      <c r="G5363" s="3"/>
      <c r="H5363" s="3"/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  <c r="T5363" s="3"/>
      <c r="U5363" s="3"/>
      <c r="V5363" s="3"/>
      <c r="W5363" s="3"/>
      <c r="X5363" s="3"/>
      <c r="Y5363" s="3"/>
    </row>
    <row r="5364">
      <c r="A5364" s="3"/>
      <c r="B5364" s="3"/>
      <c r="C5364" s="3"/>
      <c r="D5364" s="3"/>
      <c r="E5364" s="3"/>
      <c r="F5364" s="3"/>
      <c r="G5364" s="3"/>
      <c r="H5364" s="3"/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  <c r="T5364" s="3"/>
      <c r="U5364" s="3"/>
      <c r="V5364" s="3"/>
      <c r="W5364" s="3"/>
      <c r="X5364" s="3"/>
      <c r="Y5364" s="3"/>
    </row>
    <row r="5365">
      <c r="A5365" s="3"/>
      <c r="B5365" s="3"/>
      <c r="C5365" s="3"/>
      <c r="D5365" s="3"/>
      <c r="E5365" s="3"/>
      <c r="F5365" s="3"/>
      <c r="G5365" s="3"/>
      <c r="H5365" s="3"/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  <c r="T5365" s="3"/>
      <c r="U5365" s="3"/>
      <c r="V5365" s="3"/>
      <c r="W5365" s="3"/>
      <c r="X5365" s="3"/>
      <c r="Y5365" s="3"/>
    </row>
    <row r="5366">
      <c r="A5366" s="3"/>
      <c r="B5366" s="3"/>
      <c r="C5366" s="3"/>
      <c r="D5366" s="3"/>
      <c r="E5366" s="3"/>
      <c r="F5366" s="3"/>
      <c r="G5366" s="3"/>
      <c r="H5366" s="3"/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  <c r="T5366" s="3"/>
      <c r="U5366" s="3"/>
      <c r="V5366" s="3"/>
      <c r="W5366" s="3"/>
      <c r="X5366" s="3"/>
      <c r="Y5366" s="3"/>
    </row>
    <row r="5367">
      <c r="A5367" s="3"/>
      <c r="B5367" s="3"/>
      <c r="C5367" s="3"/>
      <c r="D5367" s="3"/>
      <c r="E5367" s="3"/>
      <c r="F5367" s="3"/>
      <c r="G5367" s="3"/>
      <c r="H5367" s="3"/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  <c r="T5367" s="3"/>
      <c r="U5367" s="3"/>
      <c r="V5367" s="3"/>
      <c r="W5367" s="3"/>
      <c r="X5367" s="3"/>
      <c r="Y5367" s="3"/>
    </row>
    <row r="5368">
      <c r="A5368" s="3"/>
      <c r="B5368" s="3"/>
      <c r="C5368" s="3"/>
      <c r="D5368" s="3"/>
      <c r="E5368" s="3"/>
      <c r="F5368" s="3"/>
      <c r="G5368" s="3"/>
      <c r="H5368" s="3"/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  <c r="T5368" s="3"/>
      <c r="U5368" s="3"/>
      <c r="V5368" s="3"/>
      <c r="W5368" s="3"/>
      <c r="X5368" s="3"/>
      <c r="Y5368" s="3"/>
    </row>
    <row r="5369">
      <c r="A5369" s="3"/>
      <c r="B5369" s="3"/>
      <c r="C5369" s="3"/>
      <c r="D5369" s="3"/>
      <c r="E5369" s="3"/>
      <c r="F5369" s="3"/>
      <c r="G5369" s="3"/>
      <c r="H5369" s="3"/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  <c r="T5369" s="3"/>
      <c r="U5369" s="3"/>
      <c r="V5369" s="3"/>
      <c r="W5369" s="3"/>
      <c r="X5369" s="3"/>
      <c r="Y5369" s="3"/>
    </row>
    <row r="5370">
      <c r="A5370" s="3"/>
      <c r="B5370" s="3"/>
      <c r="C5370" s="3"/>
      <c r="D5370" s="3"/>
      <c r="E5370" s="3"/>
      <c r="F5370" s="3"/>
      <c r="G5370" s="3"/>
      <c r="H5370" s="3"/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  <c r="T5370" s="3"/>
      <c r="U5370" s="3"/>
      <c r="V5370" s="3"/>
      <c r="W5370" s="3"/>
      <c r="X5370" s="3"/>
      <c r="Y5370" s="3"/>
    </row>
    <row r="5371">
      <c r="A5371" s="3"/>
      <c r="B5371" s="3"/>
      <c r="C5371" s="3"/>
      <c r="D5371" s="3"/>
      <c r="E5371" s="3"/>
      <c r="F5371" s="3"/>
      <c r="G5371" s="3"/>
      <c r="H5371" s="3"/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  <c r="T5371" s="3"/>
      <c r="U5371" s="3"/>
      <c r="V5371" s="3"/>
      <c r="W5371" s="3"/>
      <c r="X5371" s="3"/>
      <c r="Y5371" s="3"/>
    </row>
    <row r="5372">
      <c r="A5372" s="3"/>
      <c r="B5372" s="3"/>
      <c r="C5372" s="3"/>
      <c r="D5372" s="3"/>
      <c r="E5372" s="3"/>
      <c r="F5372" s="3"/>
      <c r="G5372" s="3"/>
      <c r="H5372" s="3"/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  <c r="T5372" s="3"/>
      <c r="U5372" s="3"/>
      <c r="V5372" s="3"/>
      <c r="W5372" s="3"/>
      <c r="X5372" s="3"/>
      <c r="Y5372" s="3"/>
    </row>
    <row r="5373">
      <c r="A5373" s="3"/>
      <c r="B5373" s="3"/>
      <c r="C5373" s="3"/>
      <c r="D5373" s="3"/>
      <c r="E5373" s="3"/>
      <c r="F5373" s="3"/>
      <c r="G5373" s="3"/>
      <c r="H5373" s="3"/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  <c r="T5373" s="3"/>
      <c r="U5373" s="3"/>
      <c r="V5373" s="3"/>
      <c r="W5373" s="3"/>
      <c r="X5373" s="3"/>
      <c r="Y5373" s="3"/>
    </row>
    <row r="5374">
      <c r="A5374" s="3"/>
      <c r="B5374" s="3"/>
      <c r="C5374" s="3"/>
      <c r="D5374" s="3"/>
      <c r="E5374" s="3"/>
      <c r="F5374" s="3"/>
      <c r="G5374" s="3"/>
      <c r="H5374" s="3"/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  <c r="T5374" s="3"/>
      <c r="U5374" s="3"/>
      <c r="V5374" s="3"/>
      <c r="W5374" s="3"/>
      <c r="X5374" s="3"/>
      <c r="Y5374" s="3"/>
    </row>
    <row r="5375">
      <c r="A5375" s="3"/>
      <c r="B5375" s="3"/>
      <c r="C5375" s="3"/>
      <c r="D5375" s="3"/>
      <c r="E5375" s="3"/>
      <c r="F5375" s="3"/>
      <c r="G5375" s="3"/>
      <c r="H5375" s="3"/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  <c r="T5375" s="3"/>
      <c r="U5375" s="3"/>
      <c r="V5375" s="3"/>
      <c r="W5375" s="3"/>
      <c r="X5375" s="3"/>
      <c r="Y5375" s="3"/>
    </row>
    <row r="5376">
      <c r="A5376" s="3"/>
      <c r="B5376" s="3"/>
      <c r="C5376" s="3"/>
      <c r="D5376" s="3"/>
      <c r="E5376" s="3"/>
      <c r="F5376" s="3"/>
      <c r="G5376" s="3"/>
      <c r="H5376" s="3"/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  <c r="T5376" s="3"/>
      <c r="U5376" s="3"/>
      <c r="V5376" s="3"/>
      <c r="W5376" s="3"/>
      <c r="X5376" s="3"/>
      <c r="Y5376" s="3"/>
    </row>
    <row r="5377">
      <c r="A5377" s="3"/>
      <c r="B5377" s="3"/>
      <c r="C5377" s="3"/>
      <c r="D5377" s="3"/>
      <c r="E5377" s="3"/>
      <c r="F5377" s="3"/>
      <c r="G5377" s="3"/>
      <c r="H5377" s="3"/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  <c r="T5377" s="3"/>
      <c r="U5377" s="3"/>
      <c r="V5377" s="3"/>
      <c r="W5377" s="3"/>
      <c r="X5377" s="3"/>
      <c r="Y5377" s="3"/>
    </row>
    <row r="5378">
      <c r="A5378" s="3"/>
      <c r="B5378" s="3"/>
      <c r="C5378" s="3"/>
      <c r="D5378" s="3"/>
      <c r="E5378" s="3"/>
      <c r="F5378" s="3"/>
      <c r="G5378" s="3"/>
      <c r="H5378" s="3"/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  <c r="T5378" s="3"/>
      <c r="U5378" s="3"/>
      <c r="V5378" s="3"/>
      <c r="W5378" s="3"/>
      <c r="X5378" s="3"/>
      <c r="Y5378" s="3"/>
    </row>
    <row r="5379">
      <c r="A5379" s="3"/>
      <c r="B5379" s="3"/>
      <c r="C5379" s="3"/>
      <c r="D5379" s="3"/>
      <c r="E5379" s="3"/>
      <c r="F5379" s="3"/>
      <c r="G5379" s="3"/>
      <c r="H5379" s="3"/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  <c r="T5379" s="3"/>
      <c r="U5379" s="3"/>
      <c r="V5379" s="3"/>
      <c r="W5379" s="3"/>
      <c r="X5379" s="3"/>
      <c r="Y5379" s="3"/>
    </row>
    <row r="5380">
      <c r="A5380" s="3"/>
      <c r="B5380" s="3"/>
      <c r="C5380" s="3"/>
      <c r="D5380" s="3"/>
      <c r="E5380" s="3"/>
      <c r="F5380" s="3"/>
      <c r="G5380" s="3"/>
      <c r="H5380" s="3"/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  <c r="T5380" s="3"/>
      <c r="U5380" s="3"/>
      <c r="V5380" s="3"/>
      <c r="W5380" s="3"/>
      <c r="X5380" s="3"/>
      <c r="Y5380" s="3"/>
    </row>
    <row r="5381">
      <c r="A5381" s="3"/>
      <c r="B5381" s="3"/>
      <c r="C5381" s="3"/>
      <c r="D5381" s="3"/>
      <c r="E5381" s="3"/>
      <c r="F5381" s="3"/>
      <c r="G5381" s="3"/>
      <c r="H5381" s="3"/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  <c r="T5381" s="3"/>
      <c r="U5381" s="3"/>
      <c r="V5381" s="3"/>
      <c r="W5381" s="3"/>
      <c r="X5381" s="3"/>
      <c r="Y5381" s="3"/>
    </row>
    <row r="5382">
      <c r="A5382" s="3"/>
      <c r="B5382" s="3"/>
      <c r="C5382" s="3"/>
      <c r="D5382" s="3"/>
      <c r="E5382" s="3"/>
      <c r="F5382" s="3"/>
      <c r="G5382" s="3"/>
      <c r="H5382" s="3"/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  <c r="T5382" s="3"/>
      <c r="U5382" s="3"/>
      <c r="V5382" s="3"/>
      <c r="W5382" s="3"/>
      <c r="X5382" s="3"/>
      <c r="Y5382" s="3"/>
    </row>
    <row r="5383">
      <c r="A5383" s="3"/>
      <c r="B5383" s="3"/>
      <c r="C5383" s="3"/>
      <c r="D5383" s="3"/>
      <c r="E5383" s="3"/>
      <c r="F5383" s="3"/>
      <c r="G5383" s="3"/>
      <c r="H5383" s="3"/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  <c r="T5383" s="3"/>
      <c r="U5383" s="3"/>
      <c r="V5383" s="3"/>
      <c r="W5383" s="3"/>
      <c r="X5383" s="3"/>
      <c r="Y5383" s="3"/>
    </row>
    <row r="5384">
      <c r="A5384" s="3"/>
      <c r="B5384" s="3"/>
      <c r="C5384" s="3"/>
      <c r="D5384" s="3"/>
      <c r="E5384" s="3"/>
      <c r="F5384" s="3"/>
      <c r="G5384" s="3"/>
      <c r="H5384" s="3"/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  <c r="T5384" s="3"/>
      <c r="U5384" s="3"/>
      <c r="V5384" s="3"/>
      <c r="W5384" s="3"/>
      <c r="X5384" s="3"/>
      <c r="Y5384" s="3"/>
    </row>
    <row r="5385">
      <c r="A5385" s="3"/>
      <c r="B5385" s="3"/>
      <c r="C5385" s="3"/>
      <c r="D5385" s="3"/>
      <c r="E5385" s="3"/>
      <c r="F5385" s="3"/>
      <c r="G5385" s="3"/>
      <c r="H5385" s="3"/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  <c r="T5385" s="3"/>
      <c r="U5385" s="3"/>
      <c r="V5385" s="3"/>
      <c r="W5385" s="3"/>
      <c r="X5385" s="3"/>
      <c r="Y5385" s="3"/>
    </row>
    <row r="5386">
      <c r="A5386" s="3"/>
      <c r="B5386" s="3"/>
      <c r="C5386" s="3"/>
      <c r="D5386" s="3"/>
      <c r="E5386" s="3"/>
      <c r="F5386" s="3"/>
      <c r="G5386" s="3"/>
      <c r="H5386" s="3"/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  <c r="T5386" s="3"/>
      <c r="U5386" s="3"/>
      <c r="V5386" s="3"/>
      <c r="W5386" s="3"/>
      <c r="X5386" s="3"/>
      <c r="Y5386" s="3"/>
    </row>
    <row r="5387">
      <c r="A5387" s="3"/>
      <c r="B5387" s="3"/>
      <c r="C5387" s="3"/>
      <c r="D5387" s="3"/>
      <c r="E5387" s="3"/>
      <c r="F5387" s="3"/>
      <c r="G5387" s="3"/>
      <c r="H5387" s="3"/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  <c r="T5387" s="3"/>
      <c r="U5387" s="3"/>
      <c r="V5387" s="3"/>
      <c r="W5387" s="3"/>
      <c r="X5387" s="3"/>
      <c r="Y5387" s="3"/>
    </row>
    <row r="5388">
      <c r="A5388" s="3"/>
      <c r="B5388" s="3"/>
      <c r="C5388" s="3"/>
      <c r="D5388" s="3"/>
      <c r="E5388" s="3"/>
      <c r="F5388" s="3"/>
      <c r="G5388" s="3"/>
      <c r="H5388" s="3"/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  <c r="T5388" s="3"/>
      <c r="U5388" s="3"/>
      <c r="V5388" s="3"/>
      <c r="W5388" s="3"/>
      <c r="X5388" s="3"/>
      <c r="Y5388" s="3"/>
    </row>
    <row r="5389">
      <c r="A5389" s="3"/>
      <c r="B5389" s="3"/>
      <c r="C5389" s="3"/>
      <c r="D5389" s="3"/>
      <c r="E5389" s="3"/>
      <c r="F5389" s="3"/>
      <c r="G5389" s="3"/>
      <c r="H5389" s="3"/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  <c r="T5389" s="3"/>
      <c r="U5389" s="3"/>
      <c r="V5389" s="3"/>
      <c r="W5389" s="3"/>
      <c r="X5389" s="3"/>
      <c r="Y5389" s="3"/>
    </row>
    <row r="5390">
      <c r="A5390" s="3"/>
      <c r="B5390" s="3"/>
      <c r="C5390" s="3"/>
      <c r="D5390" s="3"/>
      <c r="E5390" s="3"/>
      <c r="F5390" s="3"/>
      <c r="G5390" s="3"/>
      <c r="H5390" s="3"/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  <c r="T5390" s="3"/>
      <c r="U5390" s="3"/>
      <c r="V5390" s="3"/>
      <c r="W5390" s="3"/>
      <c r="X5390" s="3"/>
      <c r="Y5390" s="3"/>
    </row>
    <row r="5391">
      <c r="A5391" s="3"/>
      <c r="B5391" s="3"/>
      <c r="C5391" s="3"/>
      <c r="D5391" s="3"/>
      <c r="E5391" s="3"/>
      <c r="F5391" s="3"/>
      <c r="G5391" s="3"/>
      <c r="H5391" s="3"/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  <c r="T5391" s="3"/>
      <c r="U5391" s="3"/>
      <c r="V5391" s="3"/>
      <c r="W5391" s="3"/>
      <c r="X5391" s="3"/>
      <c r="Y5391" s="3"/>
    </row>
    <row r="5392">
      <c r="A5392" s="3"/>
      <c r="B5392" s="3"/>
      <c r="C5392" s="3"/>
      <c r="D5392" s="3"/>
      <c r="E5392" s="3"/>
      <c r="F5392" s="3"/>
      <c r="G5392" s="3"/>
      <c r="H5392" s="3"/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  <c r="T5392" s="3"/>
      <c r="U5392" s="3"/>
      <c r="V5392" s="3"/>
      <c r="W5392" s="3"/>
      <c r="X5392" s="3"/>
      <c r="Y5392" s="3"/>
    </row>
    <row r="5393">
      <c r="A5393" s="3"/>
      <c r="B5393" s="3"/>
      <c r="C5393" s="3"/>
      <c r="D5393" s="3"/>
      <c r="E5393" s="3"/>
      <c r="F5393" s="3"/>
      <c r="G5393" s="3"/>
      <c r="H5393" s="3"/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  <c r="T5393" s="3"/>
      <c r="U5393" s="3"/>
      <c r="V5393" s="3"/>
      <c r="W5393" s="3"/>
      <c r="X5393" s="3"/>
      <c r="Y5393" s="3"/>
    </row>
    <row r="5394">
      <c r="A5394" s="3"/>
      <c r="B5394" s="3"/>
      <c r="C5394" s="3"/>
      <c r="D5394" s="3"/>
      <c r="E5394" s="3"/>
      <c r="F5394" s="3"/>
      <c r="G5394" s="3"/>
      <c r="H5394" s="3"/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  <c r="T5394" s="3"/>
      <c r="U5394" s="3"/>
      <c r="V5394" s="3"/>
      <c r="W5394" s="3"/>
      <c r="X5394" s="3"/>
      <c r="Y5394" s="3"/>
    </row>
    <row r="5395">
      <c r="A5395" s="3"/>
      <c r="B5395" s="3"/>
      <c r="C5395" s="3"/>
      <c r="D5395" s="3"/>
      <c r="E5395" s="3"/>
      <c r="F5395" s="3"/>
      <c r="G5395" s="3"/>
      <c r="H5395" s="3"/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  <c r="T5395" s="3"/>
      <c r="U5395" s="3"/>
      <c r="V5395" s="3"/>
      <c r="W5395" s="3"/>
      <c r="X5395" s="3"/>
      <c r="Y5395" s="3"/>
    </row>
    <row r="5396">
      <c r="A5396" s="3"/>
      <c r="B5396" s="3"/>
      <c r="C5396" s="3"/>
      <c r="D5396" s="3"/>
      <c r="E5396" s="3"/>
      <c r="F5396" s="3"/>
      <c r="G5396" s="3"/>
      <c r="H5396" s="3"/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  <c r="T5396" s="3"/>
      <c r="U5396" s="3"/>
      <c r="V5396" s="3"/>
      <c r="W5396" s="3"/>
      <c r="X5396" s="3"/>
      <c r="Y5396" s="3"/>
    </row>
    <row r="5397">
      <c r="A5397" s="3"/>
      <c r="B5397" s="3"/>
      <c r="C5397" s="3"/>
      <c r="D5397" s="3"/>
      <c r="E5397" s="3"/>
      <c r="F5397" s="3"/>
      <c r="G5397" s="3"/>
      <c r="H5397" s="3"/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  <c r="T5397" s="3"/>
      <c r="U5397" s="3"/>
      <c r="V5397" s="3"/>
      <c r="W5397" s="3"/>
      <c r="X5397" s="3"/>
      <c r="Y5397" s="3"/>
    </row>
    <row r="5398">
      <c r="A5398" s="3"/>
      <c r="B5398" s="3"/>
      <c r="C5398" s="3"/>
      <c r="D5398" s="3"/>
      <c r="E5398" s="3"/>
      <c r="F5398" s="3"/>
      <c r="G5398" s="3"/>
      <c r="H5398" s="3"/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  <c r="T5398" s="3"/>
      <c r="U5398" s="3"/>
      <c r="V5398" s="3"/>
      <c r="W5398" s="3"/>
      <c r="X5398" s="3"/>
      <c r="Y5398" s="3"/>
    </row>
    <row r="5399">
      <c r="A5399" s="3"/>
      <c r="B5399" s="3"/>
      <c r="C5399" s="3"/>
      <c r="D5399" s="3"/>
      <c r="E5399" s="3"/>
      <c r="F5399" s="3"/>
      <c r="G5399" s="3"/>
      <c r="H5399" s="3"/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  <c r="T5399" s="3"/>
      <c r="U5399" s="3"/>
      <c r="V5399" s="3"/>
      <c r="W5399" s="3"/>
      <c r="X5399" s="3"/>
      <c r="Y5399" s="3"/>
    </row>
    <row r="5400">
      <c r="A5400" s="3"/>
      <c r="B5400" s="3"/>
      <c r="C5400" s="3"/>
      <c r="D5400" s="3"/>
      <c r="E5400" s="3"/>
      <c r="F5400" s="3"/>
      <c r="G5400" s="3"/>
      <c r="H5400" s="3"/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  <c r="T5400" s="3"/>
      <c r="U5400" s="3"/>
      <c r="V5400" s="3"/>
      <c r="W5400" s="3"/>
      <c r="X5400" s="3"/>
      <c r="Y5400" s="3"/>
    </row>
    <row r="5401">
      <c r="A5401" s="3"/>
      <c r="B5401" s="3"/>
      <c r="C5401" s="3"/>
      <c r="D5401" s="3"/>
      <c r="E5401" s="3"/>
      <c r="F5401" s="3"/>
      <c r="G5401" s="3"/>
      <c r="H5401" s="3"/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  <c r="T5401" s="3"/>
      <c r="U5401" s="3"/>
      <c r="V5401" s="3"/>
      <c r="W5401" s="3"/>
      <c r="X5401" s="3"/>
      <c r="Y5401" s="3"/>
    </row>
    <row r="5402">
      <c r="A5402" s="3"/>
      <c r="B5402" s="3"/>
      <c r="C5402" s="3"/>
      <c r="D5402" s="3"/>
      <c r="E5402" s="3"/>
      <c r="F5402" s="3"/>
      <c r="G5402" s="3"/>
      <c r="H5402" s="3"/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  <c r="T5402" s="3"/>
      <c r="U5402" s="3"/>
      <c r="V5402" s="3"/>
      <c r="W5402" s="3"/>
      <c r="X5402" s="3"/>
      <c r="Y5402" s="3"/>
    </row>
    <row r="5403">
      <c r="A5403" s="3"/>
      <c r="B5403" s="3"/>
      <c r="C5403" s="3"/>
      <c r="D5403" s="3"/>
      <c r="E5403" s="3"/>
      <c r="F5403" s="3"/>
      <c r="G5403" s="3"/>
      <c r="H5403" s="3"/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  <c r="T5403" s="3"/>
      <c r="U5403" s="3"/>
      <c r="V5403" s="3"/>
      <c r="W5403" s="3"/>
      <c r="X5403" s="3"/>
      <c r="Y5403" s="3"/>
    </row>
    <row r="5404">
      <c r="A5404" s="3"/>
      <c r="B5404" s="3"/>
      <c r="C5404" s="3"/>
      <c r="D5404" s="3"/>
      <c r="E5404" s="3"/>
      <c r="F5404" s="3"/>
      <c r="G5404" s="3"/>
      <c r="H5404" s="3"/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  <c r="T5404" s="3"/>
      <c r="U5404" s="3"/>
      <c r="V5404" s="3"/>
      <c r="W5404" s="3"/>
      <c r="X5404" s="3"/>
      <c r="Y5404" s="3"/>
    </row>
    <row r="5405">
      <c r="A5405" s="3"/>
      <c r="B5405" s="3"/>
      <c r="C5405" s="3"/>
      <c r="D5405" s="3"/>
      <c r="E5405" s="3"/>
      <c r="F5405" s="3"/>
      <c r="G5405" s="3"/>
      <c r="H5405" s="3"/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  <c r="T5405" s="3"/>
      <c r="U5405" s="3"/>
      <c r="V5405" s="3"/>
      <c r="W5405" s="3"/>
      <c r="X5405" s="3"/>
      <c r="Y5405" s="3"/>
    </row>
    <row r="5406">
      <c r="A5406" s="3"/>
      <c r="B5406" s="3"/>
      <c r="C5406" s="3"/>
      <c r="D5406" s="3"/>
      <c r="E5406" s="3"/>
      <c r="F5406" s="3"/>
      <c r="G5406" s="3"/>
      <c r="H5406" s="3"/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  <c r="T5406" s="3"/>
      <c r="U5406" s="3"/>
      <c r="V5406" s="3"/>
      <c r="W5406" s="3"/>
      <c r="X5406" s="3"/>
      <c r="Y5406" s="3"/>
    </row>
    <row r="5407">
      <c r="A5407" s="3"/>
      <c r="B5407" s="3"/>
      <c r="C5407" s="3"/>
      <c r="D5407" s="3"/>
      <c r="E5407" s="3"/>
      <c r="F5407" s="3"/>
      <c r="G5407" s="3"/>
      <c r="H5407" s="3"/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  <c r="T5407" s="3"/>
      <c r="U5407" s="3"/>
      <c r="V5407" s="3"/>
      <c r="W5407" s="3"/>
      <c r="X5407" s="3"/>
      <c r="Y5407" s="3"/>
    </row>
    <row r="5408">
      <c r="A5408" s="3"/>
      <c r="B5408" s="3"/>
      <c r="C5408" s="3"/>
      <c r="D5408" s="3"/>
      <c r="E5408" s="3"/>
      <c r="F5408" s="3"/>
      <c r="G5408" s="3"/>
      <c r="H5408" s="3"/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  <c r="T5408" s="3"/>
      <c r="U5408" s="3"/>
      <c r="V5408" s="3"/>
      <c r="W5408" s="3"/>
      <c r="X5408" s="3"/>
      <c r="Y5408" s="3"/>
    </row>
    <row r="5409">
      <c r="A5409" s="3"/>
      <c r="B5409" s="3"/>
      <c r="C5409" s="3"/>
      <c r="D5409" s="3"/>
      <c r="E5409" s="3"/>
      <c r="F5409" s="3"/>
      <c r="G5409" s="3"/>
      <c r="H5409" s="3"/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  <c r="T5409" s="3"/>
      <c r="U5409" s="3"/>
      <c r="V5409" s="3"/>
      <c r="W5409" s="3"/>
      <c r="X5409" s="3"/>
      <c r="Y5409" s="3"/>
    </row>
    <row r="5410">
      <c r="A5410" s="3"/>
      <c r="B5410" s="3"/>
      <c r="C5410" s="3"/>
      <c r="D5410" s="3"/>
      <c r="E5410" s="3"/>
      <c r="F5410" s="3"/>
      <c r="G5410" s="3"/>
      <c r="H5410" s="3"/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  <c r="T5410" s="3"/>
      <c r="U5410" s="3"/>
      <c r="V5410" s="3"/>
      <c r="W5410" s="3"/>
      <c r="X5410" s="3"/>
      <c r="Y5410" s="3"/>
    </row>
    <row r="5411">
      <c r="A5411" s="3"/>
      <c r="B5411" s="3"/>
      <c r="C5411" s="3"/>
      <c r="D5411" s="3"/>
      <c r="E5411" s="3"/>
      <c r="F5411" s="3"/>
      <c r="G5411" s="3"/>
      <c r="H5411" s="3"/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  <c r="T5411" s="3"/>
      <c r="U5411" s="3"/>
      <c r="V5411" s="3"/>
      <c r="W5411" s="3"/>
      <c r="X5411" s="3"/>
      <c r="Y5411" s="3"/>
    </row>
    <row r="5412">
      <c r="A5412" s="3"/>
      <c r="B5412" s="3"/>
      <c r="C5412" s="3"/>
      <c r="D5412" s="3"/>
      <c r="E5412" s="3"/>
      <c r="F5412" s="3"/>
      <c r="G5412" s="3"/>
      <c r="H5412" s="3"/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  <c r="T5412" s="3"/>
      <c r="U5412" s="3"/>
      <c r="V5412" s="3"/>
      <c r="W5412" s="3"/>
      <c r="X5412" s="3"/>
      <c r="Y5412" s="3"/>
    </row>
    <row r="5413">
      <c r="A5413" s="3"/>
      <c r="B5413" s="3"/>
      <c r="C5413" s="3"/>
      <c r="D5413" s="3"/>
      <c r="E5413" s="3"/>
      <c r="F5413" s="3"/>
      <c r="G5413" s="3"/>
      <c r="H5413" s="3"/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  <c r="T5413" s="3"/>
      <c r="U5413" s="3"/>
      <c r="V5413" s="3"/>
      <c r="W5413" s="3"/>
      <c r="X5413" s="3"/>
      <c r="Y5413" s="3"/>
    </row>
    <row r="5414">
      <c r="A5414" s="3"/>
      <c r="B5414" s="3"/>
      <c r="C5414" s="3"/>
      <c r="D5414" s="3"/>
      <c r="E5414" s="3"/>
      <c r="F5414" s="3"/>
      <c r="G5414" s="3"/>
      <c r="H5414" s="3"/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  <c r="T5414" s="3"/>
      <c r="U5414" s="3"/>
      <c r="V5414" s="3"/>
      <c r="W5414" s="3"/>
      <c r="X5414" s="3"/>
      <c r="Y5414" s="3"/>
    </row>
    <row r="5415">
      <c r="A5415" s="3"/>
      <c r="B5415" s="3"/>
      <c r="C5415" s="3"/>
      <c r="D5415" s="3"/>
      <c r="E5415" s="3"/>
      <c r="F5415" s="3"/>
      <c r="G5415" s="3"/>
      <c r="H5415" s="3"/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  <c r="T5415" s="3"/>
      <c r="U5415" s="3"/>
      <c r="V5415" s="3"/>
      <c r="W5415" s="3"/>
      <c r="X5415" s="3"/>
      <c r="Y5415" s="3"/>
    </row>
    <row r="5416">
      <c r="A5416" s="3"/>
      <c r="B5416" s="3"/>
      <c r="C5416" s="3"/>
      <c r="D5416" s="3"/>
      <c r="E5416" s="3"/>
      <c r="F5416" s="3"/>
      <c r="G5416" s="3"/>
      <c r="H5416" s="3"/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  <c r="T5416" s="3"/>
      <c r="U5416" s="3"/>
      <c r="V5416" s="3"/>
      <c r="W5416" s="3"/>
      <c r="X5416" s="3"/>
      <c r="Y5416" s="3"/>
    </row>
    <row r="5417">
      <c r="A5417" s="3"/>
      <c r="B5417" s="3"/>
      <c r="C5417" s="3"/>
      <c r="D5417" s="3"/>
      <c r="E5417" s="3"/>
      <c r="F5417" s="3"/>
      <c r="G5417" s="3"/>
      <c r="H5417" s="3"/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  <c r="T5417" s="3"/>
      <c r="U5417" s="3"/>
      <c r="V5417" s="3"/>
      <c r="W5417" s="3"/>
      <c r="X5417" s="3"/>
      <c r="Y5417" s="3"/>
    </row>
    <row r="5418">
      <c r="A5418" s="3"/>
      <c r="B5418" s="3"/>
      <c r="C5418" s="3"/>
      <c r="D5418" s="3"/>
      <c r="E5418" s="3"/>
      <c r="F5418" s="3"/>
      <c r="G5418" s="3"/>
      <c r="H5418" s="3"/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  <c r="T5418" s="3"/>
      <c r="U5418" s="3"/>
      <c r="V5418" s="3"/>
      <c r="W5418" s="3"/>
      <c r="X5418" s="3"/>
      <c r="Y5418" s="3"/>
    </row>
    <row r="5419">
      <c r="A5419" s="3"/>
      <c r="B5419" s="3"/>
      <c r="C5419" s="3"/>
      <c r="D5419" s="3"/>
      <c r="E5419" s="3"/>
      <c r="F5419" s="3"/>
      <c r="G5419" s="3"/>
      <c r="H5419" s="3"/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  <c r="T5419" s="3"/>
      <c r="U5419" s="3"/>
      <c r="V5419" s="3"/>
      <c r="W5419" s="3"/>
      <c r="X5419" s="3"/>
      <c r="Y5419" s="3"/>
    </row>
    <row r="5420">
      <c r="A5420" s="3"/>
      <c r="B5420" s="3"/>
      <c r="C5420" s="3"/>
      <c r="D5420" s="3"/>
      <c r="E5420" s="3"/>
      <c r="F5420" s="3"/>
      <c r="G5420" s="3"/>
      <c r="H5420" s="3"/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  <c r="T5420" s="3"/>
      <c r="U5420" s="3"/>
      <c r="V5420" s="3"/>
      <c r="W5420" s="3"/>
      <c r="X5420" s="3"/>
      <c r="Y5420" s="3"/>
    </row>
    <row r="5421">
      <c r="A5421" s="3"/>
      <c r="B5421" s="3"/>
      <c r="C5421" s="3"/>
      <c r="D5421" s="3"/>
      <c r="E5421" s="3"/>
      <c r="F5421" s="3"/>
      <c r="G5421" s="3"/>
      <c r="H5421" s="3"/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  <c r="T5421" s="3"/>
      <c r="U5421" s="3"/>
      <c r="V5421" s="3"/>
      <c r="W5421" s="3"/>
      <c r="X5421" s="3"/>
      <c r="Y5421" s="3"/>
    </row>
    <row r="5422">
      <c r="A5422" s="3"/>
      <c r="B5422" s="3"/>
      <c r="C5422" s="3"/>
      <c r="D5422" s="3"/>
      <c r="E5422" s="3"/>
      <c r="F5422" s="3"/>
      <c r="G5422" s="3"/>
      <c r="H5422" s="3"/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  <c r="T5422" s="3"/>
      <c r="U5422" s="3"/>
      <c r="V5422" s="3"/>
      <c r="W5422" s="3"/>
      <c r="X5422" s="3"/>
      <c r="Y5422" s="3"/>
    </row>
    <row r="5423">
      <c r="A5423" s="3"/>
      <c r="B5423" s="3"/>
      <c r="C5423" s="3"/>
      <c r="D5423" s="3"/>
      <c r="E5423" s="3"/>
      <c r="F5423" s="3"/>
      <c r="G5423" s="3"/>
      <c r="H5423" s="3"/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  <c r="T5423" s="3"/>
      <c r="U5423" s="3"/>
      <c r="V5423" s="3"/>
      <c r="W5423" s="3"/>
      <c r="X5423" s="3"/>
      <c r="Y5423" s="3"/>
    </row>
    <row r="5424">
      <c r="A5424" s="3"/>
      <c r="B5424" s="3"/>
      <c r="C5424" s="3"/>
      <c r="D5424" s="3"/>
      <c r="E5424" s="3"/>
      <c r="F5424" s="3"/>
      <c r="G5424" s="3"/>
      <c r="H5424" s="3"/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  <c r="T5424" s="3"/>
      <c r="U5424" s="3"/>
      <c r="V5424" s="3"/>
      <c r="W5424" s="3"/>
      <c r="X5424" s="3"/>
      <c r="Y5424" s="3"/>
    </row>
    <row r="5425">
      <c r="A5425" s="3"/>
      <c r="B5425" s="3"/>
      <c r="C5425" s="3"/>
      <c r="D5425" s="3"/>
      <c r="E5425" s="3"/>
      <c r="F5425" s="3"/>
      <c r="G5425" s="3"/>
      <c r="H5425" s="3"/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  <c r="T5425" s="3"/>
      <c r="U5425" s="3"/>
      <c r="V5425" s="3"/>
      <c r="W5425" s="3"/>
      <c r="X5425" s="3"/>
      <c r="Y5425" s="3"/>
    </row>
    <row r="5426">
      <c r="A5426" s="3"/>
      <c r="B5426" s="3"/>
      <c r="C5426" s="3"/>
      <c r="D5426" s="3"/>
      <c r="E5426" s="3"/>
      <c r="F5426" s="3"/>
      <c r="G5426" s="3"/>
      <c r="H5426" s="3"/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  <c r="T5426" s="3"/>
      <c r="U5426" s="3"/>
      <c r="V5426" s="3"/>
      <c r="W5426" s="3"/>
      <c r="X5426" s="3"/>
      <c r="Y5426" s="3"/>
    </row>
    <row r="5427">
      <c r="A5427" s="3"/>
      <c r="B5427" s="3"/>
      <c r="C5427" s="3"/>
      <c r="D5427" s="3"/>
      <c r="E5427" s="3"/>
      <c r="F5427" s="3"/>
      <c r="G5427" s="3"/>
      <c r="H5427" s="3"/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  <c r="T5427" s="3"/>
      <c r="U5427" s="3"/>
      <c r="V5427" s="3"/>
      <c r="W5427" s="3"/>
      <c r="X5427" s="3"/>
      <c r="Y5427" s="3"/>
    </row>
    <row r="5428">
      <c r="A5428" s="3"/>
      <c r="B5428" s="3"/>
      <c r="C5428" s="3"/>
      <c r="D5428" s="3"/>
      <c r="E5428" s="3"/>
      <c r="F5428" s="3"/>
      <c r="G5428" s="3"/>
      <c r="H5428" s="3"/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  <c r="T5428" s="3"/>
      <c r="U5428" s="3"/>
      <c r="V5428" s="3"/>
      <c r="W5428" s="3"/>
      <c r="X5428" s="3"/>
      <c r="Y5428" s="3"/>
    </row>
    <row r="5429">
      <c r="A5429" s="3"/>
      <c r="B5429" s="3"/>
      <c r="C5429" s="3"/>
      <c r="D5429" s="3"/>
      <c r="E5429" s="3"/>
      <c r="F5429" s="3"/>
      <c r="G5429" s="3"/>
      <c r="H5429" s="3"/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  <c r="T5429" s="3"/>
      <c r="U5429" s="3"/>
      <c r="V5429" s="3"/>
      <c r="W5429" s="3"/>
      <c r="X5429" s="3"/>
      <c r="Y5429" s="3"/>
    </row>
    <row r="5430">
      <c r="A5430" s="3"/>
      <c r="B5430" s="3"/>
      <c r="C5430" s="3"/>
      <c r="D5430" s="3"/>
      <c r="E5430" s="3"/>
      <c r="F5430" s="3"/>
      <c r="G5430" s="3"/>
      <c r="H5430" s="3"/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  <c r="T5430" s="3"/>
      <c r="U5430" s="3"/>
      <c r="V5430" s="3"/>
      <c r="W5430" s="3"/>
      <c r="X5430" s="3"/>
      <c r="Y5430" s="3"/>
    </row>
    <row r="5431">
      <c r="A5431" s="3"/>
      <c r="B5431" s="3"/>
      <c r="C5431" s="3"/>
      <c r="D5431" s="3"/>
      <c r="E5431" s="3"/>
      <c r="F5431" s="3"/>
      <c r="G5431" s="3"/>
      <c r="H5431" s="3"/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  <c r="T5431" s="3"/>
      <c r="U5431" s="3"/>
      <c r="V5431" s="3"/>
      <c r="W5431" s="3"/>
      <c r="X5431" s="3"/>
      <c r="Y5431" s="3"/>
    </row>
    <row r="5432">
      <c r="A5432" s="3"/>
      <c r="B5432" s="3"/>
      <c r="C5432" s="3"/>
      <c r="D5432" s="3"/>
      <c r="E5432" s="3"/>
      <c r="F5432" s="3"/>
      <c r="G5432" s="3"/>
      <c r="H5432" s="3"/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  <c r="T5432" s="3"/>
      <c r="U5432" s="3"/>
      <c r="V5432" s="3"/>
      <c r="W5432" s="3"/>
      <c r="X5432" s="3"/>
      <c r="Y5432" s="3"/>
    </row>
    <row r="5433">
      <c r="A5433" s="3"/>
      <c r="B5433" s="3"/>
      <c r="C5433" s="3"/>
      <c r="D5433" s="3"/>
      <c r="E5433" s="3"/>
      <c r="F5433" s="3"/>
      <c r="G5433" s="3"/>
      <c r="H5433" s="3"/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  <c r="T5433" s="3"/>
      <c r="U5433" s="3"/>
      <c r="V5433" s="3"/>
      <c r="W5433" s="3"/>
      <c r="X5433" s="3"/>
      <c r="Y5433" s="3"/>
    </row>
    <row r="5434">
      <c r="A5434" s="3"/>
      <c r="B5434" s="3"/>
      <c r="C5434" s="3"/>
      <c r="D5434" s="3"/>
      <c r="E5434" s="3"/>
      <c r="F5434" s="3"/>
      <c r="G5434" s="3"/>
      <c r="H5434" s="3"/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  <c r="T5434" s="3"/>
      <c r="U5434" s="3"/>
      <c r="V5434" s="3"/>
      <c r="W5434" s="3"/>
      <c r="X5434" s="3"/>
      <c r="Y5434" s="3"/>
    </row>
    <row r="5435">
      <c r="A5435" s="3"/>
      <c r="B5435" s="3"/>
      <c r="C5435" s="3"/>
      <c r="D5435" s="3"/>
      <c r="E5435" s="3"/>
      <c r="F5435" s="3"/>
      <c r="G5435" s="3"/>
      <c r="H5435" s="3"/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  <c r="T5435" s="3"/>
      <c r="U5435" s="3"/>
      <c r="V5435" s="3"/>
      <c r="W5435" s="3"/>
      <c r="X5435" s="3"/>
      <c r="Y5435" s="3"/>
    </row>
    <row r="5436">
      <c r="A5436" s="3"/>
      <c r="B5436" s="3"/>
      <c r="C5436" s="3"/>
      <c r="D5436" s="3"/>
      <c r="E5436" s="3"/>
      <c r="F5436" s="3"/>
      <c r="G5436" s="3"/>
      <c r="H5436" s="3"/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  <c r="T5436" s="3"/>
      <c r="U5436" s="3"/>
      <c r="V5436" s="3"/>
      <c r="W5436" s="3"/>
      <c r="X5436" s="3"/>
      <c r="Y5436" s="3"/>
    </row>
    <row r="5437">
      <c r="A5437" s="3"/>
      <c r="B5437" s="3"/>
      <c r="C5437" s="3"/>
      <c r="D5437" s="3"/>
      <c r="E5437" s="3"/>
      <c r="F5437" s="3"/>
      <c r="G5437" s="3"/>
      <c r="H5437" s="3"/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  <c r="T5437" s="3"/>
      <c r="U5437" s="3"/>
      <c r="V5437" s="3"/>
      <c r="W5437" s="3"/>
      <c r="X5437" s="3"/>
      <c r="Y5437" s="3"/>
    </row>
    <row r="5438">
      <c r="A5438" s="3"/>
      <c r="B5438" s="3"/>
      <c r="C5438" s="3"/>
      <c r="D5438" s="3"/>
      <c r="E5438" s="3"/>
      <c r="F5438" s="3"/>
      <c r="G5438" s="3"/>
      <c r="H5438" s="3"/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  <c r="T5438" s="3"/>
      <c r="U5438" s="3"/>
      <c r="V5438" s="3"/>
      <c r="W5438" s="3"/>
      <c r="X5438" s="3"/>
      <c r="Y5438" s="3"/>
    </row>
    <row r="5439">
      <c r="A5439" s="3"/>
      <c r="B5439" s="3"/>
      <c r="C5439" s="3"/>
      <c r="D5439" s="3"/>
      <c r="E5439" s="3"/>
      <c r="F5439" s="3"/>
      <c r="G5439" s="3"/>
      <c r="H5439" s="3"/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  <c r="T5439" s="3"/>
      <c r="U5439" s="3"/>
      <c r="V5439" s="3"/>
      <c r="W5439" s="3"/>
      <c r="X5439" s="3"/>
      <c r="Y5439" s="3"/>
    </row>
    <row r="5440">
      <c r="A5440" s="3"/>
      <c r="B5440" s="3"/>
      <c r="C5440" s="3"/>
      <c r="D5440" s="3"/>
      <c r="E5440" s="3"/>
      <c r="F5440" s="3"/>
      <c r="G5440" s="3"/>
      <c r="H5440" s="3"/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  <c r="T5440" s="3"/>
      <c r="U5440" s="3"/>
      <c r="V5440" s="3"/>
      <c r="W5440" s="3"/>
      <c r="X5440" s="3"/>
      <c r="Y5440" s="3"/>
    </row>
    <row r="5441">
      <c r="A5441" s="3"/>
      <c r="B5441" s="3"/>
      <c r="C5441" s="3"/>
      <c r="D5441" s="3"/>
      <c r="E5441" s="3"/>
      <c r="F5441" s="3"/>
      <c r="G5441" s="3"/>
      <c r="H5441" s="3"/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  <c r="T5441" s="3"/>
      <c r="U5441" s="3"/>
      <c r="V5441" s="3"/>
      <c r="W5441" s="3"/>
      <c r="X5441" s="3"/>
      <c r="Y5441" s="3"/>
    </row>
    <row r="5442">
      <c r="A5442" s="3"/>
      <c r="B5442" s="3"/>
      <c r="C5442" s="3"/>
      <c r="D5442" s="3"/>
      <c r="E5442" s="3"/>
      <c r="F5442" s="3"/>
      <c r="G5442" s="3"/>
      <c r="H5442" s="3"/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  <c r="T5442" s="3"/>
      <c r="U5442" s="3"/>
      <c r="V5442" s="3"/>
      <c r="W5442" s="3"/>
      <c r="X5442" s="3"/>
      <c r="Y5442" s="3"/>
    </row>
    <row r="5443">
      <c r="A5443" s="3"/>
      <c r="B5443" s="3"/>
      <c r="C5443" s="3"/>
      <c r="D5443" s="3"/>
      <c r="E5443" s="3"/>
      <c r="F5443" s="3"/>
      <c r="G5443" s="3"/>
      <c r="H5443" s="3"/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  <c r="T5443" s="3"/>
      <c r="U5443" s="3"/>
      <c r="V5443" s="3"/>
      <c r="W5443" s="3"/>
      <c r="X5443" s="3"/>
      <c r="Y5443" s="3"/>
    </row>
    <row r="5444">
      <c r="A5444" s="3"/>
      <c r="B5444" s="3"/>
      <c r="C5444" s="3"/>
      <c r="D5444" s="3"/>
      <c r="E5444" s="3"/>
      <c r="F5444" s="3"/>
      <c r="G5444" s="3"/>
      <c r="H5444" s="3"/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  <c r="T5444" s="3"/>
      <c r="U5444" s="3"/>
      <c r="V5444" s="3"/>
      <c r="W5444" s="3"/>
      <c r="X5444" s="3"/>
      <c r="Y5444" s="3"/>
    </row>
    <row r="5445">
      <c r="A5445" s="3"/>
      <c r="B5445" s="3"/>
      <c r="C5445" s="3"/>
      <c r="D5445" s="3"/>
      <c r="E5445" s="3"/>
      <c r="F5445" s="3"/>
      <c r="G5445" s="3"/>
      <c r="H5445" s="3"/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  <c r="T5445" s="3"/>
      <c r="U5445" s="3"/>
      <c r="V5445" s="3"/>
      <c r="W5445" s="3"/>
      <c r="X5445" s="3"/>
      <c r="Y5445" s="3"/>
    </row>
    <row r="5446">
      <c r="A5446" s="3"/>
      <c r="B5446" s="3"/>
      <c r="C5446" s="3"/>
      <c r="D5446" s="3"/>
      <c r="E5446" s="3"/>
      <c r="F5446" s="3"/>
      <c r="G5446" s="3"/>
      <c r="H5446" s="3"/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  <c r="T5446" s="3"/>
      <c r="U5446" s="3"/>
      <c r="V5446" s="3"/>
      <c r="W5446" s="3"/>
      <c r="X5446" s="3"/>
      <c r="Y5446" s="3"/>
    </row>
    <row r="5447">
      <c r="A5447" s="3"/>
      <c r="B5447" s="3"/>
      <c r="C5447" s="3"/>
      <c r="D5447" s="3"/>
      <c r="E5447" s="3"/>
      <c r="F5447" s="3"/>
      <c r="G5447" s="3"/>
      <c r="H5447" s="3"/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  <c r="T5447" s="3"/>
      <c r="U5447" s="3"/>
      <c r="V5447" s="3"/>
      <c r="W5447" s="3"/>
      <c r="X5447" s="3"/>
      <c r="Y5447" s="3"/>
    </row>
    <row r="5448">
      <c r="A5448" s="3"/>
      <c r="B5448" s="3"/>
      <c r="C5448" s="3"/>
      <c r="D5448" s="3"/>
      <c r="E5448" s="3"/>
      <c r="F5448" s="3"/>
      <c r="G5448" s="3"/>
      <c r="H5448" s="3"/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  <c r="T5448" s="3"/>
      <c r="U5448" s="3"/>
      <c r="V5448" s="3"/>
      <c r="W5448" s="3"/>
      <c r="X5448" s="3"/>
      <c r="Y5448" s="3"/>
    </row>
    <row r="5449">
      <c r="A5449" s="3"/>
      <c r="B5449" s="3"/>
      <c r="C5449" s="3"/>
      <c r="D5449" s="3"/>
      <c r="E5449" s="3"/>
      <c r="F5449" s="3"/>
      <c r="G5449" s="3"/>
      <c r="H5449" s="3"/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  <c r="T5449" s="3"/>
      <c r="U5449" s="3"/>
      <c r="V5449" s="3"/>
      <c r="W5449" s="3"/>
      <c r="X5449" s="3"/>
      <c r="Y5449" s="3"/>
    </row>
    <row r="5450">
      <c r="A5450" s="3"/>
      <c r="B5450" s="3"/>
      <c r="C5450" s="3"/>
      <c r="D5450" s="3"/>
      <c r="E5450" s="3"/>
      <c r="F5450" s="3"/>
      <c r="G5450" s="3"/>
      <c r="H5450" s="3"/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  <c r="T5450" s="3"/>
      <c r="U5450" s="3"/>
      <c r="V5450" s="3"/>
      <c r="W5450" s="3"/>
      <c r="X5450" s="3"/>
      <c r="Y5450" s="3"/>
    </row>
    <row r="5451">
      <c r="A5451" s="3"/>
      <c r="B5451" s="3"/>
      <c r="C5451" s="3"/>
      <c r="D5451" s="3"/>
      <c r="E5451" s="3"/>
      <c r="F5451" s="3"/>
      <c r="G5451" s="3"/>
      <c r="H5451" s="3"/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  <c r="T5451" s="3"/>
      <c r="U5451" s="3"/>
      <c r="V5451" s="3"/>
      <c r="W5451" s="3"/>
      <c r="X5451" s="3"/>
      <c r="Y5451" s="3"/>
    </row>
    <row r="5452">
      <c r="A5452" s="3"/>
      <c r="B5452" s="3"/>
      <c r="C5452" s="3"/>
      <c r="D5452" s="3"/>
      <c r="E5452" s="3"/>
      <c r="F5452" s="3"/>
      <c r="G5452" s="3"/>
      <c r="H5452" s="3"/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  <c r="T5452" s="3"/>
      <c r="U5452" s="3"/>
      <c r="V5452" s="3"/>
      <c r="W5452" s="3"/>
      <c r="X5452" s="3"/>
      <c r="Y5452" s="3"/>
    </row>
    <row r="5453">
      <c r="A5453" s="3"/>
      <c r="B5453" s="3"/>
      <c r="C5453" s="3"/>
      <c r="D5453" s="3"/>
      <c r="E5453" s="3"/>
      <c r="F5453" s="3"/>
      <c r="G5453" s="3"/>
      <c r="H5453" s="3"/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  <c r="T5453" s="3"/>
      <c r="U5453" s="3"/>
      <c r="V5453" s="3"/>
      <c r="W5453" s="3"/>
      <c r="X5453" s="3"/>
      <c r="Y5453" s="3"/>
    </row>
    <row r="5454">
      <c r="A5454" s="3"/>
      <c r="B5454" s="3"/>
      <c r="C5454" s="3"/>
      <c r="D5454" s="3"/>
      <c r="E5454" s="3"/>
      <c r="F5454" s="3"/>
      <c r="G5454" s="3"/>
      <c r="H5454" s="3"/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  <c r="T5454" s="3"/>
      <c r="U5454" s="3"/>
      <c r="V5454" s="3"/>
      <c r="W5454" s="3"/>
      <c r="X5454" s="3"/>
      <c r="Y5454" s="3"/>
    </row>
    <row r="5455">
      <c r="A5455" s="3"/>
      <c r="B5455" s="3"/>
      <c r="C5455" s="3"/>
      <c r="D5455" s="3"/>
      <c r="E5455" s="3"/>
      <c r="F5455" s="3"/>
      <c r="G5455" s="3"/>
      <c r="H5455" s="3"/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  <c r="T5455" s="3"/>
      <c r="U5455" s="3"/>
      <c r="V5455" s="3"/>
      <c r="W5455" s="3"/>
      <c r="X5455" s="3"/>
      <c r="Y5455" s="3"/>
    </row>
    <row r="5456">
      <c r="A5456" s="3"/>
      <c r="B5456" s="3"/>
      <c r="C5456" s="3"/>
      <c r="D5456" s="3"/>
      <c r="E5456" s="3"/>
      <c r="F5456" s="3"/>
      <c r="G5456" s="3"/>
      <c r="H5456" s="3"/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  <c r="T5456" s="3"/>
      <c r="U5456" s="3"/>
      <c r="V5456" s="3"/>
      <c r="W5456" s="3"/>
      <c r="X5456" s="3"/>
      <c r="Y5456" s="3"/>
    </row>
    <row r="5457">
      <c r="A5457" s="3"/>
      <c r="B5457" s="3"/>
      <c r="C5457" s="3"/>
      <c r="D5457" s="3"/>
      <c r="E5457" s="3"/>
      <c r="F5457" s="3"/>
      <c r="G5457" s="3"/>
      <c r="H5457" s="3"/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  <c r="T5457" s="3"/>
      <c r="U5457" s="3"/>
      <c r="V5457" s="3"/>
      <c r="W5457" s="3"/>
      <c r="X5457" s="3"/>
      <c r="Y5457" s="3"/>
    </row>
    <row r="5458">
      <c r="A5458" s="3"/>
      <c r="B5458" s="3"/>
      <c r="C5458" s="3"/>
      <c r="D5458" s="3"/>
      <c r="E5458" s="3"/>
      <c r="F5458" s="3"/>
      <c r="G5458" s="3"/>
      <c r="H5458" s="3"/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  <c r="T5458" s="3"/>
      <c r="U5458" s="3"/>
      <c r="V5458" s="3"/>
      <c r="W5458" s="3"/>
      <c r="X5458" s="3"/>
      <c r="Y5458" s="3"/>
    </row>
    <row r="5459">
      <c r="A5459" s="3"/>
      <c r="B5459" s="3"/>
      <c r="C5459" s="3"/>
      <c r="D5459" s="3"/>
      <c r="E5459" s="3"/>
      <c r="F5459" s="3"/>
      <c r="G5459" s="3"/>
      <c r="H5459" s="3"/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  <c r="T5459" s="3"/>
      <c r="U5459" s="3"/>
      <c r="V5459" s="3"/>
      <c r="W5459" s="3"/>
      <c r="X5459" s="3"/>
      <c r="Y5459" s="3"/>
    </row>
    <row r="5460">
      <c r="A5460" s="3"/>
      <c r="B5460" s="3"/>
      <c r="C5460" s="3"/>
      <c r="D5460" s="3"/>
      <c r="E5460" s="3"/>
      <c r="F5460" s="3"/>
      <c r="G5460" s="3"/>
      <c r="H5460" s="3"/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  <c r="T5460" s="3"/>
      <c r="U5460" s="3"/>
      <c r="V5460" s="3"/>
      <c r="W5460" s="3"/>
      <c r="X5460" s="3"/>
      <c r="Y5460" s="3"/>
    </row>
    <row r="5461">
      <c r="A5461" s="3"/>
      <c r="B5461" s="3"/>
      <c r="C5461" s="3"/>
      <c r="D5461" s="3"/>
      <c r="E5461" s="3"/>
      <c r="F5461" s="3"/>
      <c r="G5461" s="3"/>
      <c r="H5461" s="3"/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  <c r="T5461" s="3"/>
      <c r="U5461" s="3"/>
      <c r="V5461" s="3"/>
      <c r="W5461" s="3"/>
      <c r="X5461" s="3"/>
      <c r="Y5461" s="3"/>
    </row>
    <row r="5462">
      <c r="A5462" s="3"/>
      <c r="B5462" s="3"/>
      <c r="C5462" s="3"/>
      <c r="D5462" s="3"/>
      <c r="E5462" s="3"/>
      <c r="F5462" s="3"/>
      <c r="G5462" s="3"/>
      <c r="H5462" s="3"/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  <c r="T5462" s="3"/>
      <c r="U5462" s="3"/>
      <c r="V5462" s="3"/>
      <c r="W5462" s="3"/>
      <c r="X5462" s="3"/>
      <c r="Y5462" s="3"/>
    </row>
    <row r="5463">
      <c r="A5463" s="3"/>
      <c r="B5463" s="3"/>
      <c r="C5463" s="3"/>
      <c r="D5463" s="3"/>
      <c r="E5463" s="3"/>
      <c r="F5463" s="3"/>
      <c r="G5463" s="3"/>
      <c r="H5463" s="3"/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  <c r="T5463" s="3"/>
      <c r="U5463" s="3"/>
      <c r="V5463" s="3"/>
      <c r="W5463" s="3"/>
      <c r="X5463" s="3"/>
      <c r="Y5463" s="3"/>
    </row>
    <row r="5464">
      <c r="A5464" s="3"/>
      <c r="B5464" s="3"/>
      <c r="C5464" s="3"/>
      <c r="D5464" s="3"/>
      <c r="E5464" s="3"/>
      <c r="F5464" s="3"/>
      <c r="G5464" s="3"/>
      <c r="H5464" s="3"/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  <c r="T5464" s="3"/>
      <c r="U5464" s="3"/>
      <c r="V5464" s="3"/>
      <c r="W5464" s="3"/>
      <c r="X5464" s="3"/>
      <c r="Y5464" s="3"/>
    </row>
    <row r="5465">
      <c r="A5465" s="3"/>
      <c r="B5465" s="3"/>
      <c r="C5465" s="3"/>
      <c r="D5465" s="3"/>
      <c r="E5465" s="3"/>
      <c r="F5465" s="3"/>
      <c r="G5465" s="3"/>
      <c r="H5465" s="3"/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  <c r="T5465" s="3"/>
      <c r="U5465" s="3"/>
      <c r="V5465" s="3"/>
      <c r="W5465" s="3"/>
      <c r="X5465" s="3"/>
      <c r="Y5465" s="3"/>
    </row>
    <row r="5466">
      <c r="A5466" s="3"/>
      <c r="B5466" s="3"/>
      <c r="C5466" s="3"/>
      <c r="D5466" s="3"/>
      <c r="E5466" s="3"/>
      <c r="F5466" s="3"/>
      <c r="G5466" s="3"/>
      <c r="H5466" s="3"/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  <c r="T5466" s="3"/>
      <c r="U5466" s="3"/>
      <c r="V5466" s="3"/>
      <c r="W5466" s="3"/>
      <c r="X5466" s="3"/>
      <c r="Y5466" s="3"/>
    </row>
    <row r="5467">
      <c r="A5467" s="3"/>
      <c r="B5467" s="3"/>
      <c r="C5467" s="3"/>
      <c r="D5467" s="3"/>
      <c r="E5467" s="3"/>
      <c r="F5467" s="3"/>
      <c r="G5467" s="3"/>
      <c r="H5467" s="3"/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  <c r="T5467" s="3"/>
      <c r="U5467" s="3"/>
      <c r="V5467" s="3"/>
      <c r="W5467" s="3"/>
      <c r="X5467" s="3"/>
      <c r="Y5467" s="3"/>
    </row>
    <row r="5468">
      <c r="A5468" s="3"/>
      <c r="B5468" s="3"/>
      <c r="C5468" s="3"/>
      <c r="D5468" s="3"/>
      <c r="E5468" s="3"/>
      <c r="F5468" s="3"/>
      <c r="G5468" s="3"/>
      <c r="H5468" s="3"/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  <c r="T5468" s="3"/>
      <c r="U5468" s="3"/>
      <c r="V5468" s="3"/>
      <c r="W5468" s="3"/>
      <c r="X5468" s="3"/>
      <c r="Y5468" s="3"/>
    </row>
    <row r="5469">
      <c r="A5469" s="3"/>
      <c r="B5469" s="3"/>
      <c r="C5469" s="3"/>
      <c r="D5469" s="3"/>
      <c r="E5469" s="3"/>
      <c r="F5469" s="3"/>
      <c r="G5469" s="3"/>
      <c r="H5469" s="3"/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  <c r="T5469" s="3"/>
      <c r="U5469" s="3"/>
      <c r="V5469" s="3"/>
      <c r="W5469" s="3"/>
      <c r="X5469" s="3"/>
      <c r="Y5469" s="3"/>
    </row>
    <row r="5470">
      <c r="A5470" s="3"/>
      <c r="B5470" s="3"/>
      <c r="C5470" s="3"/>
      <c r="D5470" s="3"/>
      <c r="E5470" s="3"/>
      <c r="F5470" s="3"/>
      <c r="G5470" s="3"/>
      <c r="H5470" s="3"/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  <c r="T5470" s="3"/>
      <c r="U5470" s="3"/>
      <c r="V5470" s="3"/>
      <c r="W5470" s="3"/>
      <c r="X5470" s="3"/>
      <c r="Y5470" s="3"/>
    </row>
    <row r="5471">
      <c r="A5471" s="3"/>
      <c r="B5471" s="3"/>
      <c r="C5471" s="3"/>
      <c r="D5471" s="3"/>
      <c r="E5471" s="3"/>
      <c r="F5471" s="3"/>
      <c r="G5471" s="3"/>
      <c r="H5471" s="3"/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  <c r="T5471" s="3"/>
      <c r="U5471" s="3"/>
      <c r="V5471" s="3"/>
      <c r="W5471" s="3"/>
      <c r="X5471" s="3"/>
      <c r="Y5471" s="3"/>
    </row>
    <row r="5472">
      <c r="A5472" s="3"/>
      <c r="B5472" s="3"/>
      <c r="C5472" s="3"/>
      <c r="D5472" s="3"/>
      <c r="E5472" s="3"/>
      <c r="F5472" s="3"/>
      <c r="G5472" s="3"/>
      <c r="H5472" s="3"/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  <c r="T5472" s="3"/>
      <c r="U5472" s="3"/>
      <c r="V5472" s="3"/>
      <c r="W5472" s="3"/>
      <c r="X5472" s="3"/>
      <c r="Y5472" s="3"/>
    </row>
    <row r="5473">
      <c r="A5473" s="3"/>
      <c r="B5473" s="3"/>
      <c r="C5473" s="3"/>
      <c r="D5473" s="3"/>
      <c r="E5473" s="3"/>
      <c r="F5473" s="3"/>
      <c r="G5473" s="3"/>
      <c r="H5473" s="3"/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  <c r="T5473" s="3"/>
      <c r="U5473" s="3"/>
      <c r="V5473" s="3"/>
      <c r="W5473" s="3"/>
      <c r="X5473" s="3"/>
      <c r="Y5473" s="3"/>
    </row>
    <row r="5474">
      <c r="A5474" s="3"/>
      <c r="B5474" s="3"/>
      <c r="C5474" s="3"/>
      <c r="D5474" s="3"/>
      <c r="E5474" s="3"/>
      <c r="F5474" s="3"/>
      <c r="G5474" s="3"/>
      <c r="H5474" s="3"/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  <c r="T5474" s="3"/>
      <c r="U5474" s="3"/>
      <c r="V5474" s="3"/>
      <c r="W5474" s="3"/>
      <c r="X5474" s="3"/>
      <c r="Y5474" s="3"/>
    </row>
    <row r="5475">
      <c r="A5475" s="3"/>
      <c r="B5475" s="3"/>
      <c r="C5475" s="3"/>
      <c r="D5475" s="3"/>
      <c r="E5475" s="3"/>
      <c r="F5475" s="3"/>
      <c r="G5475" s="3"/>
      <c r="H5475" s="3"/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  <c r="T5475" s="3"/>
      <c r="U5475" s="3"/>
      <c r="V5475" s="3"/>
      <c r="W5475" s="3"/>
      <c r="X5475" s="3"/>
      <c r="Y5475" s="3"/>
    </row>
    <row r="5476">
      <c r="A5476" s="3"/>
      <c r="B5476" s="3"/>
      <c r="C5476" s="3"/>
      <c r="D5476" s="3"/>
      <c r="E5476" s="3"/>
      <c r="F5476" s="3"/>
      <c r="G5476" s="3"/>
      <c r="H5476" s="3"/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  <c r="T5476" s="3"/>
      <c r="U5476" s="3"/>
      <c r="V5476" s="3"/>
      <c r="W5476" s="3"/>
      <c r="X5476" s="3"/>
      <c r="Y5476" s="3"/>
    </row>
    <row r="5477">
      <c r="A5477" s="3"/>
      <c r="B5477" s="3"/>
      <c r="C5477" s="3"/>
      <c r="D5477" s="3"/>
      <c r="E5477" s="3"/>
      <c r="F5477" s="3"/>
      <c r="G5477" s="3"/>
      <c r="H5477" s="3"/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  <c r="T5477" s="3"/>
      <c r="U5477" s="3"/>
      <c r="V5477" s="3"/>
      <c r="W5477" s="3"/>
      <c r="X5477" s="3"/>
      <c r="Y5477" s="3"/>
    </row>
    <row r="5478">
      <c r="A5478" s="3"/>
      <c r="B5478" s="3"/>
      <c r="C5478" s="3"/>
      <c r="D5478" s="3"/>
      <c r="E5478" s="3"/>
      <c r="F5478" s="3"/>
      <c r="G5478" s="3"/>
      <c r="H5478" s="3"/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  <c r="T5478" s="3"/>
      <c r="U5478" s="3"/>
      <c r="V5478" s="3"/>
      <c r="W5478" s="3"/>
      <c r="X5478" s="3"/>
      <c r="Y5478" s="3"/>
    </row>
    <row r="5479">
      <c r="A5479" s="3"/>
      <c r="B5479" s="3"/>
      <c r="C5479" s="3"/>
      <c r="D5479" s="3"/>
      <c r="E5479" s="3"/>
      <c r="F5479" s="3"/>
      <c r="G5479" s="3"/>
      <c r="H5479" s="3"/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  <c r="T5479" s="3"/>
      <c r="U5479" s="3"/>
      <c r="V5479" s="3"/>
      <c r="W5479" s="3"/>
      <c r="X5479" s="3"/>
      <c r="Y5479" s="3"/>
    </row>
    <row r="5480">
      <c r="A5480" s="3"/>
      <c r="B5480" s="3"/>
      <c r="C5480" s="3"/>
      <c r="D5480" s="3"/>
      <c r="E5480" s="3"/>
      <c r="F5480" s="3"/>
      <c r="G5480" s="3"/>
      <c r="H5480" s="3"/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  <c r="T5480" s="3"/>
      <c r="U5480" s="3"/>
      <c r="V5480" s="3"/>
      <c r="W5480" s="3"/>
      <c r="X5480" s="3"/>
      <c r="Y5480" s="3"/>
    </row>
    <row r="5481">
      <c r="A5481" s="3"/>
      <c r="B5481" s="3"/>
      <c r="C5481" s="3"/>
      <c r="D5481" s="3"/>
      <c r="E5481" s="3"/>
      <c r="F5481" s="3"/>
      <c r="G5481" s="3"/>
      <c r="H5481" s="3"/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  <c r="T5481" s="3"/>
      <c r="U5481" s="3"/>
      <c r="V5481" s="3"/>
      <c r="W5481" s="3"/>
      <c r="X5481" s="3"/>
      <c r="Y5481" s="3"/>
    </row>
    <row r="5482">
      <c r="A5482" s="3"/>
      <c r="B5482" s="3"/>
      <c r="C5482" s="3"/>
      <c r="D5482" s="3"/>
      <c r="E5482" s="3"/>
      <c r="F5482" s="3"/>
      <c r="G5482" s="3"/>
      <c r="H5482" s="3"/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  <c r="T5482" s="3"/>
      <c r="U5482" s="3"/>
      <c r="V5482" s="3"/>
      <c r="W5482" s="3"/>
      <c r="X5482" s="3"/>
      <c r="Y5482" s="3"/>
    </row>
    <row r="5483">
      <c r="A5483" s="3"/>
      <c r="B5483" s="3"/>
      <c r="C5483" s="3"/>
      <c r="D5483" s="3"/>
      <c r="E5483" s="3"/>
      <c r="F5483" s="3"/>
      <c r="G5483" s="3"/>
      <c r="H5483" s="3"/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  <c r="T5483" s="3"/>
      <c r="U5483" s="3"/>
      <c r="V5483" s="3"/>
      <c r="W5483" s="3"/>
      <c r="X5483" s="3"/>
      <c r="Y5483" s="3"/>
    </row>
    <row r="5484">
      <c r="A5484" s="3"/>
      <c r="B5484" s="3"/>
      <c r="C5484" s="3"/>
      <c r="D5484" s="3"/>
      <c r="E5484" s="3"/>
      <c r="F5484" s="3"/>
      <c r="G5484" s="3"/>
      <c r="H5484" s="3"/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  <c r="T5484" s="3"/>
      <c r="U5484" s="3"/>
      <c r="V5484" s="3"/>
      <c r="W5484" s="3"/>
      <c r="X5484" s="3"/>
      <c r="Y5484" s="3"/>
    </row>
    <row r="5485">
      <c r="A5485" s="3"/>
      <c r="B5485" s="3"/>
      <c r="C5485" s="3"/>
      <c r="D5485" s="3"/>
      <c r="E5485" s="3"/>
      <c r="F5485" s="3"/>
      <c r="G5485" s="3"/>
      <c r="H5485" s="3"/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  <c r="T5485" s="3"/>
      <c r="U5485" s="3"/>
      <c r="V5485" s="3"/>
      <c r="W5485" s="3"/>
      <c r="X5485" s="3"/>
      <c r="Y5485" s="3"/>
    </row>
    <row r="5486">
      <c r="A5486" s="3"/>
      <c r="B5486" s="3"/>
      <c r="C5486" s="3"/>
      <c r="D5486" s="3"/>
      <c r="E5486" s="3"/>
      <c r="F5486" s="3"/>
      <c r="G5486" s="3"/>
      <c r="H5486" s="3"/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  <c r="T5486" s="3"/>
      <c r="U5486" s="3"/>
      <c r="V5486" s="3"/>
      <c r="W5486" s="3"/>
      <c r="X5486" s="3"/>
      <c r="Y5486" s="3"/>
    </row>
    <row r="5487">
      <c r="A5487" s="3"/>
      <c r="B5487" s="3"/>
      <c r="C5487" s="3"/>
      <c r="D5487" s="3"/>
      <c r="E5487" s="3"/>
      <c r="F5487" s="3"/>
      <c r="G5487" s="3"/>
      <c r="H5487" s="3"/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  <c r="T5487" s="3"/>
      <c r="U5487" s="3"/>
      <c r="V5487" s="3"/>
      <c r="W5487" s="3"/>
      <c r="X5487" s="3"/>
      <c r="Y5487" s="3"/>
    </row>
    <row r="5488">
      <c r="A5488" s="3"/>
      <c r="B5488" s="3"/>
      <c r="C5488" s="3"/>
      <c r="D5488" s="3"/>
      <c r="E5488" s="3"/>
      <c r="F5488" s="3"/>
      <c r="G5488" s="3"/>
      <c r="H5488" s="3"/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  <c r="T5488" s="3"/>
      <c r="U5488" s="3"/>
      <c r="V5488" s="3"/>
      <c r="W5488" s="3"/>
      <c r="X5488" s="3"/>
      <c r="Y5488" s="3"/>
    </row>
    <row r="5489">
      <c r="A5489" s="3"/>
      <c r="B5489" s="3"/>
      <c r="C5489" s="3"/>
      <c r="D5489" s="3"/>
      <c r="E5489" s="3"/>
      <c r="F5489" s="3"/>
      <c r="G5489" s="3"/>
      <c r="H5489" s="3"/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  <c r="T5489" s="3"/>
      <c r="U5489" s="3"/>
      <c r="V5489" s="3"/>
      <c r="W5489" s="3"/>
      <c r="X5489" s="3"/>
      <c r="Y5489" s="3"/>
    </row>
    <row r="5490">
      <c r="A5490" s="3"/>
      <c r="B5490" s="3"/>
      <c r="C5490" s="3"/>
      <c r="D5490" s="3"/>
      <c r="E5490" s="3"/>
      <c r="F5490" s="3"/>
      <c r="G5490" s="3"/>
      <c r="H5490" s="3"/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  <c r="T5490" s="3"/>
      <c r="U5490" s="3"/>
      <c r="V5490" s="3"/>
      <c r="W5490" s="3"/>
      <c r="X5490" s="3"/>
      <c r="Y5490" s="3"/>
    </row>
    <row r="5491">
      <c r="A5491" s="3"/>
      <c r="B5491" s="3"/>
      <c r="C5491" s="3"/>
      <c r="D5491" s="3"/>
      <c r="E5491" s="3"/>
      <c r="F5491" s="3"/>
      <c r="G5491" s="3"/>
      <c r="H5491" s="3"/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  <c r="T5491" s="3"/>
      <c r="U5491" s="3"/>
      <c r="V5491" s="3"/>
      <c r="W5491" s="3"/>
      <c r="X5491" s="3"/>
      <c r="Y5491" s="3"/>
    </row>
    <row r="5492">
      <c r="A5492" s="3"/>
      <c r="B5492" s="3"/>
      <c r="C5492" s="3"/>
      <c r="D5492" s="3"/>
      <c r="E5492" s="3"/>
      <c r="F5492" s="3"/>
      <c r="G5492" s="3"/>
      <c r="H5492" s="3"/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  <c r="T5492" s="3"/>
      <c r="U5492" s="3"/>
      <c r="V5492" s="3"/>
      <c r="W5492" s="3"/>
      <c r="X5492" s="3"/>
      <c r="Y5492" s="3"/>
    </row>
    <row r="5493">
      <c r="A5493" s="3"/>
      <c r="B5493" s="3"/>
      <c r="C5493" s="3"/>
      <c r="D5493" s="3"/>
      <c r="E5493" s="3"/>
      <c r="F5493" s="3"/>
      <c r="G5493" s="3"/>
      <c r="H5493" s="3"/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  <c r="T5493" s="3"/>
      <c r="U5493" s="3"/>
      <c r="V5493" s="3"/>
      <c r="W5493" s="3"/>
      <c r="X5493" s="3"/>
      <c r="Y5493" s="3"/>
    </row>
    <row r="5494">
      <c r="A5494" s="3"/>
      <c r="B5494" s="3"/>
      <c r="C5494" s="3"/>
      <c r="D5494" s="3"/>
      <c r="E5494" s="3"/>
      <c r="F5494" s="3"/>
      <c r="G5494" s="3"/>
      <c r="H5494" s="3"/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  <c r="T5494" s="3"/>
      <c r="U5494" s="3"/>
      <c r="V5494" s="3"/>
      <c r="W5494" s="3"/>
      <c r="X5494" s="3"/>
      <c r="Y5494" s="3"/>
    </row>
    <row r="5495">
      <c r="A5495" s="3"/>
      <c r="B5495" s="3"/>
      <c r="C5495" s="3"/>
      <c r="D5495" s="3"/>
      <c r="E5495" s="3"/>
      <c r="F5495" s="3"/>
      <c r="G5495" s="3"/>
      <c r="H5495" s="3"/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  <c r="T5495" s="3"/>
      <c r="U5495" s="3"/>
      <c r="V5495" s="3"/>
      <c r="W5495" s="3"/>
      <c r="X5495" s="3"/>
      <c r="Y5495" s="3"/>
    </row>
    <row r="5496">
      <c r="A5496" s="3"/>
      <c r="B5496" s="3"/>
      <c r="C5496" s="3"/>
      <c r="D5496" s="3"/>
      <c r="E5496" s="3"/>
      <c r="F5496" s="3"/>
      <c r="G5496" s="3"/>
      <c r="H5496" s="3"/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  <c r="T5496" s="3"/>
      <c r="U5496" s="3"/>
      <c r="V5496" s="3"/>
      <c r="W5496" s="3"/>
      <c r="X5496" s="3"/>
      <c r="Y5496" s="3"/>
    </row>
    <row r="5497">
      <c r="A5497" s="3"/>
      <c r="B5497" s="3"/>
      <c r="C5497" s="3"/>
      <c r="D5497" s="3"/>
      <c r="E5497" s="3"/>
      <c r="F5497" s="3"/>
      <c r="G5497" s="3"/>
      <c r="H5497" s="3"/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  <c r="T5497" s="3"/>
      <c r="U5497" s="3"/>
      <c r="V5497" s="3"/>
      <c r="W5497" s="3"/>
      <c r="X5497" s="3"/>
      <c r="Y5497" s="3"/>
    </row>
    <row r="5498">
      <c r="A5498" s="3"/>
      <c r="B5498" s="3"/>
      <c r="C5498" s="3"/>
      <c r="D5498" s="3"/>
      <c r="E5498" s="3"/>
      <c r="F5498" s="3"/>
      <c r="G5498" s="3"/>
      <c r="H5498" s="3"/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  <c r="T5498" s="3"/>
      <c r="U5498" s="3"/>
      <c r="V5498" s="3"/>
      <c r="W5498" s="3"/>
      <c r="X5498" s="3"/>
      <c r="Y5498" s="3"/>
    </row>
    <row r="5499">
      <c r="A5499" s="3"/>
      <c r="B5499" s="3"/>
      <c r="C5499" s="3"/>
      <c r="D5499" s="3"/>
      <c r="E5499" s="3"/>
      <c r="F5499" s="3"/>
      <c r="G5499" s="3"/>
      <c r="H5499" s="3"/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  <c r="T5499" s="3"/>
      <c r="U5499" s="3"/>
      <c r="V5499" s="3"/>
      <c r="W5499" s="3"/>
      <c r="X5499" s="3"/>
      <c r="Y5499" s="3"/>
    </row>
    <row r="5500">
      <c r="A5500" s="3"/>
      <c r="B5500" s="3"/>
      <c r="C5500" s="3"/>
      <c r="D5500" s="3"/>
      <c r="E5500" s="3"/>
      <c r="F5500" s="3"/>
      <c r="G5500" s="3"/>
      <c r="H5500" s="3"/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  <c r="T5500" s="3"/>
      <c r="U5500" s="3"/>
      <c r="V5500" s="3"/>
      <c r="W5500" s="3"/>
      <c r="X5500" s="3"/>
      <c r="Y5500" s="3"/>
    </row>
    <row r="5501">
      <c r="A5501" s="3"/>
      <c r="B5501" s="3"/>
      <c r="C5501" s="3"/>
      <c r="D5501" s="3"/>
      <c r="E5501" s="3"/>
      <c r="F5501" s="3"/>
      <c r="G5501" s="3"/>
      <c r="H5501" s="3"/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  <c r="T5501" s="3"/>
      <c r="U5501" s="3"/>
      <c r="V5501" s="3"/>
      <c r="W5501" s="3"/>
      <c r="X5501" s="3"/>
      <c r="Y5501" s="3"/>
    </row>
    <row r="5502">
      <c r="A5502" s="3"/>
      <c r="B5502" s="3"/>
      <c r="C5502" s="3"/>
      <c r="D5502" s="3"/>
      <c r="E5502" s="3"/>
      <c r="F5502" s="3"/>
      <c r="G5502" s="3"/>
      <c r="H5502" s="3"/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  <c r="T5502" s="3"/>
      <c r="U5502" s="3"/>
      <c r="V5502" s="3"/>
      <c r="W5502" s="3"/>
      <c r="X5502" s="3"/>
      <c r="Y5502" s="3"/>
    </row>
    <row r="5503">
      <c r="A5503" s="3"/>
      <c r="B5503" s="3"/>
      <c r="C5503" s="3"/>
      <c r="D5503" s="3"/>
      <c r="E5503" s="3"/>
      <c r="F5503" s="3"/>
      <c r="G5503" s="3"/>
      <c r="H5503" s="3"/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  <c r="T5503" s="3"/>
      <c r="U5503" s="3"/>
      <c r="V5503" s="3"/>
      <c r="W5503" s="3"/>
      <c r="X5503" s="3"/>
      <c r="Y5503" s="3"/>
    </row>
    <row r="5504">
      <c r="A5504" s="3"/>
      <c r="B5504" s="3"/>
      <c r="C5504" s="3"/>
      <c r="D5504" s="3"/>
      <c r="E5504" s="3"/>
      <c r="F5504" s="3"/>
      <c r="G5504" s="3"/>
      <c r="H5504" s="3"/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  <c r="T5504" s="3"/>
      <c r="U5504" s="3"/>
      <c r="V5504" s="3"/>
      <c r="W5504" s="3"/>
      <c r="X5504" s="3"/>
      <c r="Y5504" s="3"/>
    </row>
    <row r="5505">
      <c r="A5505" s="3"/>
      <c r="B5505" s="3"/>
      <c r="C5505" s="3"/>
      <c r="D5505" s="3"/>
      <c r="E5505" s="3"/>
      <c r="F5505" s="3"/>
      <c r="G5505" s="3"/>
      <c r="H5505" s="3"/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  <c r="T5505" s="3"/>
      <c r="U5505" s="3"/>
      <c r="V5505" s="3"/>
      <c r="W5505" s="3"/>
      <c r="X5505" s="3"/>
      <c r="Y5505" s="3"/>
    </row>
    <row r="5506">
      <c r="A5506" s="3"/>
      <c r="B5506" s="3"/>
      <c r="C5506" s="3"/>
      <c r="D5506" s="3"/>
      <c r="E5506" s="3"/>
      <c r="F5506" s="3"/>
      <c r="G5506" s="3"/>
      <c r="H5506" s="3"/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  <c r="T5506" s="3"/>
      <c r="U5506" s="3"/>
      <c r="V5506" s="3"/>
      <c r="W5506" s="3"/>
      <c r="X5506" s="3"/>
      <c r="Y5506" s="3"/>
    </row>
    <row r="5507">
      <c r="A5507" s="3"/>
      <c r="B5507" s="3"/>
      <c r="C5507" s="3"/>
      <c r="D5507" s="3"/>
      <c r="E5507" s="3"/>
      <c r="F5507" s="3"/>
      <c r="G5507" s="3"/>
      <c r="H5507" s="3"/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  <c r="T5507" s="3"/>
      <c r="U5507" s="3"/>
      <c r="V5507" s="3"/>
      <c r="W5507" s="3"/>
      <c r="X5507" s="3"/>
      <c r="Y5507" s="3"/>
    </row>
    <row r="5508">
      <c r="A5508" s="3"/>
      <c r="B5508" s="3"/>
      <c r="C5508" s="3"/>
      <c r="D5508" s="3"/>
      <c r="E5508" s="3"/>
      <c r="F5508" s="3"/>
      <c r="G5508" s="3"/>
      <c r="H5508" s="3"/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  <c r="T5508" s="3"/>
      <c r="U5508" s="3"/>
      <c r="V5508" s="3"/>
      <c r="W5508" s="3"/>
      <c r="X5508" s="3"/>
      <c r="Y5508" s="3"/>
    </row>
    <row r="5509">
      <c r="A5509" s="3"/>
      <c r="B5509" s="3"/>
      <c r="C5509" s="3"/>
      <c r="D5509" s="3"/>
      <c r="E5509" s="3"/>
      <c r="F5509" s="3"/>
      <c r="G5509" s="3"/>
      <c r="H5509" s="3"/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  <c r="T5509" s="3"/>
      <c r="U5509" s="3"/>
      <c r="V5509" s="3"/>
      <c r="W5509" s="3"/>
      <c r="X5509" s="3"/>
      <c r="Y5509" s="3"/>
    </row>
    <row r="5510">
      <c r="A5510" s="3"/>
      <c r="B5510" s="3"/>
      <c r="C5510" s="3"/>
      <c r="D5510" s="3"/>
      <c r="E5510" s="3"/>
      <c r="F5510" s="3"/>
      <c r="G5510" s="3"/>
      <c r="H5510" s="3"/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  <c r="T5510" s="3"/>
      <c r="U5510" s="3"/>
      <c r="V5510" s="3"/>
      <c r="W5510" s="3"/>
      <c r="X5510" s="3"/>
      <c r="Y5510" s="3"/>
    </row>
    <row r="5511">
      <c r="A5511" s="3"/>
      <c r="B5511" s="3"/>
      <c r="C5511" s="3"/>
      <c r="D5511" s="3"/>
      <c r="E5511" s="3"/>
      <c r="F5511" s="3"/>
      <c r="G5511" s="3"/>
      <c r="H5511" s="3"/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  <c r="T5511" s="3"/>
      <c r="U5511" s="3"/>
      <c r="V5511" s="3"/>
      <c r="W5511" s="3"/>
      <c r="X5511" s="3"/>
      <c r="Y5511" s="3"/>
    </row>
    <row r="5512">
      <c r="A5512" s="3"/>
      <c r="B5512" s="3"/>
      <c r="C5512" s="3"/>
      <c r="D5512" s="3"/>
      <c r="E5512" s="3"/>
      <c r="F5512" s="3"/>
      <c r="G5512" s="3"/>
      <c r="H5512" s="3"/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  <c r="T5512" s="3"/>
      <c r="U5512" s="3"/>
      <c r="V5512" s="3"/>
      <c r="W5512" s="3"/>
      <c r="X5512" s="3"/>
      <c r="Y5512" s="3"/>
    </row>
    <row r="5513">
      <c r="A5513" s="3"/>
      <c r="B5513" s="3"/>
      <c r="C5513" s="3"/>
      <c r="D5513" s="3"/>
      <c r="E5513" s="3"/>
      <c r="F5513" s="3"/>
      <c r="G5513" s="3"/>
      <c r="H5513" s="3"/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  <c r="T5513" s="3"/>
      <c r="U5513" s="3"/>
      <c r="V5513" s="3"/>
      <c r="W5513" s="3"/>
      <c r="X5513" s="3"/>
      <c r="Y5513" s="3"/>
    </row>
    <row r="5514">
      <c r="A5514" s="3"/>
      <c r="B5514" s="3"/>
      <c r="C5514" s="3"/>
      <c r="D5514" s="3"/>
      <c r="E5514" s="3"/>
      <c r="F5514" s="3"/>
      <c r="G5514" s="3"/>
      <c r="H5514" s="3"/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  <c r="T5514" s="3"/>
      <c r="U5514" s="3"/>
      <c r="V5514" s="3"/>
      <c r="W5514" s="3"/>
      <c r="X5514" s="3"/>
      <c r="Y5514" s="3"/>
    </row>
    <row r="5515">
      <c r="A5515" s="3"/>
      <c r="B5515" s="3"/>
      <c r="C5515" s="3"/>
      <c r="D5515" s="3"/>
      <c r="E5515" s="3"/>
      <c r="F5515" s="3"/>
      <c r="G5515" s="3"/>
      <c r="H5515" s="3"/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  <c r="T5515" s="3"/>
      <c r="U5515" s="3"/>
      <c r="V5515" s="3"/>
      <c r="W5515" s="3"/>
      <c r="X5515" s="3"/>
      <c r="Y5515" s="3"/>
    </row>
    <row r="5516">
      <c r="A5516" s="3"/>
      <c r="B5516" s="3"/>
      <c r="C5516" s="3"/>
      <c r="D5516" s="3"/>
      <c r="E5516" s="3"/>
      <c r="F5516" s="3"/>
      <c r="G5516" s="3"/>
      <c r="H5516" s="3"/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  <c r="T5516" s="3"/>
      <c r="U5516" s="3"/>
      <c r="V5516" s="3"/>
      <c r="W5516" s="3"/>
      <c r="X5516" s="3"/>
      <c r="Y5516" s="3"/>
    </row>
    <row r="5517">
      <c r="A5517" s="3"/>
      <c r="B5517" s="3"/>
      <c r="C5517" s="3"/>
      <c r="D5517" s="3"/>
      <c r="E5517" s="3"/>
      <c r="F5517" s="3"/>
      <c r="G5517" s="3"/>
      <c r="H5517" s="3"/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  <c r="T5517" s="3"/>
      <c r="U5517" s="3"/>
      <c r="V5517" s="3"/>
      <c r="W5517" s="3"/>
      <c r="X5517" s="3"/>
      <c r="Y5517" s="3"/>
    </row>
    <row r="5518">
      <c r="A5518" s="3"/>
      <c r="B5518" s="3"/>
      <c r="C5518" s="3"/>
      <c r="D5518" s="3"/>
      <c r="E5518" s="3"/>
      <c r="F5518" s="3"/>
      <c r="G5518" s="3"/>
      <c r="H5518" s="3"/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  <c r="T5518" s="3"/>
      <c r="U5518" s="3"/>
      <c r="V5518" s="3"/>
      <c r="W5518" s="3"/>
      <c r="X5518" s="3"/>
      <c r="Y5518" s="3"/>
    </row>
    <row r="5519">
      <c r="A5519" s="3"/>
      <c r="B5519" s="3"/>
      <c r="C5519" s="3"/>
      <c r="D5519" s="3"/>
      <c r="E5519" s="3"/>
      <c r="F5519" s="3"/>
      <c r="G5519" s="3"/>
      <c r="H5519" s="3"/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  <c r="T5519" s="3"/>
      <c r="U5519" s="3"/>
      <c r="V5519" s="3"/>
      <c r="W5519" s="3"/>
      <c r="X5519" s="3"/>
      <c r="Y5519" s="3"/>
    </row>
    <row r="5520">
      <c r="A5520" s="3"/>
      <c r="B5520" s="3"/>
      <c r="C5520" s="3"/>
      <c r="D5520" s="3"/>
      <c r="E5520" s="3"/>
      <c r="F5520" s="3"/>
      <c r="G5520" s="3"/>
      <c r="H5520" s="3"/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  <c r="T5520" s="3"/>
      <c r="U5520" s="3"/>
      <c r="V5520" s="3"/>
      <c r="W5520" s="3"/>
      <c r="X5520" s="3"/>
      <c r="Y5520" s="3"/>
    </row>
    <row r="5521">
      <c r="A5521" s="3"/>
      <c r="B5521" s="3"/>
      <c r="C5521" s="3"/>
      <c r="D5521" s="3"/>
      <c r="E5521" s="3"/>
      <c r="F5521" s="3"/>
      <c r="G5521" s="3"/>
      <c r="H5521" s="3"/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  <c r="T5521" s="3"/>
      <c r="U5521" s="3"/>
      <c r="V5521" s="3"/>
      <c r="W5521" s="3"/>
      <c r="X5521" s="3"/>
      <c r="Y5521" s="3"/>
    </row>
    <row r="5522">
      <c r="A5522" s="3"/>
      <c r="B5522" s="3"/>
      <c r="C5522" s="3"/>
      <c r="D5522" s="3"/>
      <c r="E5522" s="3"/>
      <c r="F5522" s="3"/>
      <c r="G5522" s="3"/>
      <c r="H5522" s="3"/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  <c r="T5522" s="3"/>
      <c r="U5522" s="3"/>
      <c r="V5522" s="3"/>
      <c r="W5522" s="3"/>
      <c r="X5522" s="3"/>
      <c r="Y5522" s="3"/>
    </row>
    <row r="5523">
      <c r="A5523" s="3"/>
      <c r="B5523" s="3"/>
      <c r="C5523" s="3"/>
      <c r="D5523" s="3"/>
      <c r="E5523" s="3"/>
      <c r="F5523" s="3"/>
      <c r="G5523" s="3"/>
      <c r="H5523" s="3"/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  <c r="T5523" s="3"/>
      <c r="U5523" s="3"/>
      <c r="V5523" s="3"/>
      <c r="W5523" s="3"/>
      <c r="X5523" s="3"/>
      <c r="Y5523" s="3"/>
    </row>
    <row r="5524">
      <c r="A5524" s="3"/>
      <c r="B5524" s="3"/>
      <c r="C5524" s="3"/>
      <c r="D5524" s="3"/>
      <c r="E5524" s="3"/>
      <c r="F5524" s="3"/>
      <c r="G5524" s="3"/>
      <c r="H5524" s="3"/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  <c r="T5524" s="3"/>
      <c r="U5524" s="3"/>
      <c r="V5524" s="3"/>
      <c r="W5524" s="3"/>
      <c r="X5524" s="3"/>
      <c r="Y5524" s="3"/>
    </row>
    <row r="5525">
      <c r="A5525" s="3"/>
      <c r="B5525" s="3"/>
      <c r="C5525" s="3"/>
      <c r="D5525" s="3"/>
      <c r="E5525" s="3"/>
      <c r="F5525" s="3"/>
      <c r="G5525" s="3"/>
      <c r="H5525" s="3"/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  <c r="T5525" s="3"/>
      <c r="U5525" s="3"/>
      <c r="V5525" s="3"/>
      <c r="W5525" s="3"/>
      <c r="X5525" s="3"/>
      <c r="Y5525" s="3"/>
    </row>
    <row r="5526">
      <c r="A5526" s="3"/>
      <c r="B5526" s="3"/>
      <c r="C5526" s="3"/>
      <c r="D5526" s="3"/>
      <c r="E5526" s="3"/>
      <c r="F5526" s="3"/>
      <c r="G5526" s="3"/>
      <c r="H5526" s="3"/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  <c r="T5526" s="3"/>
      <c r="U5526" s="3"/>
      <c r="V5526" s="3"/>
      <c r="W5526" s="3"/>
      <c r="X5526" s="3"/>
      <c r="Y5526" s="3"/>
    </row>
    <row r="5527">
      <c r="A5527" s="3"/>
      <c r="B5527" s="3"/>
      <c r="C5527" s="3"/>
      <c r="D5527" s="3"/>
      <c r="E5527" s="3"/>
      <c r="F5527" s="3"/>
      <c r="G5527" s="3"/>
      <c r="H5527" s="3"/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  <c r="T5527" s="3"/>
      <c r="U5527" s="3"/>
      <c r="V5527" s="3"/>
      <c r="W5527" s="3"/>
      <c r="X5527" s="3"/>
      <c r="Y5527" s="3"/>
    </row>
    <row r="5528">
      <c r="A5528" s="3"/>
      <c r="B5528" s="3"/>
      <c r="C5528" s="3"/>
      <c r="D5528" s="3"/>
      <c r="E5528" s="3"/>
      <c r="F5528" s="3"/>
      <c r="G5528" s="3"/>
      <c r="H5528" s="3"/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  <c r="T5528" s="3"/>
      <c r="U5528" s="3"/>
      <c r="V5528" s="3"/>
      <c r="W5528" s="3"/>
      <c r="X5528" s="3"/>
      <c r="Y5528" s="3"/>
    </row>
    <row r="5529">
      <c r="A5529" s="3"/>
      <c r="B5529" s="3"/>
      <c r="C5529" s="3"/>
      <c r="D5529" s="3"/>
      <c r="E5529" s="3"/>
      <c r="F5529" s="3"/>
      <c r="G5529" s="3"/>
      <c r="H5529" s="3"/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  <c r="T5529" s="3"/>
      <c r="U5529" s="3"/>
      <c r="V5529" s="3"/>
      <c r="W5529" s="3"/>
      <c r="X5529" s="3"/>
      <c r="Y5529" s="3"/>
    </row>
    <row r="5530">
      <c r="A5530" s="3"/>
      <c r="B5530" s="3"/>
      <c r="C5530" s="3"/>
      <c r="D5530" s="3"/>
      <c r="E5530" s="3"/>
      <c r="F5530" s="3"/>
      <c r="G5530" s="3"/>
      <c r="H5530" s="3"/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  <c r="T5530" s="3"/>
      <c r="U5530" s="3"/>
      <c r="V5530" s="3"/>
      <c r="W5530" s="3"/>
      <c r="X5530" s="3"/>
      <c r="Y5530" s="3"/>
    </row>
    <row r="5531">
      <c r="A5531" s="3"/>
      <c r="B5531" s="3"/>
      <c r="C5531" s="3"/>
      <c r="D5531" s="3"/>
      <c r="E5531" s="3"/>
      <c r="F5531" s="3"/>
      <c r="G5531" s="3"/>
      <c r="H5531" s="3"/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  <c r="T5531" s="3"/>
      <c r="U5531" s="3"/>
      <c r="V5531" s="3"/>
      <c r="W5531" s="3"/>
      <c r="X5531" s="3"/>
      <c r="Y5531" s="3"/>
    </row>
    <row r="5532">
      <c r="A5532" s="3"/>
      <c r="B5532" s="3"/>
      <c r="C5532" s="3"/>
      <c r="D5532" s="3"/>
      <c r="E5532" s="3"/>
      <c r="F5532" s="3"/>
      <c r="G5532" s="3"/>
      <c r="H5532" s="3"/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  <c r="T5532" s="3"/>
      <c r="U5532" s="3"/>
      <c r="V5532" s="3"/>
      <c r="W5532" s="3"/>
      <c r="X5532" s="3"/>
      <c r="Y5532" s="3"/>
    </row>
    <row r="5533">
      <c r="A5533" s="3"/>
      <c r="B5533" s="3"/>
      <c r="C5533" s="3"/>
      <c r="D5533" s="3"/>
      <c r="E5533" s="3"/>
      <c r="F5533" s="3"/>
      <c r="G5533" s="3"/>
      <c r="H5533" s="3"/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  <c r="T5533" s="3"/>
      <c r="U5533" s="3"/>
      <c r="V5533" s="3"/>
      <c r="W5533" s="3"/>
      <c r="X5533" s="3"/>
      <c r="Y5533" s="3"/>
    </row>
    <row r="5534">
      <c r="A5534" s="3"/>
      <c r="B5534" s="3"/>
      <c r="C5534" s="3"/>
      <c r="D5534" s="3"/>
      <c r="E5534" s="3"/>
      <c r="F5534" s="3"/>
      <c r="G5534" s="3"/>
      <c r="H5534" s="3"/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  <c r="T5534" s="3"/>
      <c r="U5534" s="3"/>
      <c r="V5534" s="3"/>
      <c r="W5534" s="3"/>
      <c r="X5534" s="3"/>
      <c r="Y5534" s="3"/>
    </row>
    <row r="5535">
      <c r="A5535" s="3"/>
      <c r="B5535" s="3"/>
      <c r="C5535" s="3"/>
      <c r="D5535" s="3"/>
      <c r="E5535" s="3"/>
      <c r="F5535" s="3"/>
      <c r="G5535" s="3"/>
      <c r="H5535" s="3"/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  <c r="T5535" s="3"/>
      <c r="U5535" s="3"/>
      <c r="V5535" s="3"/>
      <c r="W5535" s="3"/>
      <c r="X5535" s="3"/>
      <c r="Y5535" s="3"/>
    </row>
    <row r="5536">
      <c r="A5536" s="3"/>
      <c r="B5536" s="3"/>
      <c r="C5536" s="3"/>
      <c r="D5536" s="3"/>
      <c r="E5536" s="3"/>
      <c r="F5536" s="3"/>
      <c r="G5536" s="3"/>
      <c r="H5536" s="3"/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  <c r="T5536" s="3"/>
      <c r="U5536" s="3"/>
      <c r="V5536" s="3"/>
      <c r="W5536" s="3"/>
      <c r="X5536" s="3"/>
      <c r="Y5536" s="3"/>
    </row>
    <row r="5537">
      <c r="A5537" s="3"/>
      <c r="B5537" s="3"/>
      <c r="C5537" s="3"/>
      <c r="D5537" s="3"/>
      <c r="E5537" s="3"/>
      <c r="F5537" s="3"/>
      <c r="G5537" s="3"/>
      <c r="H5537" s="3"/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  <c r="T5537" s="3"/>
      <c r="U5537" s="3"/>
      <c r="V5537" s="3"/>
      <c r="W5537" s="3"/>
      <c r="X5537" s="3"/>
      <c r="Y5537" s="3"/>
    </row>
    <row r="5538">
      <c r="A5538" s="3"/>
      <c r="B5538" s="3"/>
      <c r="C5538" s="3"/>
      <c r="D5538" s="3"/>
      <c r="E5538" s="3"/>
      <c r="F5538" s="3"/>
      <c r="G5538" s="3"/>
      <c r="H5538" s="3"/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  <c r="T5538" s="3"/>
      <c r="U5538" s="3"/>
      <c r="V5538" s="3"/>
      <c r="W5538" s="3"/>
      <c r="X5538" s="3"/>
      <c r="Y5538" s="3"/>
    </row>
    <row r="5539">
      <c r="A5539" s="3"/>
      <c r="B5539" s="3"/>
      <c r="C5539" s="3"/>
      <c r="D5539" s="3"/>
      <c r="E5539" s="3"/>
      <c r="F5539" s="3"/>
      <c r="G5539" s="3"/>
      <c r="H5539" s="3"/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  <c r="T5539" s="3"/>
      <c r="U5539" s="3"/>
      <c r="V5539" s="3"/>
      <c r="W5539" s="3"/>
      <c r="X5539" s="3"/>
      <c r="Y5539" s="3"/>
    </row>
    <row r="5540">
      <c r="A5540" s="3"/>
      <c r="B5540" s="3"/>
      <c r="C5540" s="3"/>
      <c r="D5540" s="3"/>
      <c r="E5540" s="3"/>
      <c r="F5540" s="3"/>
      <c r="G5540" s="3"/>
      <c r="H5540" s="3"/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  <c r="T5540" s="3"/>
      <c r="U5540" s="3"/>
      <c r="V5540" s="3"/>
      <c r="W5540" s="3"/>
      <c r="X5540" s="3"/>
      <c r="Y5540" s="3"/>
    </row>
    <row r="5541">
      <c r="A5541" s="3"/>
      <c r="B5541" s="3"/>
      <c r="C5541" s="3"/>
      <c r="D5541" s="3"/>
      <c r="E5541" s="3"/>
      <c r="F5541" s="3"/>
      <c r="G5541" s="3"/>
      <c r="H5541" s="3"/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  <c r="T5541" s="3"/>
      <c r="U5541" s="3"/>
      <c r="V5541" s="3"/>
      <c r="W5541" s="3"/>
      <c r="X5541" s="3"/>
      <c r="Y5541" s="3"/>
    </row>
    <row r="5542">
      <c r="A5542" s="3"/>
      <c r="B5542" s="3"/>
      <c r="C5542" s="3"/>
      <c r="D5542" s="3"/>
      <c r="E5542" s="3"/>
      <c r="F5542" s="3"/>
      <c r="G5542" s="3"/>
      <c r="H5542" s="3"/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  <c r="T5542" s="3"/>
      <c r="U5542" s="3"/>
      <c r="V5542" s="3"/>
      <c r="W5542" s="3"/>
      <c r="X5542" s="3"/>
      <c r="Y5542" s="3"/>
    </row>
    <row r="5543">
      <c r="A5543" s="3"/>
      <c r="B5543" s="3"/>
      <c r="C5543" s="3"/>
      <c r="D5543" s="3"/>
      <c r="E5543" s="3"/>
      <c r="F5543" s="3"/>
      <c r="G5543" s="3"/>
      <c r="H5543" s="3"/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  <c r="T5543" s="3"/>
      <c r="U5543" s="3"/>
      <c r="V5543" s="3"/>
      <c r="W5543" s="3"/>
      <c r="X5543" s="3"/>
      <c r="Y5543" s="3"/>
    </row>
    <row r="5544">
      <c r="A5544" s="3"/>
      <c r="B5544" s="3"/>
      <c r="C5544" s="3"/>
      <c r="D5544" s="3"/>
      <c r="E5544" s="3"/>
      <c r="F5544" s="3"/>
      <c r="G5544" s="3"/>
      <c r="H5544" s="3"/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  <c r="T5544" s="3"/>
      <c r="U5544" s="3"/>
      <c r="V5544" s="3"/>
      <c r="W5544" s="3"/>
      <c r="X5544" s="3"/>
      <c r="Y5544" s="3"/>
    </row>
    <row r="5545">
      <c r="A5545" s="3"/>
      <c r="B5545" s="3"/>
      <c r="C5545" s="3"/>
      <c r="D5545" s="3"/>
      <c r="E5545" s="3"/>
      <c r="F5545" s="3"/>
      <c r="G5545" s="3"/>
      <c r="H5545" s="3"/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  <c r="T5545" s="3"/>
      <c r="U5545" s="3"/>
      <c r="V5545" s="3"/>
      <c r="W5545" s="3"/>
      <c r="X5545" s="3"/>
      <c r="Y5545" s="3"/>
    </row>
    <row r="5546">
      <c r="A5546" s="3"/>
      <c r="B5546" s="3"/>
      <c r="C5546" s="3"/>
      <c r="D5546" s="3"/>
      <c r="E5546" s="3"/>
      <c r="F5546" s="3"/>
      <c r="G5546" s="3"/>
      <c r="H5546" s="3"/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  <c r="T5546" s="3"/>
      <c r="U5546" s="3"/>
      <c r="V5546" s="3"/>
      <c r="W5546" s="3"/>
      <c r="X5546" s="3"/>
      <c r="Y5546" s="3"/>
    </row>
    <row r="5547">
      <c r="A5547" s="3"/>
      <c r="B5547" s="3"/>
      <c r="C5547" s="3"/>
      <c r="D5547" s="3"/>
      <c r="E5547" s="3"/>
      <c r="F5547" s="3"/>
      <c r="G5547" s="3"/>
      <c r="H5547" s="3"/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  <c r="T5547" s="3"/>
      <c r="U5547" s="3"/>
      <c r="V5547" s="3"/>
      <c r="W5547" s="3"/>
      <c r="X5547" s="3"/>
      <c r="Y5547" s="3"/>
    </row>
    <row r="5548">
      <c r="A5548" s="3"/>
      <c r="B5548" s="3"/>
      <c r="C5548" s="3"/>
      <c r="D5548" s="3"/>
      <c r="E5548" s="3"/>
      <c r="F5548" s="3"/>
      <c r="G5548" s="3"/>
      <c r="H5548" s="3"/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  <c r="T5548" s="3"/>
      <c r="U5548" s="3"/>
      <c r="V5548" s="3"/>
      <c r="W5548" s="3"/>
      <c r="X5548" s="3"/>
      <c r="Y5548" s="3"/>
    </row>
    <row r="5549">
      <c r="A5549" s="3"/>
      <c r="B5549" s="3"/>
      <c r="C5549" s="3"/>
      <c r="D5549" s="3"/>
      <c r="E5549" s="3"/>
      <c r="F5549" s="3"/>
      <c r="G5549" s="3"/>
      <c r="H5549" s="3"/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  <c r="T5549" s="3"/>
      <c r="U5549" s="3"/>
      <c r="V5549" s="3"/>
      <c r="W5549" s="3"/>
      <c r="X5549" s="3"/>
      <c r="Y5549" s="3"/>
    </row>
    <row r="5550">
      <c r="A5550" s="3"/>
      <c r="B5550" s="3"/>
      <c r="C5550" s="3"/>
      <c r="D5550" s="3"/>
      <c r="E5550" s="3"/>
      <c r="F5550" s="3"/>
      <c r="G5550" s="3"/>
      <c r="H5550" s="3"/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  <c r="T5550" s="3"/>
      <c r="U5550" s="3"/>
      <c r="V5550" s="3"/>
      <c r="W5550" s="3"/>
      <c r="X5550" s="3"/>
      <c r="Y5550" s="3"/>
    </row>
    <row r="5551">
      <c r="A5551" s="3"/>
      <c r="B5551" s="3"/>
      <c r="C5551" s="3"/>
      <c r="D5551" s="3"/>
      <c r="E5551" s="3"/>
      <c r="F5551" s="3"/>
      <c r="G5551" s="3"/>
      <c r="H5551" s="3"/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  <c r="T5551" s="3"/>
      <c r="U5551" s="3"/>
      <c r="V5551" s="3"/>
      <c r="W5551" s="3"/>
      <c r="X5551" s="3"/>
      <c r="Y5551" s="3"/>
    </row>
    <row r="5552">
      <c r="A5552" s="3"/>
      <c r="B5552" s="3"/>
      <c r="C5552" s="3"/>
      <c r="D5552" s="3"/>
      <c r="E5552" s="3"/>
      <c r="F5552" s="3"/>
      <c r="G5552" s="3"/>
      <c r="H5552" s="3"/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  <c r="T5552" s="3"/>
      <c r="U5552" s="3"/>
      <c r="V5552" s="3"/>
      <c r="W5552" s="3"/>
      <c r="X5552" s="3"/>
      <c r="Y5552" s="3"/>
    </row>
    <row r="5553">
      <c r="A5553" s="3"/>
      <c r="B5553" s="3"/>
      <c r="C5553" s="3"/>
      <c r="D5553" s="3"/>
      <c r="E5553" s="3"/>
      <c r="F5553" s="3"/>
      <c r="G5553" s="3"/>
      <c r="H5553" s="3"/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  <c r="T5553" s="3"/>
      <c r="U5553" s="3"/>
      <c r="V5553" s="3"/>
      <c r="W5553" s="3"/>
      <c r="X5553" s="3"/>
      <c r="Y5553" s="3"/>
    </row>
    <row r="5554">
      <c r="A5554" s="3"/>
      <c r="B5554" s="3"/>
      <c r="C5554" s="3"/>
      <c r="D5554" s="3"/>
      <c r="E5554" s="3"/>
      <c r="F5554" s="3"/>
      <c r="G5554" s="3"/>
      <c r="H5554" s="3"/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  <c r="T5554" s="3"/>
      <c r="U5554" s="3"/>
      <c r="V5554" s="3"/>
      <c r="W5554" s="3"/>
      <c r="X5554" s="3"/>
      <c r="Y5554" s="3"/>
    </row>
    <row r="5555">
      <c r="A5555" s="3"/>
      <c r="B5555" s="3"/>
      <c r="C5555" s="3"/>
      <c r="D5555" s="3"/>
      <c r="E5555" s="3"/>
      <c r="F5555" s="3"/>
      <c r="G5555" s="3"/>
      <c r="H5555" s="3"/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  <c r="T5555" s="3"/>
      <c r="U5555" s="3"/>
      <c r="V5555" s="3"/>
      <c r="W5555" s="3"/>
      <c r="X5555" s="3"/>
      <c r="Y5555" s="3"/>
    </row>
    <row r="5556">
      <c r="A5556" s="3"/>
      <c r="B5556" s="3"/>
      <c r="C5556" s="3"/>
      <c r="D5556" s="3"/>
      <c r="E5556" s="3"/>
      <c r="F5556" s="3"/>
      <c r="G5556" s="3"/>
      <c r="H5556" s="3"/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  <c r="T5556" s="3"/>
      <c r="U5556" s="3"/>
      <c r="V5556" s="3"/>
      <c r="W5556" s="3"/>
      <c r="X5556" s="3"/>
      <c r="Y5556" s="3"/>
    </row>
    <row r="5557">
      <c r="A5557" s="3"/>
      <c r="B5557" s="3"/>
      <c r="C5557" s="3"/>
      <c r="D5557" s="3"/>
      <c r="E5557" s="3"/>
      <c r="F5557" s="3"/>
      <c r="G5557" s="3"/>
      <c r="H5557" s="3"/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  <c r="T5557" s="3"/>
      <c r="U5557" s="3"/>
      <c r="V5557" s="3"/>
      <c r="W5557" s="3"/>
      <c r="X5557" s="3"/>
      <c r="Y5557" s="3"/>
    </row>
    <row r="5558">
      <c r="A5558" s="3"/>
      <c r="B5558" s="3"/>
      <c r="C5558" s="3"/>
      <c r="D5558" s="3"/>
      <c r="E5558" s="3"/>
      <c r="F5558" s="3"/>
      <c r="G5558" s="3"/>
      <c r="H5558" s="3"/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  <c r="T5558" s="3"/>
      <c r="U5558" s="3"/>
      <c r="V5558" s="3"/>
      <c r="W5558" s="3"/>
      <c r="X5558" s="3"/>
      <c r="Y5558" s="3"/>
    </row>
    <row r="5559">
      <c r="A5559" s="3"/>
      <c r="B5559" s="3"/>
      <c r="C5559" s="3"/>
      <c r="D5559" s="3"/>
      <c r="E5559" s="3"/>
      <c r="F5559" s="3"/>
      <c r="G5559" s="3"/>
      <c r="H5559" s="3"/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  <c r="T5559" s="3"/>
      <c r="U5559" s="3"/>
      <c r="V5559" s="3"/>
      <c r="W5559" s="3"/>
      <c r="X5559" s="3"/>
      <c r="Y5559" s="3"/>
    </row>
    <row r="5560">
      <c r="A5560" s="3"/>
      <c r="B5560" s="3"/>
      <c r="C5560" s="3"/>
      <c r="D5560" s="3"/>
      <c r="E5560" s="3"/>
      <c r="F5560" s="3"/>
      <c r="G5560" s="3"/>
      <c r="H5560" s="3"/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  <c r="T5560" s="3"/>
      <c r="U5560" s="3"/>
      <c r="V5560" s="3"/>
      <c r="W5560" s="3"/>
      <c r="X5560" s="3"/>
      <c r="Y5560" s="3"/>
    </row>
    <row r="5561">
      <c r="A5561" s="3"/>
      <c r="B5561" s="3"/>
      <c r="C5561" s="3"/>
      <c r="D5561" s="3"/>
      <c r="E5561" s="3"/>
      <c r="F5561" s="3"/>
      <c r="G5561" s="3"/>
      <c r="H5561" s="3"/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  <c r="T5561" s="3"/>
      <c r="U5561" s="3"/>
      <c r="V5561" s="3"/>
      <c r="W5561" s="3"/>
      <c r="X5561" s="3"/>
      <c r="Y5561" s="3"/>
    </row>
    <row r="5562">
      <c r="A5562" s="3"/>
      <c r="B5562" s="3"/>
      <c r="C5562" s="3"/>
      <c r="D5562" s="3"/>
      <c r="E5562" s="3"/>
      <c r="F5562" s="3"/>
      <c r="G5562" s="3"/>
      <c r="H5562" s="3"/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  <c r="T5562" s="3"/>
      <c r="U5562" s="3"/>
      <c r="V5562" s="3"/>
      <c r="W5562" s="3"/>
      <c r="X5562" s="3"/>
      <c r="Y5562" s="3"/>
    </row>
    <row r="5563">
      <c r="A5563" s="3"/>
      <c r="B5563" s="3"/>
      <c r="C5563" s="3"/>
      <c r="D5563" s="3"/>
      <c r="E5563" s="3"/>
      <c r="F5563" s="3"/>
      <c r="G5563" s="3"/>
      <c r="H5563" s="3"/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  <c r="T5563" s="3"/>
      <c r="U5563" s="3"/>
      <c r="V5563" s="3"/>
      <c r="W5563" s="3"/>
      <c r="X5563" s="3"/>
      <c r="Y5563" s="3"/>
    </row>
    <row r="5564">
      <c r="A5564" s="3"/>
      <c r="B5564" s="3"/>
      <c r="C5564" s="3"/>
      <c r="D5564" s="3"/>
      <c r="E5564" s="3"/>
      <c r="F5564" s="3"/>
      <c r="G5564" s="3"/>
      <c r="H5564" s="3"/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  <c r="T5564" s="3"/>
      <c r="U5564" s="3"/>
      <c r="V5564" s="3"/>
      <c r="W5564" s="3"/>
      <c r="X5564" s="3"/>
      <c r="Y5564" s="3"/>
    </row>
    <row r="5565">
      <c r="A5565" s="3"/>
      <c r="B5565" s="3"/>
      <c r="C5565" s="3"/>
      <c r="D5565" s="3"/>
      <c r="E5565" s="3"/>
      <c r="F5565" s="3"/>
      <c r="G5565" s="3"/>
      <c r="H5565" s="3"/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  <c r="T5565" s="3"/>
      <c r="U5565" s="3"/>
      <c r="V5565" s="3"/>
      <c r="W5565" s="3"/>
      <c r="X5565" s="3"/>
      <c r="Y5565" s="3"/>
    </row>
    <row r="5566">
      <c r="A5566" s="3"/>
      <c r="B5566" s="3"/>
      <c r="C5566" s="3"/>
      <c r="D5566" s="3"/>
      <c r="E5566" s="3"/>
      <c r="F5566" s="3"/>
      <c r="G5566" s="3"/>
      <c r="H5566" s="3"/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  <c r="T5566" s="3"/>
      <c r="U5566" s="3"/>
      <c r="V5566" s="3"/>
      <c r="W5566" s="3"/>
      <c r="X5566" s="3"/>
      <c r="Y5566" s="3"/>
    </row>
    <row r="5567">
      <c r="A5567" s="3"/>
      <c r="B5567" s="3"/>
      <c r="C5567" s="3"/>
      <c r="D5567" s="3"/>
      <c r="E5567" s="3"/>
      <c r="F5567" s="3"/>
      <c r="G5567" s="3"/>
      <c r="H5567" s="3"/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  <c r="T5567" s="3"/>
      <c r="U5567" s="3"/>
      <c r="V5567" s="3"/>
      <c r="W5567" s="3"/>
      <c r="X5567" s="3"/>
      <c r="Y5567" s="3"/>
    </row>
    <row r="5568">
      <c r="A5568" s="3"/>
      <c r="B5568" s="3"/>
      <c r="C5568" s="3"/>
      <c r="D5568" s="3"/>
      <c r="E5568" s="3"/>
      <c r="F5568" s="3"/>
      <c r="G5568" s="3"/>
      <c r="H5568" s="3"/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  <c r="T5568" s="3"/>
      <c r="U5568" s="3"/>
      <c r="V5568" s="3"/>
      <c r="W5568" s="3"/>
      <c r="X5568" s="3"/>
      <c r="Y5568" s="3"/>
    </row>
    <row r="5569">
      <c r="A5569" s="3"/>
      <c r="B5569" s="3"/>
      <c r="C5569" s="3"/>
      <c r="D5569" s="3"/>
      <c r="E5569" s="3"/>
      <c r="F5569" s="3"/>
      <c r="G5569" s="3"/>
      <c r="H5569" s="3"/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  <c r="T5569" s="3"/>
      <c r="U5569" s="3"/>
      <c r="V5569" s="3"/>
      <c r="W5569" s="3"/>
      <c r="X5569" s="3"/>
      <c r="Y5569" s="3"/>
    </row>
    <row r="5570">
      <c r="A5570" s="3"/>
      <c r="B5570" s="3"/>
      <c r="C5570" s="3"/>
      <c r="D5570" s="3"/>
      <c r="E5570" s="3"/>
      <c r="F5570" s="3"/>
      <c r="G5570" s="3"/>
      <c r="H5570" s="3"/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  <c r="T5570" s="3"/>
      <c r="U5570" s="3"/>
      <c r="V5570" s="3"/>
      <c r="W5570" s="3"/>
      <c r="X5570" s="3"/>
      <c r="Y5570" s="3"/>
    </row>
    <row r="5571">
      <c r="A5571" s="3"/>
      <c r="B5571" s="3"/>
      <c r="C5571" s="3"/>
      <c r="D5571" s="3"/>
      <c r="E5571" s="3"/>
      <c r="F5571" s="3"/>
      <c r="G5571" s="3"/>
      <c r="H5571" s="3"/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  <c r="T5571" s="3"/>
      <c r="U5571" s="3"/>
      <c r="V5571" s="3"/>
      <c r="W5571" s="3"/>
      <c r="X5571" s="3"/>
      <c r="Y5571" s="3"/>
    </row>
    <row r="5572">
      <c r="A5572" s="3"/>
      <c r="B5572" s="3"/>
      <c r="C5572" s="3"/>
      <c r="D5572" s="3"/>
      <c r="E5572" s="3"/>
      <c r="F5572" s="3"/>
      <c r="G5572" s="3"/>
      <c r="H5572" s="3"/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  <c r="T5572" s="3"/>
      <c r="U5572" s="3"/>
      <c r="V5572" s="3"/>
      <c r="W5572" s="3"/>
      <c r="X5572" s="3"/>
      <c r="Y5572" s="3"/>
    </row>
    <row r="5573">
      <c r="A5573" s="3"/>
      <c r="B5573" s="3"/>
      <c r="C5573" s="3"/>
      <c r="D5573" s="3"/>
      <c r="E5573" s="3"/>
      <c r="F5573" s="3"/>
      <c r="G5573" s="3"/>
      <c r="H5573" s="3"/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  <c r="T5573" s="3"/>
      <c r="U5573" s="3"/>
      <c r="V5573" s="3"/>
      <c r="W5573" s="3"/>
      <c r="X5573" s="3"/>
      <c r="Y5573" s="3"/>
    </row>
    <row r="5574">
      <c r="A5574" s="3"/>
      <c r="B5574" s="3"/>
      <c r="C5574" s="3"/>
      <c r="D5574" s="3"/>
      <c r="E5574" s="3"/>
      <c r="F5574" s="3"/>
      <c r="G5574" s="3"/>
      <c r="H5574" s="3"/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  <c r="T5574" s="3"/>
      <c r="U5574" s="3"/>
      <c r="V5574" s="3"/>
      <c r="W5574" s="3"/>
      <c r="X5574" s="3"/>
      <c r="Y5574" s="3"/>
    </row>
    <row r="5575">
      <c r="A5575" s="3"/>
      <c r="B5575" s="3"/>
      <c r="C5575" s="3"/>
      <c r="D5575" s="3"/>
      <c r="E5575" s="3"/>
      <c r="F5575" s="3"/>
      <c r="G5575" s="3"/>
      <c r="H5575" s="3"/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  <c r="T5575" s="3"/>
      <c r="U5575" s="3"/>
      <c r="V5575" s="3"/>
      <c r="W5575" s="3"/>
      <c r="X5575" s="3"/>
      <c r="Y5575" s="3"/>
    </row>
    <row r="5576">
      <c r="A5576" s="3"/>
      <c r="B5576" s="3"/>
      <c r="C5576" s="3"/>
      <c r="D5576" s="3"/>
      <c r="E5576" s="3"/>
      <c r="F5576" s="3"/>
      <c r="G5576" s="3"/>
      <c r="H5576" s="3"/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  <c r="T5576" s="3"/>
      <c r="U5576" s="3"/>
      <c r="V5576" s="3"/>
      <c r="W5576" s="3"/>
      <c r="X5576" s="3"/>
      <c r="Y5576" s="3"/>
    </row>
    <row r="5577">
      <c r="A5577" s="3"/>
      <c r="B5577" s="3"/>
      <c r="C5577" s="3"/>
      <c r="D5577" s="3"/>
      <c r="E5577" s="3"/>
      <c r="F5577" s="3"/>
      <c r="G5577" s="3"/>
      <c r="H5577" s="3"/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  <c r="T5577" s="3"/>
      <c r="U5577" s="3"/>
      <c r="V5577" s="3"/>
      <c r="W5577" s="3"/>
      <c r="X5577" s="3"/>
      <c r="Y5577" s="3"/>
    </row>
    <row r="5578">
      <c r="A5578" s="3"/>
      <c r="B5578" s="3"/>
      <c r="C5578" s="3"/>
      <c r="D5578" s="3"/>
      <c r="E5578" s="3"/>
      <c r="F5578" s="3"/>
      <c r="G5578" s="3"/>
      <c r="H5578" s="3"/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  <c r="T5578" s="3"/>
      <c r="U5578" s="3"/>
      <c r="V5578" s="3"/>
      <c r="W5578" s="3"/>
      <c r="X5578" s="3"/>
      <c r="Y5578" s="3"/>
    </row>
    <row r="5579">
      <c r="A5579" s="3"/>
      <c r="B5579" s="3"/>
      <c r="C5579" s="3"/>
      <c r="D5579" s="3"/>
      <c r="E5579" s="3"/>
      <c r="F5579" s="3"/>
      <c r="G5579" s="3"/>
      <c r="H5579" s="3"/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  <c r="T5579" s="3"/>
      <c r="U5579" s="3"/>
      <c r="V5579" s="3"/>
      <c r="W5579" s="3"/>
      <c r="X5579" s="3"/>
      <c r="Y5579" s="3"/>
    </row>
    <row r="5580">
      <c r="A5580" s="3"/>
      <c r="B5580" s="3"/>
      <c r="C5580" s="3"/>
      <c r="D5580" s="3"/>
      <c r="E5580" s="3"/>
      <c r="F5580" s="3"/>
      <c r="G5580" s="3"/>
      <c r="H5580" s="3"/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  <c r="T5580" s="3"/>
      <c r="U5580" s="3"/>
      <c r="V5580" s="3"/>
      <c r="W5580" s="3"/>
      <c r="X5580" s="3"/>
      <c r="Y5580" s="3"/>
    </row>
    <row r="5581">
      <c r="A5581" s="3"/>
      <c r="B5581" s="3"/>
      <c r="C5581" s="3"/>
      <c r="D5581" s="3"/>
      <c r="E5581" s="3"/>
      <c r="F5581" s="3"/>
      <c r="G5581" s="3"/>
      <c r="H5581" s="3"/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  <c r="T5581" s="3"/>
      <c r="U5581" s="3"/>
      <c r="V5581" s="3"/>
      <c r="W5581" s="3"/>
      <c r="X5581" s="3"/>
      <c r="Y5581" s="3"/>
    </row>
    <row r="5582">
      <c r="A5582" s="3"/>
      <c r="B5582" s="3"/>
      <c r="C5582" s="3"/>
      <c r="D5582" s="3"/>
      <c r="E5582" s="3"/>
      <c r="F5582" s="3"/>
      <c r="G5582" s="3"/>
      <c r="H5582" s="3"/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  <c r="T5582" s="3"/>
      <c r="U5582" s="3"/>
      <c r="V5582" s="3"/>
      <c r="W5582" s="3"/>
      <c r="X5582" s="3"/>
      <c r="Y5582" s="3"/>
    </row>
    <row r="5583">
      <c r="A5583" s="3"/>
      <c r="B5583" s="3"/>
      <c r="C5583" s="3"/>
      <c r="D5583" s="3"/>
      <c r="E5583" s="3"/>
      <c r="F5583" s="3"/>
      <c r="G5583" s="3"/>
      <c r="H5583" s="3"/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  <c r="T5583" s="3"/>
      <c r="U5583" s="3"/>
      <c r="V5583" s="3"/>
      <c r="W5583" s="3"/>
      <c r="X5583" s="3"/>
      <c r="Y5583" s="3"/>
    </row>
    <row r="5584">
      <c r="A5584" s="3"/>
      <c r="B5584" s="3"/>
      <c r="C5584" s="3"/>
      <c r="D5584" s="3"/>
      <c r="E5584" s="3"/>
      <c r="F5584" s="3"/>
      <c r="G5584" s="3"/>
      <c r="H5584" s="3"/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  <c r="T5584" s="3"/>
      <c r="U5584" s="3"/>
      <c r="V5584" s="3"/>
      <c r="W5584" s="3"/>
      <c r="X5584" s="3"/>
      <c r="Y5584" s="3"/>
    </row>
    <row r="5585">
      <c r="A5585" s="3"/>
      <c r="B5585" s="3"/>
      <c r="C5585" s="3"/>
      <c r="D5585" s="3"/>
      <c r="E5585" s="3"/>
      <c r="F5585" s="3"/>
      <c r="G5585" s="3"/>
      <c r="H5585" s="3"/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  <c r="T5585" s="3"/>
      <c r="U5585" s="3"/>
      <c r="V5585" s="3"/>
      <c r="W5585" s="3"/>
      <c r="X5585" s="3"/>
      <c r="Y5585" s="3"/>
    </row>
    <row r="5586">
      <c r="A5586" s="3"/>
      <c r="B5586" s="3"/>
      <c r="C5586" s="3"/>
      <c r="D5586" s="3"/>
      <c r="E5586" s="3"/>
      <c r="F5586" s="3"/>
      <c r="G5586" s="3"/>
      <c r="H5586" s="3"/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  <c r="T5586" s="3"/>
      <c r="U5586" s="3"/>
      <c r="V5586" s="3"/>
      <c r="W5586" s="3"/>
      <c r="X5586" s="3"/>
      <c r="Y5586" s="3"/>
    </row>
    <row r="5587">
      <c r="A5587" s="3"/>
      <c r="B5587" s="3"/>
      <c r="C5587" s="3"/>
      <c r="D5587" s="3"/>
      <c r="E5587" s="3"/>
      <c r="F5587" s="3"/>
      <c r="G5587" s="3"/>
      <c r="H5587" s="3"/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  <c r="T5587" s="3"/>
      <c r="U5587" s="3"/>
      <c r="V5587" s="3"/>
      <c r="W5587" s="3"/>
      <c r="X5587" s="3"/>
      <c r="Y5587" s="3"/>
    </row>
    <row r="5588">
      <c r="A5588" s="3"/>
      <c r="B5588" s="3"/>
      <c r="C5588" s="3"/>
      <c r="D5588" s="3"/>
      <c r="E5588" s="3"/>
      <c r="F5588" s="3"/>
      <c r="G5588" s="3"/>
      <c r="H5588" s="3"/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  <c r="T5588" s="3"/>
      <c r="U5588" s="3"/>
      <c r="V5588" s="3"/>
      <c r="W5588" s="3"/>
      <c r="X5588" s="3"/>
      <c r="Y5588" s="3"/>
    </row>
    <row r="5589">
      <c r="A5589" s="3"/>
      <c r="B5589" s="3"/>
      <c r="C5589" s="3"/>
      <c r="D5589" s="3"/>
      <c r="E5589" s="3"/>
      <c r="F5589" s="3"/>
      <c r="G5589" s="3"/>
      <c r="H5589" s="3"/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  <c r="T5589" s="3"/>
      <c r="U5589" s="3"/>
      <c r="V5589" s="3"/>
      <c r="W5589" s="3"/>
      <c r="X5589" s="3"/>
      <c r="Y5589" s="3"/>
    </row>
    <row r="5590">
      <c r="A5590" s="3"/>
      <c r="B5590" s="3"/>
      <c r="C5590" s="3"/>
      <c r="D5590" s="3"/>
      <c r="E5590" s="3"/>
      <c r="F5590" s="3"/>
      <c r="G5590" s="3"/>
      <c r="H5590" s="3"/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  <c r="T5590" s="3"/>
      <c r="U5590" s="3"/>
      <c r="V5590" s="3"/>
      <c r="W5590" s="3"/>
      <c r="X5590" s="3"/>
      <c r="Y5590" s="3"/>
    </row>
    <row r="5591">
      <c r="A5591" s="3"/>
      <c r="B5591" s="3"/>
      <c r="C5591" s="3"/>
      <c r="D5591" s="3"/>
      <c r="E5591" s="3"/>
      <c r="F5591" s="3"/>
      <c r="G5591" s="3"/>
      <c r="H5591" s="3"/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  <c r="T5591" s="3"/>
      <c r="U5591" s="3"/>
      <c r="V5591" s="3"/>
      <c r="W5591" s="3"/>
      <c r="X5591" s="3"/>
      <c r="Y5591" s="3"/>
    </row>
    <row r="5592">
      <c r="A5592" s="3"/>
      <c r="B5592" s="3"/>
      <c r="C5592" s="3"/>
      <c r="D5592" s="3"/>
      <c r="E5592" s="3"/>
      <c r="F5592" s="3"/>
      <c r="G5592" s="3"/>
      <c r="H5592" s="3"/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  <c r="T5592" s="3"/>
      <c r="U5592" s="3"/>
      <c r="V5592" s="3"/>
      <c r="W5592" s="3"/>
      <c r="X5592" s="3"/>
      <c r="Y5592" s="3"/>
    </row>
    <row r="5593">
      <c r="A5593" s="3"/>
      <c r="B5593" s="3"/>
      <c r="C5593" s="3"/>
      <c r="D5593" s="3"/>
      <c r="E5593" s="3"/>
      <c r="F5593" s="3"/>
      <c r="G5593" s="3"/>
      <c r="H5593" s="3"/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  <c r="T5593" s="3"/>
      <c r="U5593" s="3"/>
      <c r="V5593" s="3"/>
      <c r="W5593" s="3"/>
      <c r="X5593" s="3"/>
      <c r="Y5593" s="3"/>
    </row>
    <row r="5594">
      <c r="A5594" s="3"/>
      <c r="B5594" s="3"/>
      <c r="C5594" s="3"/>
      <c r="D5594" s="3"/>
      <c r="E5594" s="3"/>
      <c r="F5594" s="3"/>
      <c r="G5594" s="3"/>
      <c r="H5594" s="3"/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  <c r="T5594" s="3"/>
      <c r="U5594" s="3"/>
      <c r="V5594" s="3"/>
      <c r="W5594" s="3"/>
      <c r="X5594" s="3"/>
      <c r="Y5594" s="3"/>
    </row>
    <row r="5595">
      <c r="A5595" s="3"/>
      <c r="B5595" s="3"/>
      <c r="C5595" s="3"/>
      <c r="D5595" s="3"/>
      <c r="E5595" s="3"/>
      <c r="F5595" s="3"/>
      <c r="G5595" s="3"/>
      <c r="H5595" s="3"/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  <c r="T5595" s="3"/>
      <c r="U5595" s="3"/>
      <c r="V5595" s="3"/>
      <c r="W5595" s="3"/>
      <c r="X5595" s="3"/>
      <c r="Y5595" s="3"/>
    </row>
    <row r="5596">
      <c r="A5596" s="3"/>
      <c r="B5596" s="3"/>
      <c r="C5596" s="3"/>
      <c r="D5596" s="3"/>
      <c r="E5596" s="3"/>
      <c r="F5596" s="3"/>
      <c r="G5596" s="3"/>
      <c r="H5596" s="3"/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  <c r="T5596" s="3"/>
      <c r="U5596" s="3"/>
      <c r="V5596" s="3"/>
      <c r="W5596" s="3"/>
      <c r="X5596" s="3"/>
      <c r="Y5596" s="3"/>
    </row>
    <row r="5597">
      <c r="A5597" s="3"/>
      <c r="B5597" s="3"/>
      <c r="C5597" s="3"/>
      <c r="D5597" s="3"/>
      <c r="E5597" s="3"/>
      <c r="F5597" s="3"/>
      <c r="G5597" s="3"/>
      <c r="H5597" s="3"/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  <c r="T5597" s="3"/>
      <c r="U5597" s="3"/>
      <c r="V5597" s="3"/>
      <c r="W5597" s="3"/>
      <c r="X5597" s="3"/>
      <c r="Y5597" s="3"/>
    </row>
    <row r="5598">
      <c r="A5598" s="3"/>
      <c r="B5598" s="3"/>
      <c r="C5598" s="3"/>
      <c r="D5598" s="3"/>
      <c r="E5598" s="3"/>
      <c r="F5598" s="3"/>
      <c r="G5598" s="3"/>
      <c r="H5598" s="3"/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  <c r="T5598" s="3"/>
      <c r="U5598" s="3"/>
      <c r="V5598" s="3"/>
      <c r="W5598" s="3"/>
      <c r="X5598" s="3"/>
      <c r="Y5598" s="3"/>
    </row>
    <row r="5599">
      <c r="A5599" s="3"/>
      <c r="B5599" s="3"/>
      <c r="C5599" s="3"/>
      <c r="D5599" s="3"/>
      <c r="E5599" s="3"/>
      <c r="F5599" s="3"/>
      <c r="G5599" s="3"/>
      <c r="H5599" s="3"/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  <c r="T5599" s="3"/>
      <c r="U5599" s="3"/>
      <c r="V5599" s="3"/>
      <c r="W5599" s="3"/>
      <c r="X5599" s="3"/>
      <c r="Y5599" s="3"/>
    </row>
    <row r="5600">
      <c r="A5600" s="3"/>
      <c r="B5600" s="3"/>
      <c r="C5600" s="3"/>
      <c r="D5600" s="3"/>
      <c r="E5600" s="3"/>
      <c r="F5600" s="3"/>
      <c r="G5600" s="3"/>
      <c r="H5600" s="3"/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  <c r="T5600" s="3"/>
      <c r="U5600" s="3"/>
      <c r="V5600" s="3"/>
      <c r="W5600" s="3"/>
      <c r="X5600" s="3"/>
      <c r="Y5600" s="3"/>
    </row>
    <row r="5601">
      <c r="A5601" s="3"/>
      <c r="B5601" s="3"/>
      <c r="C5601" s="3"/>
      <c r="D5601" s="3"/>
      <c r="E5601" s="3"/>
      <c r="F5601" s="3"/>
      <c r="G5601" s="3"/>
      <c r="H5601" s="3"/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  <c r="T5601" s="3"/>
      <c r="U5601" s="3"/>
      <c r="V5601" s="3"/>
      <c r="W5601" s="3"/>
      <c r="X5601" s="3"/>
      <c r="Y5601" s="3"/>
    </row>
    <row r="5602">
      <c r="A5602" s="3"/>
      <c r="B5602" s="3"/>
      <c r="C5602" s="3"/>
      <c r="D5602" s="3"/>
      <c r="E5602" s="3"/>
      <c r="F5602" s="3"/>
      <c r="G5602" s="3"/>
      <c r="H5602" s="3"/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  <c r="T5602" s="3"/>
      <c r="U5602" s="3"/>
      <c r="V5602" s="3"/>
      <c r="W5602" s="3"/>
      <c r="X5602" s="3"/>
      <c r="Y5602" s="3"/>
    </row>
    <row r="5603">
      <c r="A5603" s="3"/>
      <c r="B5603" s="3"/>
      <c r="C5603" s="3"/>
      <c r="D5603" s="3"/>
      <c r="E5603" s="3"/>
      <c r="F5603" s="3"/>
      <c r="G5603" s="3"/>
      <c r="H5603" s="3"/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  <c r="T5603" s="3"/>
      <c r="U5603" s="3"/>
      <c r="V5603" s="3"/>
      <c r="W5603" s="3"/>
      <c r="X5603" s="3"/>
      <c r="Y5603" s="3"/>
    </row>
    <row r="5604">
      <c r="A5604" s="3"/>
      <c r="B5604" s="3"/>
      <c r="C5604" s="3"/>
      <c r="D5604" s="3"/>
      <c r="E5604" s="3"/>
      <c r="F5604" s="3"/>
      <c r="G5604" s="3"/>
      <c r="H5604" s="3"/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  <c r="T5604" s="3"/>
      <c r="U5604" s="3"/>
      <c r="V5604" s="3"/>
      <c r="W5604" s="3"/>
      <c r="X5604" s="3"/>
      <c r="Y5604" s="3"/>
    </row>
    <row r="5605">
      <c r="A5605" s="3"/>
      <c r="B5605" s="3"/>
      <c r="C5605" s="3"/>
      <c r="D5605" s="3"/>
      <c r="E5605" s="3"/>
      <c r="F5605" s="3"/>
      <c r="G5605" s="3"/>
      <c r="H5605" s="3"/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  <c r="T5605" s="3"/>
      <c r="U5605" s="3"/>
      <c r="V5605" s="3"/>
      <c r="W5605" s="3"/>
      <c r="X5605" s="3"/>
      <c r="Y5605" s="3"/>
    </row>
    <row r="5606">
      <c r="A5606" s="3"/>
      <c r="B5606" s="3"/>
      <c r="C5606" s="3"/>
      <c r="D5606" s="3"/>
      <c r="E5606" s="3"/>
      <c r="F5606" s="3"/>
      <c r="G5606" s="3"/>
      <c r="H5606" s="3"/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  <c r="T5606" s="3"/>
      <c r="U5606" s="3"/>
      <c r="V5606" s="3"/>
      <c r="W5606" s="3"/>
      <c r="X5606" s="3"/>
      <c r="Y5606" s="3"/>
    </row>
    <row r="5607">
      <c r="A5607" s="3"/>
      <c r="B5607" s="3"/>
      <c r="C5607" s="3"/>
      <c r="D5607" s="3"/>
      <c r="E5607" s="3"/>
      <c r="F5607" s="3"/>
      <c r="G5607" s="3"/>
      <c r="H5607" s="3"/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  <c r="T5607" s="3"/>
      <c r="U5607" s="3"/>
      <c r="V5607" s="3"/>
      <c r="W5607" s="3"/>
      <c r="X5607" s="3"/>
      <c r="Y5607" s="3"/>
    </row>
    <row r="5608">
      <c r="A5608" s="3"/>
      <c r="B5608" s="3"/>
      <c r="C5608" s="3"/>
      <c r="D5608" s="3"/>
      <c r="E5608" s="3"/>
      <c r="F5608" s="3"/>
      <c r="G5608" s="3"/>
      <c r="H5608" s="3"/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  <c r="T5608" s="3"/>
      <c r="U5608" s="3"/>
      <c r="V5608" s="3"/>
      <c r="W5608" s="3"/>
      <c r="X5608" s="3"/>
      <c r="Y5608" s="3"/>
    </row>
    <row r="5609">
      <c r="A5609" s="3"/>
      <c r="B5609" s="3"/>
      <c r="C5609" s="3"/>
      <c r="D5609" s="3"/>
      <c r="E5609" s="3"/>
      <c r="F5609" s="3"/>
      <c r="G5609" s="3"/>
      <c r="H5609" s="3"/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  <c r="T5609" s="3"/>
      <c r="U5609" s="3"/>
      <c r="V5609" s="3"/>
      <c r="W5609" s="3"/>
      <c r="X5609" s="3"/>
      <c r="Y5609" s="3"/>
    </row>
    <row r="5610">
      <c r="A5610" s="3"/>
      <c r="B5610" s="3"/>
      <c r="C5610" s="3"/>
      <c r="D5610" s="3"/>
      <c r="E5610" s="3"/>
      <c r="F5610" s="3"/>
      <c r="G5610" s="3"/>
      <c r="H5610" s="3"/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  <c r="T5610" s="3"/>
      <c r="U5610" s="3"/>
      <c r="V5610" s="3"/>
      <c r="W5610" s="3"/>
      <c r="X5610" s="3"/>
      <c r="Y5610" s="3"/>
    </row>
    <row r="5611">
      <c r="A5611" s="3"/>
      <c r="B5611" s="3"/>
      <c r="C5611" s="3"/>
      <c r="D5611" s="3"/>
      <c r="E5611" s="3"/>
      <c r="F5611" s="3"/>
      <c r="G5611" s="3"/>
      <c r="H5611" s="3"/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  <c r="T5611" s="3"/>
      <c r="U5611" s="3"/>
      <c r="V5611" s="3"/>
      <c r="W5611" s="3"/>
      <c r="X5611" s="3"/>
      <c r="Y5611" s="3"/>
    </row>
    <row r="5612">
      <c r="A5612" s="3"/>
      <c r="B5612" s="3"/>
      <c r="C5612" s="3"/>
      <c r="D5612" s="3"/>
      <c r="E5612" s="3"/>
      <c r="F5612" s="3"/>
      <c r="G5612" s="3"/>
      <c r="H5612" s="3"/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  <c r="T5612" s="3"/>
      <c r="U5612" s="3"/>
      <c r="V5612" s="3"/>
      <c r="W5612" s="3"/>
      <c r="X5612" s="3"/>
      <c r="Y5612" s="3"/>
    </row>
    <row r="5613">
      <c r="A5613" s="3"/>
      <c r="B5613" s="3"/>
      <c r="C5613" s="3"/>
      <c r="D5613" s="3"/>
      <c r="E5613" s="3"/>
      <c r="F5613" s="3"/>
      <c r="G5613" s="3"/>
      <c r="H5613" s="3"/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  <c r="T5613" s="3"/>
      <c r="U5613" s="3"/>
      <c r="V5613" s="3"/>
      <c r="W5613" s="3"/>
      <c r="X5613" s="3"/>
      <c r="Y5613" s="3"/>
    </row>
    <row r="5614">
      <c r="A5614" s="3"/>
      <c r="B5614" s="3"/>
      <c r="C5614" s="3"/>
      <c r="D5614" s="3"/>
      <c r="E5614" s="3"/>
      <c r="F5614" s="3"/>
      <c r="G5614" s="3"/>
      <c r="H5614" s="3"/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  <c r="T5614" s="3"/>
      <c r="U5614" s="3"/>
      <c r="V5614" s="3"/>
      <c r="W5614" s="3"/>
      <c r="X5614" s="3"/>
      <c r="Y5614" s="3"/>
    </row>
    <row r="5615">
      <c r="A5615" s="3"/>
      <c r="B5615" s="3"/>
      <c r="C5615" s="3"/>
      <c r="D5615" s="3"/>
      <c r="E5615" s="3"/>
      <c r="F5615" s="3"/>
      <c r="G5615" s="3"/>
      <c r="H5615" s="3"/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  <c r="T5615" s="3"/>
      <c r="U5615" s="3"/>
      <c r="V5615" s="3"/>
      <c r="W5615" s="3"/>
      <c r="X5615" s="3"/>
      <c r="Y5615" s="3"/>
    </row>
    <row r="5616">
      <c r="A5616" s="3"/>
      <c r="B5616" s="3"/>
      <c r="C5616" s="3"/>
      <c r="D5616" s="3"/>
      <c r="E5616" s="3"/>
      <c r="F5616" s="3"/>
      <c r="G5616" s="3"/>
      <c r="H5616" s="3"/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  <c r="T5616" s="3"/>
      <c r="U5616" s="3"/>
      <c r="V5616" s="3"/>
      <c r="W5616" s="3"/>
      <c r="X5616" s="3"/>
      <c r="Y5616" s="3"/>
    </row>
    <row r="5617">
      <c r="A5617" s="3"/>
      <c r="B5617" s="3"/>
      <c r="C5617" s="3"/>
      <c r="D5617" s="3"/>
      <c r="E5617" s="3"/>
      <c r="F5617" s="3"/>
      <c r="G5617" s="3"/>
      <c r="H5617" s="3"/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  <c r="T5617" s="3"/>
      <c r="U5617" s="3"/>
      <c r="V5617" s="3"/>
      <c r="W5617" s="3"/>
      <c r="X5617" s="3"/>
      <c r="Y5617" s="3"/>
    </row>
    <row r="5618">
      <c r="A5618" s="3"/>
      <c r="B5618" s="3"/>
      <c r="C5618" s="3"/>
      <c r="D5618" s="3"/>
      <c r="E5618" s="3"/>
      <c r="F5618" s="3"/>
      <c r="G5618" s="3"/>
      <c r="H5618" s="3"/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  <c r="T5618" s="3"/>
      <c r="U5618" s="3"/>
      <c r="V5618" s="3"/>
      <c r="W5618" s="3"/>
      <c r="X5618" s="3"/>
      <c r="Y5618" s="3"/>
    </row>
    <row r="5619">
      <c r="A5619" s="3"/>
      <c r="B5619" s="3"/>
      <c r="C5619" s="3"/>
      <c r="D5619" s="3"/>
      <c r="E5619" s="3"/>
      <c r="F5619" s="3"/>
      <c r="G5619" s="3"/>
      <c r="H5619" s="3"/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  <c r="T5619" s="3"/>
      <c r="U5619" s="3"/>
      <c r="V5619" s="3"/>
      <c r="W5619" s="3"/>
      <c r="X5619" s="3"/>
      <c r="Y5619" s="3"/>
    </row>
    <row r="5620">
      <c r="A5620" s="3"/>
      <c r="B5620" s="3"/>
      <c r="C5620" s="3"/>
      <c r="D5620" s="3"/>
      <c r="E5620" s="3"/>
      <c r="F5620" s="3"/>
      <c r="G5620" s="3"/>
      <c r="H5620" s="3"/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  <c r="T5620" s="3"/>
      <c r="U5620" s="3"/>
      <c r="V5620" s="3"/>
      <c r="W5620" s="3"/>
      <c r="X5620" s="3"/>
      <c r="Y5620" s="3"/>
    </row>
    <row r="5621">
      <c r="A5621" s="3"/>
      <c r="B5621" s="3"/>
      <c r="C5621" s="3"/>
      <c r="D5621" s="3"/>
      <c r="E5621" s="3"/>
      <c r="F5621" s="3"/>
      <c r="G5621" s="3"/>
      <c r="H5621" s="3"/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  <c r="T5621" s="3"/>
      <c r="U5621" s="3"/>
      <c r="V5621" s="3"/>
      <c r="W5621" s="3"/>
      <c r="X5621" s="3"/>
      <c r="Y5621" s="3"/>
    </row>
    <row r="5622">
      <c r="A5622" s="3"/>
      <c r="B5622" s="3"/>
      <c r="C5622" s="3"/>
      <c r="D5622" s="3"/>
      <c r="E5622" s="3"/>
      <c r="F5622" s="3"/>
      <c r="G5622" s="3"/>
      <c r="H5622" s="3"/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  <c r="T5622" s="3"/>
      <c r="U5622" s="3"/>
      <c r="V5622" s="3"/>
      <c r="W5622" s="3"/>
      <c r="X5622" s="3"/>
      <c r="Y5622" s="3"/>
    </row>
    <row r="5623">
      <c r="A5623" s="3"/>
      <c r="B5623" s="3"/>
      <c r="C5623" s="3"/>
      <c r="D5623" s="3"/>
      <c r="E5623" s="3"/>
      <c r="F5623" s="3"/>
      <c r="G5623" s="3"/>
      <c r="H5623" s="3"/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  <c r="T5623" s="3"/>
      <c r="U5623" s="3"/>
      <c r="V5623" s="3"/>
      <c r="W5623" s="3"/>
      <c r="X5623" s="3"/>
      <c r="Y5623" s="3"/>
    </row>
    <row r="5624">
      <c r="A5624" s="3"/>
      <c r="B5624" s="3"/>
      <c r="C5624" s="3"/>
      <c r="D5624" s="3"/>
      <c r="E5624" s="3"/>
      <c r="F5624" s="3"/>
      <c r="G5624" s="3"/>
      <c r="H5624" s="3"/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  <c r="T5624" s="3"/>
      <c r="U5624" s="3"/>
      <c r="V5624" s="3"/>
      <c r="W5624" s="3"/>
      <c r="X5624" s="3"/>
      <c r="Y5624" s="3"/>
    </row>
    <row r="5625">
      <c r="A5625" s="3"/>
      <c r="B5625" s="3"/>
      <c r="C5625" s="3"/>
      <c r="D5625" s="3"/>
      <c r="E5625" s="3"/>
      <c r="F5625" s="3"/>
      <c r="G5625" s="3"/>
      <c r="H5625" s="3"/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  <c r="T5625" s="3"/>
      <c r="U5625" s="3"/>
      <c r="V5625" s="3"/>
      <c r="W5625" s="3"/>
      <c r="X5625" s="3"/>
      <c r="Y5625" s="3"/>
    </row>
    <row r="5626">
      <c r="A5626" s="3"/>
      <c r="B5626" s="3"/>
      <c r="C5626" s="3"/>
      <c r="D5626" s="3"/>
      <c r="E5626" s="3"/>
      <c r="F5626" s="3"/>
      <c r="G5626" s="3"/>
      <c r="H5626" s="3"/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  <c r="T5626" s="3"/>
      <c r="U5626" s="3"/>
      <c r="V5626" s="3"/>
      <c r="W5626" s="3"/>
      <c r="X5626" s="3"/>
      <c r="Y5626" s="3"/>
    </row>
    <row r="5627">
      <c r="A5627" s="3"/>
      <c r="B5627" s="3"/>
      <c r="C5627" s="3"/>
      <c r="D5627" s="3"/>
      <c r="E5627" s="3"/>
      <c r="F5627" s="3"/>
      <c r="G5627" s="3"/>
      <c r="H5627" s="3"/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  <c r="T5627" s="3"/>
      <c r="U5627" s="3"/>
      <c r="V5627" s="3"/>
      <c r="W5627" s="3"/>
      <c r="X5627" s="3"/>
      <c r="Y5627" s="3"/>
    </row>
    <row r="5628">
      <c r="A5628" s="3"/>
      <c r="B5628" s="3"/>
      <c r="C5628" s="3"/>
      <c r="D5628" s="3"/>
      <c r="E5628" s="3"/>
      <c r="F5628" s="3"/>
      <c r="G5628" s="3"/>
      <c r="H5628" s="3"/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  <c r="T5628" s="3"/>
      <c r="U5628" s="3"/>
      <c r="V5628" s="3"/>
      <c r="W5628" s="3"/>
      <c r="X5628" s="3"/>
      <c r="Y5628" s="3"/>
    </row>
    <row r="5629">
      <c r="A5629" s="3"/>
      <c r="B5629" s="3"/>
      <c r="C5629" s="3"/>
      <c r="D5629" s="3"/>
      <c r="E5629" s="3"/>
      <c r="F5629" s="3"/>
      <c r="G5629" s="3"/>
      <c r="H5629" s="3"/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  <c r="T5629" s="3"/>
      <c r="U5629" s="3"/>
      <c r="V5629" s="3"/>
      <c r="W5629" s="3"/>
      <c r="X5629" s="3"/>
      <c r="Y5629" s="3"/>
    </row>
    <row r="5630">
      <c r="A5630" s="3"/>
      <c r="B5630" s="3"/>
      <c r="C5630" s="3"/>
      <c r="D5630" s="3"/>
      <c r="E5630" s="3"/>
      <c r="F5630" s="3"/>
      <c r="G5630" s="3"/>
      <c r="H5630" s="3"/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  <c r="T5630" s="3"/>
      <c r="U5630" s="3"/>
      <c r="V5630" s="3"/>
      <c r="W5630" s="3"/>
      <c r="X5630" s="3"/>
      <c r="Y5630" s="3"/>
    </row>
    <row r="5631">
      <c r="A5631" s="3"/>
      <c r="B5631" s="3"/>
      <c r="C5631" s="3"/>
      <c r="D5631" s="3"/>
      <c r="E5631" s="3"/>
      <c r="F5631" s="3"/>
      <c r="G5631" s="3"/>
      <c r="H5631" s="3"/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  <c r="T5631" s="3"/>
      <c r="U5631" s="3"/>
      <c r="V5631" s="3"/>
      <c r="W5631" s="3"/>
      <c r="X5631" s="3"/>
      <c r="Y5631" s="3"/>
    </row>
    <row r="5632">
      <c r="A5632" s="3"/>
      <c r="B5632" s="3"/>
      <c r="C5632" s="3"/>
      <c r="D5632" s="3"/>
      <c r="E5632" s="3"/>
      <c r="F5632" s="3"/>
      <c r="G5632" s="3"/>
      <c r="H5632" s="3"/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  <c r="T5632" s="3"/>
      <c r="U5632" s="3"/>
      <c r="V5632" s="3"/>
      <c r="W5632" s="3"/>
      <c r="X5632" s="3"/>
      <c r="Y5632" s="3"/>
    </row>
    <row r="5633">
      <c r="A5633" s="3"/>
      <c r="B5633" s="3"/>
      <c r="C5633" s="3"/>
      <c r="D5633" s="3"/>
      <c r="E5633" s="3"/>
      <c r="F5633" s="3"/>
      <c r="G5633" s="3"/>
      <c r="H5633" s="3"/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  <c r="T5633" s="3"/>
      <c r="U5633" s="3"/>
      <c r="V5633" s="3"/>
      <c r="W5633" s="3"/>
      <c r="X5633" s="3"/>
      <c r="Y5633" s="3"/>
    </row>
    <row r="5634">
      <c r="A5634" s="3"/>
      <c r="B5634" s="3"/>
      <c r="C5634" s="3"/>
      <c r="D5634" s="3"/>
      <c r="E5634" s="3"/>
      <c r="F5634" s="3"/>
      <c r="G5634" s="3"/>
      <c r="H5634" s="3"/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  <c r="T5634" s="3"/>
      <c r="U5634" s="3"/>
      <c r="V5634" s="3"/>
      <c r="W5634" s="3"/>
      <c r="X5634" s="3"/>
      <c r="Y5634" s="3"/>
    </row>
    <row r="5635">
      <c r="A5635" s="3"/>
      <c r="B5635" s="3"/>
      <c r="C5635" s="3"/>
      <c r="D5635" s="3"/>
      <c r="E5635" s="3"/>
      <c r="F5635" s="3"/>
      <c r="G5635" s="3"/>
      <c r="H5635" s="3"/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  <c r="T5635" s="3"/>
      <c r="U5635" s="3"/>
      <c r="V5635" s="3"/>
      <c r="W5635" s="3"/>
      <c r="X5635" s="3"/>
      <c r="Y5635" s="3"/>
    </row>
    <row r="5636">
      <c r="A5636" s="3"/>
      <c r="B5636" s="3"/>
      <c r="C5636" s="3"/>
      <c r="D5636" s="3"/>
      <c r="E5636" s="3"/>
      <c r="F5636" s="3"/>
      <c r="G5636" s="3"/>
      <c r="H5636" s="3"/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  <c r="T5636" s="3"/>
      <c r="U5636" s="3"/>
      <c r="V5636" s="3"/>
      <c r="W5636" s="3"/>
      <c r="X5636" s="3"/>
      <c r="Y5636" s="3"/>
    </row>
    <row r="5637">
      <c r="A5637" s="3"/>
      <c r="B5637" s="3"/>
      <c r="C5637" s="3"/>
      <c r="D5637" s="3"/>
      <c r="E5637" s="3"/>
      <c r="F5637" s="3"/>
      <c r="G5637" s="3"/>
      <c r="H5637" s="3"/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  <c r="T5637" s="3"/>
      <c r="U5637" s="3"/>
      <c r="V5637" s="3"/>
      <c r="W5637" s="3"/>
      <c r="X5637" s="3"/>
      <c r="Y5637" s="3"/>
    </row>
    <row r="5638">
      <c r="A5638" s="3"/>
      <c r="B5638" s="3"/>
      <c r="C5638" s="3"/>
      <c r="D5638" s="3"/>
      <c r="E5638" s="3"/>
      <c r="F5638" s="3"/>
      <c r="G5638" s="3"/>
      <c r="H5638" s="3"/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  <c r="T5638" s="3"/>
      <c r="U5638" s="3"/>
      <c r="V5638" s="3"/>
      <c r="W5638" s="3"/>
      <c r="X5638" s="3"/>
      <c r="Y5638" s="3"/>
    </row>
    <row r="5639">
      <c r="A5639" s="3"/>
      <c r="B5639" s="3"/>
      <c r="C5639" s="3"/>
      <c r="D5639" s="3"/>
      <c r="E5639" s="3"/>
      <c r="F5639" s="3"/>
      <c r="G5639" s="3"/>
      <c r="H5639" s="3"/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  <c r="T5639" s="3"/>
      <c r="U5639" s="3"/>
      <c r="V5639" s="3"/>
      <c r="W5639" s="3"/>
      <c r="X5639" s="3"/>
      <c r="Y5639" s="3"/>
    </row>
    <row r="5640">
      <c r="A5640" s="3"/>
      <c r="B5640" s="3"/>
      <c r="C5640" s="3"/>
      <c r="D5640" s="3"/>
      <c r="E5640" s="3"/>
      <c r="F5640" s="3"/>
      <c r="G5640" s="3"/>
      <c r="H5640" s="3"/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  <c r="T5640" s="3"/>
      <c r="U5640" s="3"/>
      <c r="V5640" s="3"/>
      <c r="W5640" s="3"/>
      <c r="X5640" s="3"/>
      <c r="Y5640" s="3"/>
    </row>
    <row r="5641">
      <c r="A5641" s="3"/>
      <c r="B5641" s="3"/>
      <c r="C5641" s="3"/>
      <c r="D5641" s="3"/>
      <c r="E5641" s="3"/>
      <c r="F5641" s="3"/>
      <c r="G5641" s="3"/>
      <c r="H5641" s="3"/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  <c r="T5641" s="3"/>
      <c r="U5641" s="3"/>
      <c r="V5641" s="3"/>
      <c r="W5641" s="3"/>
      <c r="X5641" s="3"/>
      <c r="Y5641" s="3"/>
    </row>
    <row r="5642">
      <c r="A5642" s="3"/>
      <c r="B5642" s="3"/>
      <c r="C5642" s="3"/>
      <c r="D5642" s="3"/>
      <c r="E5642" s="3"/>
      <c r="F5642" s="3"/>
      <c r="G5642" s="3"/>
      <c r="H5642" s="3"/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  <c r="T5642" s="3"/>
      <c r="U5642" s="3"/>
      <c r="V5642" s="3"/>
      <c r="W5642" s="3"/>
      <c r="X5642" s="3"/>
      <c r="Y5642" s="3"/>
    </row>
    <row r="5643">
      <c r="A5643" s="3"/>
      <c r="B5643" s="3"/>
      <c r="C5643" s="3"/>
      <c r="D5643" s="3"/>
      <c r="E5643" s="3"/>
      <c r="F5643" s="3"/>
      <c r="G5643" s="3"/>
      <c r="H5643" s="3"/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  <c r="T5643" s="3"/>
      <c r="U5643" s="3"/>
      <c r="V5643" s="3"/>
      <c r="W5643" s="3"/>
      <c r="X5643" s="3"/>
      <c r="Y5643" s="3"/>
    </row>
    <row r="5644">
      <c r="A5644" s="3"/>
      <c r="B5644" s="3"/>
      <c r="C5644" s="3"/>
      <c r="D5644" s="3"/>
      <c r="E5644" s="3"/>
      <c r="F5644" s="3"/>
      <c r="G5644" s="3"/>
      <c r="H5644" s="3"/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  <c r="T5644" s="3"/>
      <c r="U5644" s="3"/>
      <c r="V5644" s="3"/>
      <c r="W5644" s="3"/>
      <c r="X5644" s="3"/>
      <c r="Y5644" s="3"/>
    </row>
    <row r="5645">
      <c r="A5645" s="3"/>
      <c r="B5645" s="3"/>
      <c r="C5645" s="3"/>
      <c r="D5645" s="3"/>
      <c r="E5645" s="3"/>
      <c r="F5645" s="3"/>
      <c r="G5645" s="3"/>
      <c r="H5645" s="3"/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  <c r="T5645" s="3"/>
      <c r="U5645" s="3"/>
      <c r="V5645" s="3"/>
      <c r="W5645" s="3"/>
      <c r="X5645" s="3"/>
      <c r="Y5645" s="3"/>
    </row>
    <row r="5646">
      <c r="A5646" s="3"/>
      <c r="B5646" s="3"/>
      <c r="C5646" s="3"/>
      <c r="D5646" s="3"/>
      <c r="E5646" s="3"/>
      <c r="F5646" s="3"/>
      <c r="G5646" s="3"/>
      <c r="H5646" s="3"/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  <c r="T5646" s="3"/>
      <c r="U5646" s="3"/>
      <c r="V5646" s="3"/>
      <c r="W5646" s="3"/>
      <c r="X5646" s="3"/>
      <c r="Y5646" s="3"/>
    </row>
    <row r="5647">
      <c r="A5647" s="3"/>
      <c r="B5647" s="3"/>
      <c r="C5647" s="3"/>
      <c r="D5647" s="3"/>
      <c r="E5647" s="3"/>
      <c r="F5647" s="3"/>
      <c r="G5647" s="3"/>
      <c r="H5647" s="3"/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  <c r="T5647" s="3"/>
      <c r="U5647" s="3"/>
      <c r="V5647" s="3"/>
      <c r="W5647" s="3"/>
      <c r="X5647" s="3"/>
      <c r="Y5647" s="3"/>
    </row>
    <row r="5648">
      <c r="A5648" s="3"/>
      <c r="B5648" s="3"/>
      <c r="C5648" s="3"/>
      <c r="D5648" s="3"/>
      <c r="E5648" s="3"/>
      <c r="F5648" s="3"/>
      <c r="G5648" s="3"/>
      <c r="H5648" s="3"/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  <c r="T5648" s="3"/>
      <c r="U5648" s="3"/>
      <c r="V5648" s="3"/>
      <c r="W5648" s="3"/>
      <c r="X5648" s="3"/>
      <c r="Y5648" s="3"/>
    </row>
    <row r="5649">
      <c r="A5649" s="3"/>
      <c r="B5649" s="3"/>
      <c r="C5649" s="3"/>
      <c r="D5649" s="3"/>
      <c r="E5649" s="3"/>
      <c r="F5649" s="3"/>
      <c r="G5649" s="3"/>
      <c r="H5649" s="3"/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  <c r="T5649" s="3"/>
      <c r="U5649" s="3"/>
      <c r="V5649" s="3"/>
      <c r="W5649" s="3"/>
      <c r="X5649" s="3"/>
      <c r="Y5649" s="3"/>
    </row>
    <row r="5650">
      <c r="A5650" s="3"/>
      <c r="B5650" s="3"/>
      <c r="C5650" s="3"/>
      <c r="D5650" s="3"/>
      <c r="E5650" s="3"/>
      <c r="F5650" s="3"/>
      <c r="G5650" s="3"/>
      <c r="H5650" s="3"/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  <c r="T5650" s="3"/>
      <c r="U5650" s="3"/>
      <c r="V5650" s="3"/>
      <c r="W5650" s="3"/>
      <c r="X5650" s="3"/>
      <c r="Y5650" s="3"/>
    </row>
    <row r="5651">
      <c r="A5651" s="3"/>
      <c r="B5651" s="3"/>
      <c r="C5651" s="3"/>
      <c r="D5651" s="3"/>
      <c r="E5651" s="3"/>
      <c r="F5651" s="3"/>
      <c r="G5651" s="3"/>
      <c r="H5651" s="3"/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  <c r="T5651" s="3"/>
      <c r="U5651" s="3"/>
      <c r="V5651" s="3"/>
      <c r="W5651" s="3"/>
      <c r="X5651" s="3"/>
      <c r="Y5651" s="3"/>
    </row>
    <row r="5652">
      <c r="A5652" s="3"/>
      <c r="B5652" s="3"/>
      <c r="C5652" s="3"/>
      <c r="D5652" s="3"/>
      <c r="E5652" s="3"/>
      <c r="F5652" s="3"/>
      <c r="G5652" s="3"/>
      <c r="H5652" s="3"/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  <c r="T5652" s="3"/>
      <c r="U5652" s="3"/>
      <c r="V5652" s="3"/>
      <c r="W5652" s="3"/>
      <c r="X5652" s="3"/>
      <c r="Y5652" s="3"/>
    </row>
    <row r="5653">
      <c r="A5653" s="3"/>
      <c r="B5653" s="3"/>
      <c r="C5653" s="3"/>
      <c r="D5653" s="3"/>
      <c r="E5653" s="3"/>
      <c r="F5653" s="3"/>
      <c r="G5653" s="3"/>
      <c r="H5653" s="3"/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  <c r="T5653" s="3"/>
      <c r="U5653" s="3"/>
      <c r="V5653" s="3"/>
      <c r="W5653" s="3"/>
      <c r="X5653" s="3"/>
      <c r="Y5653" s="3"/>
    </row>
    <row r="5654">
      <c r="A5654" s="3"/>
      <c r="B5654" s="3"/>
      <c r="C5654" s="3"/>
      <c r="D5654" s="3"/>
      <c r="E5654" s="3"/>
      <c r="F5654" s="3"/>
      <c r="G5654" s="3"/>
      <c r="H5654" s="3"/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  <c r="T5654" s="3"/>
      <c r="U5654" s="3"/>
      <c r="V5654" s="3"/>
      <c r="W5654" s="3"/>
      <c r="X5654" s="3"/>
      <c r="Y5654" s="3"/>
    </row>
    <row r="5655">
      <c r="A5655" s="3"/>
      <c r="B5655" s="3"/>
      <c r="C5655" s="3"/>
      <c r="D5655" s="3"/>
      <c r="E5655" s="3"/>
      <c r="F5655" s="3"/>
      <c r="G5655" s="3"/>
      <c r="H5655" s="3"/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  <c r="T5655" s="3"/>
      <c r="U5655" s="3"/>
      <c r="V5655" s="3"/>
      <c r="W5655" s="3"/>
      <c r="X5655" s="3"/>
      <c r="Y5655" s="3"/>
    </row>
    <row r="5656">
      <c r="A5656" s="3"/>
      <c r="B5656" s="3"/>
      <c r="C5656" s="3"/>
      <c r="D5656" s="3"/>
      <c r="E5656" s="3"/>
      <c r="F5656" s="3"/>
      <c r="G5656" s="3"/>
      <c r="H5656" s="3"/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  <c r="T5656" s="3"/>
      <c r="U5656" s="3"/>
      <c r="V5656" s="3"/>
      <c r="W5656" s="3"/>
      <c r="X5656" s="3"/>
      <c r="Y5656" s="3"/>
    </row>
    <row r="5657">
      <c r="A5657" s="3"/>
      <c r="B5657" s="3"/>
      <c r="C5657" s="3"/>
      <c r="D5657" s="3"/>
      <c r="E5657" s="3"/>
      <c r="F5657" s="3"/>
      <c r="G5657" s="3"/>
      <c r="H5657" s="3"/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  <c r="T5657" s="3"/>
      <c r="U5657" s="3"/>
      <c r="V5657" s="3"/>
      <c r="W5657" s="3"/>
      <c r="X5657" s="3"/>
      <c r="Y5657" s="3"/>
    </row>
    <row r="5658">
      <c r="A5658" s="3"/>
      <c r="B5658" s="3"/>
      <c r="C5658" s="3"/>
      <c r="D5658" s="3"/>
      <c r="E5658" s="3"/>
      <c r="F5658" s="3"/>
      <c r="G5658" s="3"/>
      <c r="H5658" s="3"/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  <c r="T5658" s="3"/>
      <c r="U5658" s="3"/>
      <c r="V5658" s="3"/>
      <c r="W5658" s="3"/>
      <c r="X5658" s="3"/>
      <c r="Y5658" s="3"/>
    </row>
    <row r="5659">
      <c r="A5659" s="3"/>
      <c r="B5659" s="3"/>
      <c r="C5659" s="3"/>
      <c r="D5659" s="3"/>
      <c r="E5659" s="3"/>
      <c r="F5659" s="3"/>
      <c r="G5659" s="3"/>
      <c r="H5659" s="3"/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  <c r="T5659" s="3"/>
      <c r="U5659" s="3"/>
      <c r="V5659" s="3"/>
      <c r="W5659" s="3"/>
      <c r="X5659" s="3"/>
      <c r="Y5659" s="3"/>
    </row>
    <row r="5660">
      <c r="A5660" s="3"/>
      <c r="B5660" s="3"/>
      <c r="C5660" s="3"/>
      <c r="D5660" s="3"/>
      <c r="E5660" s="3"/>
      <c r="F5660" s="3"/>
      <c r="G5660" s="3"/>
      <c r="H5660" s="3"/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  <c r="T5660" s="3"/>
      <c r="U5660" s="3"/>
      <c r="V5660" s="3"/>
      <c r="W5660" s="3"/>
      <c r="X5660" s="3"/>
      <c r="Y5660" s="3"/>
    </row>
    <row r="5661">
      <c r="A5661" s="3"/>
      <c r="B5661" s="3"/>
      <c r="C5661" s="3"/>
      <c r="D5661" s="3"/>
      <c r="E5661" s="3"/>
      <c r="F5661" s="3"/>
      <c r="G5661" s="3"/>
      <c r="H5661" s="3"/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  <c r="T5661" s="3"/>
      <c r="U5661" s="3"/>
      <c r="V5661" s="3"/>
      <c r="W5661" s="3"/>
      <c r="X5661" s="3"/>
      <c r="Y5661" s="3"/>
    </row>
    <row r="5662">
      <c r="A5662" s="3"/>
      <c r="B5662" s="3"/>
      <c r="C5662" s="3"/>
      <c r="D5662" s="3"/>
      <c r="E5662" s="3"/>
      <c r="F5662" s="3"/>
      <c r="G5662" s="3"/>
      <c r="H5662" s="3"/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  <c r="T5662" s="3"/>
      <c r="U5662" s="3"/>
      <c r="V5662" s="3"/>
      <c r="W5662" s="3"/>
      <c r="X5662" s="3"/>
      <c r="Y5662" s="3"/>
    </row>
    <row r="5663">
      <c r="A5663" s="3"/>
      <c r="B5663" s="3"/>
      <c r="C5663" s="3"/>
      <c r="D5663" s="3"/>
      <c r="E5663" s="3"/>
      <c r="F5663" s="3"/>
      <c r="G5663" s="3"/>
      <c r="H5663" s="3"/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  <c r="T5663" s="3"/>
      <c r="U5663" s="3"/>
      <c r="V5663" s="3"/>
      <c r="W5663" s="3"/>
      <c r="X5663" s="3"/>
      <c r="Y5663" s="3"/>
    </row>
    <row r="5664">
      <c r="A5664" s="3"/>
      <c r="B5664" s="3"/>
      <c r="C5664" s="3"/>
      <c r="D5664" s="3"/>
      <c r="E5664" s="3"/>
      <c r="F5664" s="3"/>
      <c r="G5664" s="3"/>
      <c r="H5664" s="3"/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  <c r="T5664" s="3"/>
      <c r="U5664" s="3"/>
      <c r="V5664" s="3"/>
      <c r="W5664" s="3"/>
      <c r="X5664" s="3"/>
      <c r="Y5664" s="3"/>
    </row>
    <row r="5665">
      <c r="A5665" s="3"/>
      <c r="B5665" s="3"/>
      <c r="C5665" s="3"/>
      <c r="D5665" s="3"/>
      <c r="E5665" s="3"/>
      <c r="F5665" s="3"/>
      <c r="G5665" s="3"/>
      <c r="H5665" s="3"/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  <c r="T5665" s="3"/>
      <c r="U5665" s="3"/>
      <c r="V5665" s="3"/>
      <c r="W5665" s="3"/>
      <c r="X5665" s="3"/>
      <c r="Y5665" s="3"/>
    </row>
    <row r="5666">
      <c r="A5666" s="3"/>
      <c r="B5666" s="3"/>
      <c r="C5666" s="3"/>
      <c r="D5666" s="3"/>
      <c r="E5666" s="3"/>
      <c r="F5666" s="3"/>
      <c r="G5666" s="3"/>
      <c r="H5666" s="3"/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  <c r="T5666" s="3"/>
      <c r="U5666" s="3"/>
      <c r="V5666" s="3"/>
      <c r="W5666" s="3"/>
      <c r="X5666" s="3"/>
      <c r="Y5666" s="3"/>
    </row>
    <row r="5667">
      <c r="A5667" s="3"/>
      <c r="B5667" s="3"/>
      <c r="C5667" s="3"/>
      <c r="D5667" s="3"/>
      <c r="E5667" s="3"/>
      <c r="F5667" s="3"/>
      <c r="G5667" s="3"/>
      <c r="H5667" s="3"/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  <c r="T5667" s="3"/>
      <c r="U5667" s="3"/>
      <c r="V5667" s="3"/>
      <c r="W5667" s="3"/>
      <c r="X5667" s="3"/>
      <c r="Y5667" s="3"/>
    </row>
    <row r="5668">
      <c r="A5668" s="3"/>
      <c r="B5668" s="3"/>
      <c r="C5668" s="3"/>
      <c r="D5668" s="3"/>
      <c r="E5668" s="3"/>
      <c r="F5668" s="3"/>
      <c r="G5668" s="3"/>
      <c r="H5668" s="3"/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  <c r="T5668" s="3"/>
      <c r="U5668" s="3"/>
      <c r="V5668" s="3"/>
      <c r="W5668" s="3"/>
      <c r="X5668" s="3"/>
      <c r="Y5668" s="3"/>
    </row>
    <row r="5669">
      <c r="A5669" s="3"/>
      <c r="B5669" s="3"/>
      <c r="C5669" s="3"/>
      <c r="D5669" s="3"/>
      <c r="E5669" s="3"/>
      <c r="F5669" s="3"/>
      <c r="G5669" s="3"/>
      <c r="H5669" s="3"/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  <c r="T5669" s="3"/>
      <c r="U5669" s="3"/>
      <c r="V5669" s="3"/>
      <c r="W5669" s="3"/>
      <c r="X5669" s="3"/>
      <c r="Y5669" s="3"/>
    </row>
    <row r="5670">
      <c r="A5670" s="3"/>
      <c r="B5670" s="3"/>
      <c r="C5670" s="3"/>
      <c r="D5670" s="3"/>
      <c r="E5670" s="3"/>
      <c r="F5670" s="3"/>
      <c r="G5670" s="3"/>
      <c r="H5670" s="3"/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  <c r="T5670" s="3"/>
      <c r="U5670" s="3"/>
      <c r="V5670" s="3"/>
      <c r="W5670" s="3"/>
      <c r="X5670" s="3"/>
      <c r="Y5670" s="3"/>
    </row>
    <row r="5671">
      <c r="A5671" s="3"/>
      <c r="B5671" s="3"/>
      <c r="C5671" s="3"/>
      <c r="D5671" s="3"/>
      <c r="E5671" s="3"/>
      <c r="F5671" s="3"/>
      <c r="G5671" s="3"/>
      <c r="H5671" s="3"/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  <c r="T5671" s="3"/>
      <c r="U5671" s="3"/>
      <c r="V5671" s="3"/>
      <c r="W5671" s="3"/>
      <c r="X5671" s="3"/>
      <c r="Y5671" s="3"/>
    </row>
    <row r="5672">
      <c r="A5672" s="3"/>
      <c r="B5672" s="3"/>
      <c r="C5672" s="3"/>
      <c r="D5672" s="3"/>
      <c r="E5672" s="3"/>
      <c r="F5672" s="3"/>
      <c r="G5672" s="3"/>
      <c r="H5672" s="3"/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  <c r="T5672" s="3"/>
      <c r="U5672" s="3"/>
      <c r="V5672" s="3"/>
      <c r="W5672" s="3"/>
      <c r="X5672" s="3"/>
      <c r="Y5672" s="3"/>
    </row>
    <row r="5673">
      <c r="A5673" s="3"/>
      <c r="B5673" s="3"/>
      <c r="C5673" s="3"/>
      <c r="D5673" s="3"/>
      <c r="E5673" s="3"/>
      <c r="F5673" s="3"/>
      <c r="G5673" s="3"/>
      <c r="H5673" s="3"/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  <c r="T5673" s="3"/>
      <c r="U5673" s="3"/>
      <c r="V5673" s="3"/>
      <c r="W5673" s="3"/>
      <c r="X5673" s="3"/>
      <c r="Y5673" s="3"/>
    </row>
    <row r="5674">
      <c r="A5674" s="3"/>
      <c r="B5674" s="3"/>
      <c r="C5674" s="3"/>
      <c r="D5674" s="3"/>
      <c r="E5674" s="3"/>
      <c r="F5674" s="3"/>
      <c r="G5674" s="3"/>
      <c r="H5674" s="3"/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  <c r="T5674" s="3"/>
      <c r="U5674" s="3"/>
      <c r="V5674" s="3"/>
      <c r="W5674" s="3"/>
      <c r="X5674" s="3"/>
      <c r="Y5674" s="3"/>
    </row>
    <row r="5675">
      <c r="A5675" s="3"/>
      <c r="B5675" s="3"/>
      <c r="C5675" s="3"/>
      <c r="D5675" s="3"/>
      <c r="E5675" s="3"/>
      <c r="F5675" s="3"/>
      <c r="G5675" s="3"/>
      <c r="H5675" s="3"/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  <c r="T5675" s="3"/>
      <c r="U5675" s="3"/>
      <c r="V5675" s="3"/>
      <c r="W5675" s="3"/>
      <c r="X5675" s="3"/>
      <c r="Y5675" s="3"/>
    </row>
    <row r="5676">
      <c r="A5676" s="3"/>
      <c r="B5676" s="3"/>
      <c r="C5676" s="3"/>
      <c r="D5676" s="3"/>
      <c r="E5676" s="3"/>
      <c r="F5676" s="3"/>
      <c r="G5676" s="3"/>
      <c r="H5676" s="3"/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  <c r="T5676" s="3"/>
      <c r="U5676" s="3"/>
      <c r="V5676" s="3"/>
      <c r="W5676" s="3"/>
      <c r="X5676" s="3"/>
      <c r="Y5676" s="3"/>
    </row>
    <row r="5677">
      <c r="A5677" s="3"/>
      <c r="B5677" s="3"/>
      <c r="C5677" s="3"/>
      <c r="D5677" s="3"/>
      <c r="E5677" s="3"/>
      <c r="F5677" s="3"/>
      <c r="G5677" s="3"/>
      <c r="H5677" s="3"/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  <c r="T5677" s="3"/>
      <c r="U5677" s="3"/>
      <c r="V5677" s="3"/>
      <c r="W5677" s="3"/>
      <c r="X5677" s="3"/>
      <c r="Y5677" s="3"/>
    </row>
    <row r="5678">
      <c r="A5678" s="3"/>
      <c r="B5678" s="3"/>
      <c r="C5678" s="3"/>
      <c r="D5678" s="3"/>
      <c r="E5678" s="3"/>
      <c r="F5678" s="3"/>
      <c r="G5678" s="3"/>
      <c r="H5678" s="3"/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  <c r="T5678" s="3"/>
      <c r="U5678" s="3"/>
      <c r="V5678" s="3"/>
      <c r="W5678" s="3"/>
      <c r="X5678" s="3"/>
      <c r="Y5678" s="3"/>
    </row>
    <row r="5679">
      <c r="A5679" s="3"/>
      <c r="B5679" s="3"/>
      <c r="C5679" s="3"/>
      <c r="D5679" s="3"/>
      <c r="E5679" s="3"/>
      <c r="F5679" s="3"/>
      <c r="G5679" s="3"/>
      <c r="H5679" s="3"/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  <c r="T5679" s="3"/>
      <c r="U5679" s="3"/>
      <c r="V5679" s="3"/>
      <c r="W5679" s="3"/>
      <c r="X5679" s="3"/>
      <c r="Y5679" s="3"/>
    </row>
    <row r="5680">
      <c r="A5680" s="3"/>
      <c r="B5680" s="3"/>
      <c r="C5680" s="3"/>
      <c r="D5680" s="3"/>
      <c r="E5680" s="3"/>
      <c r="F5680" s="3"/>
      <c r="G5680" s="3"/>
      <c r="H5680" s="3"/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  <c r="T5680" s="3"/>
      <c r="U5680" s="3"/>
      <c r="V5680" s="3"/>
      <c r="W5680" s="3"/>
      <c r="X5680" s="3"/>
      <c r="Y5680" s="3"/>
    </row>
    <row r="5681">
      <c r="A5681" s="3"/>
      <c r="B5681" s="3"/>
      <c r="C5681" s="3"/>
      <c r="D5681" s="3"/>
      <c r="E5681" s="3"/>
      <c r="F5681" s="3"/>
      <c r="G5681" s="3"/>
      <c r="H5681" s="3"/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  <c r="T5681" s="3"/>
      <c r="U5681" s="3"/>
      <c r="V5681" s="3"/>
      <c r="W5681" s="3"/>
      <c r="X5681" s="3"/>
      <c r="Y5681" s="3"/>
    </row>
    <row r="5682">
      <c r="A5682" s="3"/>
      <c r="B5682" s="3"/>
      <c r="C5682" s="3"/>
      <c r="D5682" s="3"/>
      <c r="E5682" s="3"/>
      <c r="F5682" s="3"/>
      <c r="G5682" s="3"/>
      <c r="H5682" s="3"/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  <c r="T5682" s="3"/>
      <c r="U5682" s="3"/>
      <c r="V5682" s="3"/>
      <c r="W5682" s="3"/>
      <c r="X5682" s="3"/>
      <c r="Y5682" s="3"/>
    </row>
    <row r="5683">
      <c r="A5683" s="3"/>
      <c r="B5683" s="3"/>
      <c r="C5683" s="3"/>
      <c r="D5683" s="3"/>
      <c r="E5683" s="3"/>
      <c r="F5683" s="3"/>
      <c r="G5683" s="3"/>
      <c r="H5683" s="3"/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  <c r="T5683" s="3"/>
      <c r="U5683" s="3"/>
      <c r="V5683" s="3"/>
      <c r="W5683" s="3"/>
      <c r="X5683" s="3"/>
      <c r="Y5683" s="3"/>
    </row>
    <row r="5684">
      <c r="A5684" s="3"/>
      <c r="B5684" s="3"/>
      <c r="C5684" s="3"/>
      <c r="D5684" s="3"/>
      <c r="E5684" s="3"/>
      <c r="F5684" s="3"/>
      <c r="G5684" s="3"/>
      <c r="H5684" s="3"/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  <c r="T5684" s="3"/>
      <c r="U5684" s="3"/>
      <c r="V5684" s="3"/>
      <c r="W5684" s="3"/>
      <c r="X5684" s="3"/>
      <c r="Y5684" s="3"/>
    </row>
    <row r="5685">
      <c r="A5685" s="3"/>
      <c r="B5685" s="3"/>
      <c r="C5685" s="3"/>
      <c r="D5685" s="3"/>
      <c r="E5685" s="3"/>
      <c r="F5685" s="3"/>
      <c r="G5685" s="3"/>
      <c r="H5685" s="3"/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  <c r="T5685" s="3"/>
      <c r="U5685" s="3"/>
      <c r="V5685" s="3"/>
      <c r="W5685" s="3"/>
      <c r="X5685" s="3"/>
      <c r="Y5685" s="3"/>
    </row>
    <row r="5686">
      <c r="A5686" s="3"/>
      <c r="B5686" s="3"/>
      <c r="C5686" s="3"/>
      <c r="D5686" s="3"/>
      <c r="E5686" s="3"/>
      <c r="F5686" s="3"/>
      <c r="G5686" s="3"/>
      <c r="H5686" s="3"/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  <c r="T5686" s="3"/>
      <c r="U5686" s="3"/>
      <c r="V5686" s="3"/>
      <c r="W5686" s="3"/>
      <c r="X5686" s="3"/>
      <c r="Y5686" s="3"/>
    </row>
    <row r="5687">
      <c r="A5687" s="3"/>
      <c r="B5687" s="3"/>
      <c r="C5687" s="3"/>
      <c r="D5687" s="3"/>
      <c r="E5687" s="3"/>
      <c r="F5687" s="3"/>
      <c r="G5687" s="3"/>
      <c r="H5687" s="3"/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  <c r="T5687" s="3"/>
      <c r="U5687" s="3"/>
      <c r="V5687" s="3"/>
      <c r="W5687" s="3"/>
      <c r="X5687" s="3"/>
      <c r="Y5687" s="3"/>
    </row>
    <row r="5688">
      <c r="A5688" s="3"/>
      <c r="B5688" s="3"/>
      <c r="C5688" s="3"/>
      <c r="D5688" s="3"/>
      <c r="E5688" s="3"/>
      <c r="F5688" s="3"/>
      <c r="G5688" s="3"/>
      <c r="H5688" s="3"/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  <c r="T5688" s="3"/>
      <c r="U5688" s="3"/>
      <c r="V5688" s="3"/>
      <c r="W5688" s="3"/>
      <c r="X5688" s="3"/>
      <c r="Y5688" s="3"/>
    </row>
    <row r="5689">
      <c r="A5689" s="3"/>
      <c r="B5689" s="3"/>
      <c r="C5689" s="3"/>
      <c r="D5689" s="3"/>
      <c r="E5689" s="3"/>
      <c r="F5689" s="3"/>
      <c r="G5689" s="3"/>
      <c r="H5689" s="3"/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  <c r="T5689" s="3"/>
      <c r="U5689" s="3"/>
      <c r="V5689" s="3"/>
      <c r="W5689" s="3"/>
      <c r="X5689" s="3"/>
      <c r="Y5689" s="3"/>
    </row>
    <row r="5690">
      <c r="A5690" s="3"/>
      <c r="B5690" s="3"/>
      <c r="C5690" s="3"/>
      <c r="D5690" s="3"/>
      <c r="E5690" s="3"/>
      <c r="F5690" s="3"/>
      <c r="G5690" s="3"/>
      <c r="H5690" s="3"/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  <c r="T5690" s="3"/>
      <c r="U5690" s="3"/>
      <c r="V5690" s="3"/>
      <c r="W5690" s="3"/>
      <c r="X5690" s="3"/>
      <c r="Y5690" s="3"/>
    </row>
    <row r="5691">
      <c r="A5691" s="3"/>
      <c r="B5691" s="3"/>
      <c r="C5691" s="3"/>
      <c r="D5691" s="3"/>
      <c r="E5691" s="3"/>
      <c r="F5691" s="3"/>
      <c r="G5691" s="3"/>
      <c r="H5691" s="3"/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  <c r="T5691" s="3"/>
      <c r="U5691" s="3"/>
      <c r="V5691" s="3"/>
      <c r="W5691" s="3"/>
      <c r="X5691" s="3"/>
      <c r="Y5691" s="3"/>
    </row>
    <row r="5692">
      <c r="A5692" s="3"/>
      <c r="B5692" s="3"/>
      <c r="C5692" s="3"/>
      <c r="D5692" s="3"/>
      <c r="E5692" s="3"/>
      <c r="F5692" s="3"/>
      <c r="G5692" s="3"/>
      <c r="H5692" s="3"/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  <c r="T5692" s="3"/>
      <c r="U5692" s="3"/>
      <c r="V5692" s="3"/>
      <c r="W5692" s="3"/>
      <c r="X5692" s="3"/>
      <c r="Y5692" s="3"/>
    </row>
    <row r="5693">
      <c r="A5693" s="3"/>
      <c r="B5693" s="3"/>
      <c r="C5693" s="3"/>
      <c r="D5693" s="3"/>
      <c r="E5693" s="3"/>
      <c r="F5693" s="3"/>
      <c r="G5693" s="3"/>
      <c r="H5693" s="3"/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  <c r="T5693" s="3"/>
      <c r="U5693" s="3"/>
      <c r="V5693" s="3"/>
      <c r="W5693" s="3"/>
      <c r="X5693" s="3"/>
      <c r="Y5693" s="3"/>
    </row>
    <row r="5694">
      <c r="A5694" s="3"/>
      <c r="B5694" s="3"/>
      <c r="C5694" s="3"/>
      <c r="D5694" s="3"/>
      <c r="E5694" s="3"/>
      <c r="F5694" s="3"/>
      <c r="G5694" s="3"/>
      <c r="H5694" s="3"/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  <c r="T5694" s="3"/>
      <c r="U5694" s="3"/>
      <c r="V5694" s="3"/>
      <c r="W5694" s="3"/>
      <c r="X5694" s="3"/>
      <c r="Y5694" s="3"/>
    </row>
    <row r="5695">
      <c r="A5695" s="3"/>
      <c r="B5695" s="3"/>
      <c r="C5695" s="3"/>
      <c r="D5695" s="3"/>
      <c r="E5695" s="3"/>
      <c r="F5695" s="3"/>
      <c r="G5695" s="3"/>
      <c r="H5695" s="3"/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  <c r="T5695" s="3"/>
      <c r="U5695" s="3"/>
      <c r="V5695" s="3"/>
      <c r="W5695" s="3"/>
      <c r="X5695" s="3"/>
      <c r="Y5695" s="3"/>
    </row>
    <row r="5696">
      <c r="A5696" s="3"/>
      <c r="B5696" s="3"/>
      <c r="C5696" s="3"/>
      <c r="D5696" s="3"/>
      <c r="E5696" s="3"/>
      <c r="F5696" s="3"/>
      <c r="G5696" s="3"/>
      <c r="H5696" s="3"/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  <c r="T5696" s="3"/>
      <c r="U5696" s="3"/>
      <c r="V5696" s="3"/>
      <c r="W5696" s="3"/>
      <c r="X5696" s="3"/>
      <c r="Y5696" s="3"/>
    </row>
    <row r="5697">
      <c r="A5697" s="3"/>
      <c r="B5697" s="3"/>
      <c r="C5697" s="3"/>
      <c r="D5697" s="3"/>
      <c r="E5697" s="3"/>
      <c r="F5697" s="3"/>
      <c r="G5697" s="3"/>
      <c r="H5697" s="3"/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  <c r="T5697" s="3"/>
      <c r="U5697" s="3"/>
      <c r="V5697" s="3"/>
      <c r="W5697" s="3"/>
      <c r="X5697" s="3"/>
      <c r="Y5697" s="3"/>
    </row>
    <row r="5698">
      <c r="A5698" s="3"/>
      <c r="B5698" s="3"/>
      <c r="C5698" s="3"/>
      <c r="D5698" s="3"/>
      <c r="E5698" s="3"/>
      <c r="F5698" s="3"/>
      <c r="G5698" s="3"/>
      <c r="H5698" s="3"/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  <c r="T5698" s="3"/>
      <c r="U5698" s="3"/>
      <c r="V5698" s="3"/>
      <c r="W5698" s="3"/>
      <c r="X5698" s="3"/>
      <c r="Y5698" s="3"/>
    </row>
    <row r="5699">
      <c r="A5699" s="3"/>
      <c r="B5699" s="3"/>
      <c r="C5699" s="3"/>
      <c r="D5699" s="3"/>
      <c r="E5699" s="3"/>
      <c r="F5699" s="3"/>
      <c r="G5699" s="3"/>
      <c r="H5699" s="3"/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  <c r="T5699" s="3"/>
      <c r="U5699" s="3"/>
      <c r="V5699" s="3"/>
      <c r="W5699" s="3"/>
      <c r="X5699" s="3"/>
      <c r="Y5699" s="3"/>
    </row>
    <row r="5700">
      <c r="A5700" s="3"/>
      <c r="B5700" s="3"/>
      <c r="C5700" s="3"/>
      <c r="D5700" s="3"/>
      <c r="E5700" s="3"/>
      <c r="F5700" s="3"/>
      <c r="G5700" s="3"/>
      <c r="H5700" s="3"/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  <c r="T5700" s="3"/>
      <c r="U5700" s="3"/>
      <c r="V5700" s="3"/>
      <c r="W5700" s="3"/>
      <c r="X5700" s="3"/>
      <c r="Y5700" s="3"/>
    </row>
    <row r="5701">
      <c r="A5701" s="3"/>
      <c r="B5701" s="3"/>
      <c r="C5701" s="3"/>
      <c r="D5701" s="3"/>
      <c r="E5701" s="3"/>
      <c r="F5701" s="3"/>
      <c r="G5701" s="3"/>
      <c r="H5701" s="3"/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  <c r="T5701" s="3"/>
      <c r="U5701" s="3"/>
      <c r="V5701" s="3"/>
      <c r="W5701" s="3"/>
      <c r="X5701" s="3"/>
      <c r="Y5701" s="3"/>
    </row>
    <row r="5702">
      <c r="A5702" s="3"/>
      <c r="B5702" s="3"/>
      <c r="C5702" s="3"/>
      <c r="D5702" s="3"/>
      <c r="E5702" s="3"/>
      <c r="F5702" s="3"/>
      <c r="G5702" s="3"/>
      <c r="H5702" s="3"/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  <c r="T5702" s="3"/>
      <c r="U5702" s="3"/>
      <c r="V5702" s="3"/>
      <c r="W5702" s="3"/>
      <c r="X5702" s="3"/>
      <c r="Y5702" s="3"/>
    </row>
    <row r="5703">
      <c r="A5703" s="3"/>
      <c r="B5703" s="3"/>
      <c r="C5703" s="3"/>
      <c r="D5703" s="3"/>
      <c r="E5703" s="3"/>
      <c r="F5703" s="3"/>
      <c r="G5703" s="3"/>
      <c r="H5703" s="3"/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  <c r="T5703" s="3"/>
      <c r="U5703" s="3"/>
      <c r="V5703" s="3"/>
      <c r="W5703" s="3"/>
      <c r="X5703" s="3"/>
      <c r="Y5703" s="3"/>
    </row>
    <row r="5704">
      <c r="A5704" s="3"/>
      <c r="B5704" s="3"/>
      <c r="C5704" s="3"/>
      <c r="D5704" s="3"/>
      <c r="E5704" s="3"/>
      <c r="F5704" s="3"/>
      <c r="G5704" s="3"/>
      <c r="H5704" s="3"/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  <c r="T5704" s="3"/>
      <c r="U5704" s="3"/>
      <c r="V5704" s="3"/>
      <c r="W5704" s="3"/>
      <c r="X5704" s="3"/>
      <c r="Y5704" s="3"/>
    </row>
    <row r="5705">
      <c r="A5705" s="3"/>
      <c r="B5705" s="3"/>
      <c r="C5705" s="3"/>
      <c r="D5705" s="3"/>
      <c r="E5705" s="3"/>
      <c r="F5705" s="3"/>
      <c r="G5705" s="3"/>
      <c r="H5705" s="3"/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  <c r="T5705" s="3"/>
      <c r="U5705" s="3"/>
      <c r="V5705" s="3"/>
      <c r="W5705" s="3"/>
      <c r="X5705" s="3"/>
      <c r="Y5705" s="3"/>
    </row>
    <row r="5706">
      <c r="A5706" s="3"/>
      <c r="B5706" s="3"/>
      <c r="C5706" s="3"/>
      <c r="D5706" s="3"/>
      <c r="E5706" s="3"/>
      <c r="F5706" s="3"/>
      <c r="G5706" s="3"/>
      <c r="H5706" s="3"/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  <c r="T5706" s="3"/>
      <c r="U5706" s="3"/>
      <c r="V5706" s="3"/>
      <c r="W5706" s="3"/>
      <c r="X5706" s="3"/>
      <c r="Y5706" s="3"/>
    </row>
    <row r="5707">
      <c r="A5707" s="3"/>
      <c r="B5707" s="3"/>
      <c r="C5707" s="3"/>
      <c r="D5707" s="3"/>
      <c r="E5707" s="3"/>
      <c r="F5707" s="3"/>
      <c r="G5707" s="3"/>
      <c r="H5707" s="3"/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  <c r="T5707" s="3"/>
      <c r="U5707" s="3"/>
      <c r="V5707" s="3"/>
      <c r="W5707" s="3"/>
      <c r="X5707" s="3"/>
      <c r="Y5707" s="3"/>
    </row>
    <row r="5708">
      <c r="A5708" s="3"/>
      <c r="B5708" s="3"/>
      <c r="C5708" s="3"/>
      <c r="D5708" s="3"/>
      <c r="E5708" s="3"/>
      <c r="F5708" s="3"/>
      <c r="G5708" s="3"/>
      <c r="H5708" s="3"/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  <c r="T5708" s="3"/>
      <c r="U5708" s="3"/>
      <c r="V5708" s="3"/>
      <c r="W5708" s="3"/>
      <c r="X5708" s="3"/>
      <c r="Y5708" s="3"/>
    </row>
    <row r="5709">
      <c r="A5709" s="3"/>
      <c r="B5709" s="3"/>
      <c r="C5709" s="3"/>
      <c r="D5709" s="3"/>
      <c r="E5709" s="3"/>
      <c r="F5709" s="3"/>
      <c r="G5709" s="3"/>
      <c r="H5709" s="3"/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  <c r="T5709" s="3"/>
      <c r="U5709" s="3"/>
      <c r="V5709" s="3"/>
      <c r="W5709" s="3"/>
      <c r="X5709" s="3"/>
      <c r="Y5709" s="3"/>
    </row>
    <row r="5710">
      <c r="A5710" s="3"/>
      <c r="B5710" s="3"/>
      <c r="C5710" s="3"/>
      <c r="D5710" s="3"/>
      <c r="E5710" s="3"/>
      <c r="F5710" s="3"/>
      <c r="G5710" s="3"/>
      <c r="H5710" s="3"/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  <c r="T5710" s="3"/>
      <c r="U5710" s="3"/>
      <c r="V5710" s="3"/>
      <c r="W5710" s="3"/>
      <c r="X5710" s="3"/>
      <c r="Y5710" s="3"/>
    </row>
    <row r="5711">
      <c r="A5711" s="3"/>
      <c r="B5711" s="3"/>
      <c r="C5711" s="3"/>
      <c r="D5711" s="3"/>
      <c r="E5711" s="3"/>
      <c r="F5711" s="3"/>
      <c r="G5711" s="3"/>
      <c r="H5711" s="3"/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  <c r="T5711" s="3"/>
      <c r="U5711" s="3"/>
      <c r="V5711" s="3"/>
      <c r="W5711" s="3"/>
      <c r="X5711" s="3"/>
      <c r="Y5711" s="3"/>
    </row>
    <row r="5712">
      <c r="A5712" s="3"/>
      <c r="B5712" s="3"/>
      <c r="C5712" s="3"/>
      <c r="D5712" s="3"/>
      <c r="E5712" s="3"/>
      <c r="F5712" s="3"/>
      <c r="G5712" s="3"/>
      <c r="H5712" s="3"/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  <c r="T5712" s="3"/>
      <c r="U5712" s="3"/>
      <c r="V5712" s="3"/>
      <c r="W5712" s="3"/>
      <c r="X5712" s="3"/>
      <c r="Y5712" s="3"/>
    </row>
    <row r="5713">
      <c r="A5713" s="3"/>
      <c r="B5713" s="3"/>
      <c r="C5713" s="3"/>
      <c r="D5713" s="3"/>
      <c r="E5713" s="3"/>
      <c r="F5713" s="3"/>
      <c r="G5713" s="3"/>
      <c r="H5713" s="3"/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  <c r="T5713" s="3"/>
      <c r="U5713" s="3"/>
      <c r="V5713" s="3"/>
      <c r="W5713" s="3"/>
      <c r="X5713" s="3"/>
      <c r="Y5713" s="3"/>
    </row>
    <row r="5714">
      <c r="A5714" s="3"/>
      <c r="B5714" s="3"/>
      <c r="C5714" s="3"/>
      <c r="D5714" s="3"/>
      <c r="E5714" s="3"/>
      <c r="F5714" s="3"/>
      <c r="G5714" s="3"/>
      <c r="H5714" s="3"/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  <c r="T5714" s="3"/>
      <c r="U5714" s="3"/>
      <c r="V5714" s="3"/>
      <c r="W5714" s="3"/>
      <c r="X5714" s="3"/>
      <c r="Y5714" s="3"/>
    </row>
    <row r="5715">
      <c r="A5715" s="3"/>
      <c r="B5715" s="3"/>
      <c r="C5715" s="3"/>
      <c r="D5715" s="3"/>
      <c r="E5715" s="3"/>
      <c r="F5715" s="3"/>
      <c r="G5715" s="3"/>
      <c r="H5715" s="3"/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  <c r="T5715" s="3"/>
      <c r="U5715" s="3"/>
      <c r="V5715" s="3"/>
      <c r="W5715" s="3"/>
      <c r="X5715" s="3"/>
      <c r="Y5715" s="3"/>
    </row>
    <row r="5716">
      <c r="A5716" s="3"/>
      <c r="B5716" s="3"/>
      <c r="C5716" s="3"/>
      <c r="D5716" s="3"/>
      <c r="E5716" s="3"/>
      <c r="F5716" s="3"/>
      <c r="G5716" s="3"/>
      <c r="H5716" s="3"/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  <c r="T5716" s="3"/>
      <c r="U5716" s="3"/>
      <c r="V5716" s="3"/>
      <c r="W5716" s="3"/>
      <c r="X5716" s="3"/>
      <c r="Y5716" s="3"/>
    </row>
    <row r="5717">
      <c r="A5717" s="3"/>
      <c r="B5717" s="3"/>
      <c r="C5717" s="3"/>
      <c r="D5717" s="3"/>
      <c r="E5717" s="3"/>
      <c r="F5717" s="3"/>
      <c r="G5717" s="3"/>
      <c r="H5717" s="3"/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  <c r="T5717" s="3"/>
      <c r="U5717" s="3"/>
      <c r="V5717" s="3"/>
      <c r="W5717" s="3"/>
      <c r="X5717" s="3"/>
      <c r="Y5717" s="3"/>
    </row>
    <row r="5718">
      <c r="A5718" s="3"/>
      <c r="B5718" s="3"/>
      <c r="C5718" s="3"/>
      <c r="D5718" s="3"/>
      <c r="E5718" s="3"/>
      <c r="F5718" s="3"/>
      <c r="G5718" s="3"/>
      <c r="H5718" s="3"/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  <c r="T5718" s="3"/>
      <c r="U5718" s="3"/>
      <c r="V5718" s="3"/>
      <c r="W5718" s="3"/>
      <c r="X5718" s="3"/>
      <c r="Y5718" s="3"/>
    </row>
    <row r="5719">
      <c r="A5719" s="3"/>
      <c r="B5719" s="3"/>
      <c r="C5719" s="3"/>
      <c r="D5719" s="3"/>
      <c r="E5719" s="3"/>
      <c r="F5719" s="3"/>
      <c r="G5719" s="3"/>
      <c r="H5719" s="3"/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  <c r="T5719" s="3"/>
      <c r="U5719" s="3"/>
      <c r="V5719" s="3"/>
      <c r="W5719" s="3"/>
      <c r="X5719" s="3"/>
      <c r="Y5719" s="3"/>
    </row>
    <row r="5720">
      <c r="A5720" s="3"/>
      <c r="B5720" s="3"/>
      <c r="C5720" s="3"/>
      <c r="D5720" s="3"/>
      <c r="E5720" s="3"/>
      <c r="F5720" s="3"/>
      <c r="G5720" s="3"/>
      <c r="H5720" s="3"/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  <c r="T5720" s="3"/>
      <c r="U5720" s="3"/>
      <c r="V5720" s="3"/>
      <c r="W5720" s="3"/>
      <c r="X5720" s="3"/>
      <c r="Y5720" s="3"/>
    </row>
    <row r="5721">
      <c r="A5721" s="3"/>
      <c r="B5721" s="3"/>
      <c r="C5721" s="3"/>
      <c r="D5721" s="3"/>
      <c r="E5721" s="3"/>
      <c r="F5721" s="3"/>
      <c r="G5721" s="3"/>
      <c r="H5721" s="3"/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  <c r="T5721" s="3"/>
      <c r="U5721" s="3"/>
      <c r="V5721" s="3"/>
      <c r="W5721" s="3"/>
      <c r="X5721" s="3"/>
      <c r="Y5721" s="3"/>
    </row>
    <row r="5722">
      <c r="A5722" s="3"/>
      <c r="B5722" s="3"/>
      <c r="C5722" s="3"/>
      <c r="D5722" s="3"/>
      <c r="E5722" s="3"/>
      <c r="F5722" s="3"/>
      <c r="G5722" s="3"/>
      <c r="H5722" s="3"/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  <c r="T5722" s="3"/>
      <c r="U5722" s="3"/>
      <c r="V5722" s="3"/>
      <c r="W5722" s="3"/>
      <c r="X5722" s="3"/>
      <c r="Y5722" s="3"/>
    </row>
    <row r="5723">
      <c r="A5723" s="3"/>
      <c r="B5723" s="3"/>
      <c r="C5723" s="3"/>
      <c r="D5723" s="3"/>
      <c r="E5723" s="3"/>
      <c r="F5723" s="3"/>
      <c r="G5723" s="3"/>
      <c r="H5723" s="3"/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  <c r="T5723" s="3"/>
      <c r="U5723" s="3"/>
      <c r="V5723" s="3"/>
      <c r="W5723" s="3"/>
      <c r="X5723" s="3"/>
      <c r="Y5723" s="3"/>
    </row>
    <row r="5724">
      <c r="A5724" s="3"/>
      <c r="B5724" s="3"/>
      <c r="C5724" s="3"/>
      <c r="D5724" s="3"/>
      <c r="E5724" s="3"/>
      <c r="F5724" s="3"/>
      <c r="G5724" s="3"/>
      <c r="H5724" s="3"/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  <c r="T5724" s="3"/>
      <c r="U5724" s="3"/>
      <c r="V5724" s="3"/>
      <c r="W5724" s="3"/>
      <c r="X5724" s="3"/>
      <c r="Y5724" s="3"/>
    </row>
    <row r="5725">
      <c r="A5725" s="3"/>
      <c r="B5725" s="3"/>
      <c r="C5725" s="3"/>
      <c r="D5725" s="3"/>
      <c r="E5725" s="3"/>
      <c r="F5725" s="3"/>
      <c r="G5725" s="3"/>
      <c r="H5725" s="3"/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  <c r="T5725" s="3"/>
      <c r="U5725" s="3"/>
      <c r="V5725" s="3"/>
      <c r="W5725" s="3"/>
      <c r="X5725" s="3"/>
      <c r="Y5725" s="3"/>
    </row>
    <row r="5726">
      <c r="A5726" s="3"/>
      <c r="B5726" s="3"/>
      <c r="C5726" s="3"/>
      <c r="D5726" s="3"/>
      <c r="E5726" s="3"/>
      <c r="F5726" s="3"/>
      <c r="G5726" s="3"/>
      <c r="H5726" s="3"/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  <c r="T5726" s="3"/>
      <c r="U5726" s="3"/>
      <c r="V5726" s="3"/>
      <c r="W5726" s="3"/>
      <c r="X5726" s="3"/>
      <c r="Y5726" s="3"/>
    </row>
    <row r="5727">
      <c r="A5727" s="3"/>
      <c r="B5727" s="3"/>
      <c r="C5727" s="3"/>
      <c r="D5727" s="3"/>
      <c r="E5727" s="3"/>
      <c r="F5727" s="3"/>
      <c r="G5727" s="3"/>
      <c r="H5727" s="3"/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  <c r="T5727" s="3"/>
      <c r="U5727" s="3"/>
      <c r="V5727" s="3"/>
      <c r="W5727" s="3"/>
      <c r="X5727" s="3"/>
      <c r="Y5727" s="3"/>
    </row>
    <row r="5728">
      <c r="A5728" s="3"/>
      <c r="B5728" s="3"/>
      <c r="C5728" s="3"/>
      <c r="D5728" s="3"/>
      <c r="E5728" s="3"/>
      <c r="F5728" s="3"/>
      <c r="G5728" s="3"/>
      <c r="H5728" s="3"/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  <c r="T5728" s="3"/>
      <c r="U5728" s="3"/>
      <c r="V5728" s="3"/>
      <c r="W5728" s="3"/>
      <c r="X5728" s="3"/>
      <c r="Y5728" s="3"/>
    </row>
    <row r="5729">
      <c r="A5729" s="3"/>
      <c r="B5729" s="3"/>
      <c r="C5729" s="3"/>
      <c r="D5729" s="3"/>
      <c r="E5729" s="3"/>
      <c r="F5729" s="3"/>
      <c r="G5729" s="3"/>
      <c r="H5729" s="3"/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  <c r="T5729" s="3"/>
      <c r="U5729" s="3"/>
      <c r="V5729" s="3"/>
      <c r="W5729" s="3"/>
      <c r="X5729" s="3"/>
      <c r="Y5729" s="3"/>
    </row>
    <row r="5730">
      <c r="A5730" s="3"/>
      <c r="B5730" s="3"/>
      <c r="C5730" s="3"/>
      <c r="D5730" s="3"/>
      <c r="E5730" s="3"/>
      <c r="F5730" s="3"/>
      <c r="G5730" s="3"/>
      <c r="H5730" s="3"/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  <c r="T5730" s="3"/>
      <c r="U5730" s="3"/>
      <c r="V5730" s="3"/>
      <c r="W5730" s="3"/>
      <c r="X5730" s="3"/>
      <c r="Y5730" s="3"/>
    </row>
    <row r="5731">
      <c r="A5731" s="3"/>
      <c r="B5731" s="3"/>
      <c r="C5731" s="3"/>
      <c r="D5731" s="3"/>
      <c r="E5731" s="3"/>
      <c r="F5731" s="3"/>
      <c r="G5731" s="3"/>
      <c r="H5731" s="3"/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  <c r="T5731" s="3"/>
      <c r="U5731" s="3"/>
      <c r="V5731" s="3"/>
      <c r="W5731" s="3"/>
      <c r="X5731" s="3"/>
      <c r="Y5731" s="3"/>
    </row>
    <row r="5732">
      <c r="A5732" s="3"/>
      <c r="B5732" s="3"/>
      <c r="C5732" s="3"/>
      <c r="D5732" s="3"/>
      <c r="E5732" s="3"/>
      <c r="F5732" s="3"/>
      <c r="G5732" s="3"/>
      <c r="H5732" s="3"/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  <c r="T5732" s="3"/>
      <c r="U5732" s="3"/>
      <c r="V5732" s="3"/>
      <c r="W5732" s="3"/>
      <c r="X5732" s="3"/>
      <c r="Y5732" s="3"/>
    </row>
    <row r="5733">
      <c r="A5733" s="3"/>
      <c r="B5733" s="3"/>
      <c r="C5733" s="3"/>
      <c r="D5733" s="3"/>
      <c r="E5733" s="3"/>
      <c r="F5733" s="3"/>
      <c r="G5733" s="3"/>
      <c r="H5733" s="3"/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  <c r="T5733" s="3"/>
      <c r="U5733" s="3"/>
      <c r="V5733" s="3"/>
      <c r="W5733" s="3"/>
      <c r="X5733" s="3"/>
      <c r="Y5733" s="3"/>
    </row>
    <row r="5734">
      <c r="A5734" s="3"/>
      <c r="B5734" s="3"/>
      <c r="C5734" s="3"/>
      <c r="D5734" s="3"/>
      <c r="E5734" s="3"/>
      <c r="F5734" s="3"/>
      <c r="G5734" s="3"/>
      <c r="H5734" s="3"/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  <c r="T5734" s="3"/>
      <c r="U5734" s="3"/>
      <c r="V5734" s="3"/>
      <c r="W5734" s="3"/>
      <c r="X5734" s="3"/>
      <c r="Y5734" s="3"/>
    </row>
    <row r="5735">
      <c r="A5735" s="3"/>
      <c r="B5735" s="3"/>
      <c r="C5735" s="3"/>
      <c r="D5735" s="3"/>
      <c r="E5735" s="3"/>
      <c r="F5735" s="3"/>
      <c r="G5735" s="3"/>
      <c r="H5735" s="3"/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  <c r="T5735" s="3"/>
      <c r="U5735" s="3"/>
      <c r="V5735" s="3"/>
      <c r="W5735" s="3"/>
      <c r="X5735" s="3"/>
      <c r="Y5735" s="3"/>
    </row>
    <row r="5736">
      <c r="A5736" s="3"/>
      <c r="B5736" s="3"/>
      <c r="C5736" s="3"/>
      <c r="D5736" s="3"/>
      <c r="E5736" s="3"/>
      <c r="F5736" s="3"/>
      <c r="G5736" s="3"/>
      <c r="H5736" s="3"/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  <c r="T5736" s="3"/>
      <c r="U5736" s="3"/>
      <c r="V5736" s="3"/>
      <c r="W5736" s="3"/>
      <c r="X5736" s="3"/>
      <c r="Y5736" s="3"/>
    </row>
    <row r="5737">
      <c r="A5737" s="3"/>
      <c r="B5737" s="3"/>
      <c r="C5737" s="3"/>
      <c r="D5737" s="3"/>
      <c r="E5737" s="3"/>
      <c r="F5737" s="3"/>
      <c r="G5737" s="3"/>
      <c r="H5737" s="3"/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  <c r="T5737" s="3"/>
      <c r="U5737" s="3"/>
      <c r="V5737" s="3"/>
      <c r="W5737" s="3"/>
      <c r="X5737" s="3"/>
      <c r="Y5737" s="3"/>
    </row>
    <row r="5738">
      <c r="A5738" s="3"/>
      <c r="B5738" s="3"/>
      <c r="C5738" s="3"/>
      <c r="D5738" s="3"/>
      <c r="E5738" s="3"/>
      <c r="F5738" s="3"/>
      <c r="G5738" s="3"/>
      <c r="H5738" s="3"/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  <c r="T5738" s="3"/>
      <c r="U5738" s="3"/>
      <c r="V5738" s="3"/>
      <c r="W5738" s="3"/>
      <c r="X5738" s="3"/>
      <c r="Y5738" s="3"/>
    </row>
    <row r="5739">
      <c r="A5739" s="3"/>
      <c r="B5739" s="3"/>
      <c r="C5739" s="3"/>
      <c r="D5739" s="3"/>
      <c r="E5739" s="3"/>
      <c r="F5739" s="3"/>
      <c r="G5739" s="3"/>
      <c r="H5739" s="3"/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  <c r="T5739" s="3"/>
      <c r="U5739" s="3"/>
      <c r="V5739" s="3"/>
      <c r="W5739" s="3"/>
      <c r="X5739" s="3"/>
      <c r="Y5739" s="3"/>
    </row>
    <row r="5740">
      <c r="A5740" s="3"/>
      <c r="B5740" s="3"/>
      <c r="C5740" s="3"/>
      <c r="D5740" s="3"/>
      <c r="E5740" s="3"/>
      <c r="F5740" s="3"/>
      <c r="G5740" s="3"/>
      <c r="H5740" s="3"/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  <c r="T5740" s="3"/>
      <c r="U5740" s="3"/>
      <c r="V5740" s="3"/>
      <c r="W5740" s="3"/>
      <c r="X5740" s="3"/>
      <c r="Y5740" s="3"/>
    </row>
    <row r="5741">
      <c r="A5741" s="3"/>
      <c r="B5741" s="3"/>
      <c r="C5741" s="3"/>
      <c r="D5741" s="3"/>
      <c r="E5741" s="3"/>
      <c r="F5741" s="3"/>
      <c r="G5741" s="3"/>
      <c r="H5741" s="3"/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  <c r="T5741" s="3"/>
      <c r="U5741" s="3"/>
      <c r="V5741" s="3"/>
      <c r="W5741" s="3"/>
      <c r="X5741" s="3"/>
      <c r="Y5741" s="3"/>
    </row>
    <row r="5742">
      <c r="A5742" s="3"/>
      <c r="B5742" s="3"/>
      <c r="C5742" s="3"/>
      <c r="D5742" s="3"/>
      <c r="E5742" s="3"/>
      <c r="F5742" s="3"/>
      <c r="G5742" s="3"/>
      <c r="H5742" s="3"/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  <c r="T5742" s="3"/>
      <c r="U5742" s="3"/>
      <c r="V5742" s="3"/>
      <c r="W5742" s="3"/>
      <c r="X5742" s="3"/>
      <c r="Y5742" s="3"/>
    </row>
    <row r="5743">
      <c r="A5743" s="3"/>
      <c r="B5743" s="3"/>
      <c r="C5743" s="3"/>
      <c r="D5743" s="3"/>
      <c r="E5743" s="3"/>
      <c r="F5743" s="3"/>
      <c r="G5743" s="3"/>
      <c r="H5743" s="3"/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  <c r="T5743" s="3"/>
      <c r="U5743" s="3"/>
      <c r="V5743" s="3"/>
      <c r="W5743" s="3"/>
      <c r="X5743" s="3"/>
      <c r="Y5743" s="3"/>
    </row>
    <row r="5744">
      <c r="A5744" s="3"/>
      <c r="B5744" s="3"/>
      <c r="C5744" s="3"/>
      <c r="D5744" s="3"/>
      <c r="E5744" s="3"/>
      <c r="F5744" s="3"/>
      <c r="G5744" s="3"/>
      <c r="H5744" s="3"/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  <c r="T5744" s="3"/>
      <c r="U5744" s="3"/>
      <c r="V5744" s="3"/>
      <c r="W5744" s="3"/>
      <c r="X5744" s="3"/>
      <c r="Y5744" s="3"/>
    </row>
    <row r="5745">
      <c r="A5745" s="3"/>
      <c r="B5745" s="3"/>
      <c r="C5745" s="3"/>
      <c r="D5745" s="3"/>
      <c r="E5745" s="3"/>
      <c r="F5745" s="3"/>
      <c r="G5745" s="3"/>
      <c r="H5745" s="3"/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  <c r="T5745" s="3"/>
      <c r="U5745" s="3"/>
      <c r="V5745" s="3"/>
      <c r="W5745" s="3"/>
      <c r="X5745" s="3"/>
      <c r="Y5745" s="3"/>
    </row>
    <row r="5746">
      <c r="A5746" s="3"/>
      <c r="B5746" s="3"/>
      <c r="C5746" s="3"/>
      <c r="D5746" s="3"/>
      <c r="E5746" s="3"/>
      <c r="F5746" s="3"/>
      <c r="G5746" s="3"/>
      <c r="H5746" s="3"/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  <c r="T5746" s="3"/>
      <c r="U5746" s="3"/>
      <c r="V5746" s="3"/>
      <c r="W5746" s="3"/>
      <c r="X5746" s="3"/>
      <c r="Y5746" s="3"/>
    </row>
    <row r="5747">
      <c r="A5747" s="3"/>
      <c r="B5747" s="3"/>
      <c r="C5747" s="3"/>
      <c r="D5747" s="3"/>
      <c r="E5747" s="3"/>
      <c r="F5747" s="3"/>
      <c r="G5747" s="3"/>
      <c r="H5747" s="3"/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  <c r="T5747" s="3"/>
      <c r="U5747" s="3"/>
      <c r="V5747" s="3"/>
      <c r="W5747" s="3"/>
      <c r="X5747" s="3"/>
      <c r="Y5747" s="3"/>
    </row>
    <row r="5748">
      <c r="A5748" s="3"/>
      <c r="B5748" s="3"/>
      <c r="C5748" s="3"/>
      <c r="D5748" s="3"/>
      <c r="E5748" s="3"/>
      <c r="F5748" s="3"/>
      <c r="G5748" s="3"/>
      <c r="H5748" s="3"/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  <c r="T5748" s="3"/>
      <c r="U5748" s="3"/>
      <c r="V5748" s="3"/>
      <c r="W5748" s="3"/>
      <c r="X5748" s="3"/>
      <c r="Y5748" s="3"/>
    </row>
    <row r="5749">
      <c r="A5749" s="3"/>
      <c r="B5749" s="3"/>
      <c r="C5749" s="3"/>
      <c r="D5749" s="3"/>
      <c r="E5749" s="3"/>
      <c r="F5749" s="3"/>
      <c r="G5749" s="3"/>
      <c r="H5749" s="3"/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  <c r="T5749" s="3"/>
      <c r="U5749" s="3"/>
      <c r="V5749" s="3"/>
      <c r="W5749" s="3"/>
      <c r="X5749" s="3"/>
      <c r="Y5749" s="3"/>
    </row>
    <row r="5750">
      <c r="A5750" s="3"/>
      <c r="B5750" s="3"/>
      <c r="C5750" s="3"/>
      <c r="D5750" s="3"/>
      <c r="E5750" s="3"/>
      <c r="F5750" s="3"/>
      <c r="G5750" s="3"/>
      <c r="H5750" s="3"/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  <c r="T5750" s="3"/>
      <c r="U5750" s="3"/>
      <c r="V5750" s="3"/>
      <c r="W5750" s="3"/>
      <c r="X5750" s="3"/>
      <c r="Y5750" s="3"/>
    </row>
    <row r="5751">
      <c r="A5751" s="3"/>
      <c r="B5751" s="3"/>
      <c r="C5751" s="3"/>
      <c r="D5751" s="3"/>
      <c r="E5751" s="3"/>
      <c r="F5751" s="3"/>
      <c r="G5751" s="3"/>
      <c r="H5751" s="3"/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  <c r="T5751" s="3"/>
      <c r="U5751" s="3"/>
      <c r="V5751" s="3"/>
      <c r="W5751" s="3"/>
      <c r="X5751" s="3"/>
      <c r="Y5751" s="3"/>
    </row>
    <row r="5752">
      <c r="A5752" s="3"/>
      <c r="B5752" s="3"/>
      <c r="C5752" s="3"/>
      <c r="D5752" s="3"/>
      <c r="E5752" s="3"/>
      <c r="F5752" s="3"/>
      <c r="G5752" s="3"/>
      <c r="H5752" s="3"/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  <c r="T5752" s="3"/>
      <c r="U5752" s="3"/>
      <c r="V5752" s="3"/>
      <c r="W5752" s="3"/>
      <c r="X5752" s="3"/>
      <c r="Y5752" s="3"/>
    </row>
    <row r="5753">
      <c r="A5753" s="3"/>
      <c r="B5753" s="3"/>
      <c r="C5753" s="3"/>
      <c r="D5753" s="3"/>
      <c r="E5753" s="3"/>
      <c r="F5753" s="3"/>
      <c r="G5753" s="3"/>
      <c r="H5753" s="3"/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  <c r="T5753" s="3"/>
      <c r="U5753" s="3"/>
      <c r="V5753" s="3"/>
      <c r="W5753" s="3"/>
      <c r="X5753" s="3"/>
      <c r="Y5753" s="3"/>
    </row>
    <row r="5754">
      <c r="A5754" s="3"/>
      <c r="B5754" s="3"/>
      <c r="C5754" s="3"/>
      <c r="D5754" s="3"/>
      <c r="E5754" s="3"/>
      <c r="F5754" s="3"/>
      <c r="G5754" s="3"/>
      <c r="H5754" s="3"/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  <c r="T5754" s="3"/>
      <c r="U5754" s="3"/>
      <c r="V5754" s="3"/>
      <c r="W5754" s="3"/>
      <c r="X5754" s="3"/>
      <c r="Y5754" s="3"/>
    </row>
    <row r="5755">
      <c r="A5755" s="3"/>
      <c r="B5755" s="3"/>
      <c r="C5755" s="3"/>
      <c r="D5755" s="3"/>
      <c r="E5755" s="3"/>
      <c r="F5755" s="3"/>
      <c r="G5755" s="3"/>
      <c r="H5755" s="3"/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  <c r="T5755" s="3"/>
      <c r="U5755" s="3"/>
      <c r="V5755" s="3"/>
      <c r="W5755" s="3"/>
      <c r="X5755" s="3"/>
      <c r="Y5755" s="3"/>
    </row>
    <row r="5756">
      <c r="A5756" s="3"/>
      <c r="B5756" s="3"/>
      <c r="C5756" s="3"/>
      <c r="D5756" s="3"/>
      <c r="E5756" s="3"/>
      <c r="F5756" s="3"/>
      <c r="G5756" s="3"/>
      <c r="H5756" s="3"/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  <c r="T5756" s="3"/>
      <c r="U5756" s="3"/>
      <c r="V5756" s="3"/>
      <c r="W5756" s="3"/>
      <c r="X5756" s="3"/>
      <c r="Y5756" s="3"/>
    </row>
    <row r="5757">
      <c r="A5757" s="3"/>
      <c r="B5757" s="3"/>
      <c r="C5757" s="3"/>
      <c r="D5757" s="3"/>
      <c r="E5757" s="3"/>
      <c r="F5757" s="3"/>
      <c r="G5757" s="3"/>
      <c r="H5757" s="3"/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  <c r="T5757" s="3"/>
      <c r="U5757" s="3"/>
      <c r="V5757" s="3"/>
      <c r="W5757" s="3"/>
      <c r="X5757" s="3"/>
      <c r="Y5757" s="3"/>
    </row>
    <row r="5758">
      <c r="A5758" s="3"/>
      <c r="B5758" s="3"/>
      <c r="C5758" s="3"/>
      <c r="D5758" s="3"/>
      <c r="E5758" s="3"/>
      <c r="F5758" s="3"/>
      <c r="G5758" s="3"/>
      <c r="H5758" s="3"/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  <c r="T5758" s="3"/>
      <c r="U5758" s="3"/>
      <c r="V5758" s="3"/>
      <c r="W5758" s="3"/>
      <c r="X5758" s="3"/>
      <c r="Y5758" s="3"/>
    </row>
    <row r="5759">
      <c r="A5759" s="3"/>
      <c r="B5759" s="3"/>
      <c r="C5759" s="3"/>
      <c r="D5759" s="3"/>
      <c r="E5759" s="3"/>
      <c r="F5759" s="3"/>
      <c r="G5759" s="3"/>
      <c r="H5759" s="3"/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  <c r="T5759" s="3"/>
      <c r="U5759" s="3"/>
      <c r="V5759" s="3"/>
      <c r="W5759" s="3"/>
      <c r="X5759" s="3"/>
      <c r="Y5759" s="3"/>
    </row>
    <row r="5760">
      <c r="A5760" s="3"/>
      <c r="B5760" s="3"/>
      <c r="C5760" s="3"/>
      <c r="D5760" s="3"/>
      <c r="E5760" s="3"/>
      <c r="F5760" s="3"/>
      <c r="G5760" s="3"/>
      <c r="H5760" s="3"/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  <c r="T5760" s="3"/>
      <c r="U5760" s="3"/>
      <c r="V5760" s="3"/>
      <c r="W5760" s="3"/>
      <c r="X5760" s="3"/>
      <c r="Y5760" s="3"/>
    </row>
    <row r="5761">
      <c r="A5761" s="3"/>
      <c r="B5761" s="3"/>
      <c r="C5761" s="3"/>
      <c r="D5761" s="3"/>
      <c r="E5761" s="3"/>
      <c r="F5761" s="3"/>
      <c r="G5761" s="3"/>
      <c r="H5761" s="3"/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  <c r="T5761" s="3"/>
      <c r="U5761" s="3"/>
      <c r="V5761" s="3"/>
      <c r="W5761" s="3"/>
      <c r="X5761" s="3"/>
      <c r="Y5761" s="3"/>
    </row>
    <row r="5762">
      <c r="A5762" s="3"/>
      <c r="B5762" s="3"/>
      <c r="C5762" s="3"/>
      <c r="D5762" s="3"/>
      <c r="E5762" s="3"/>
      <c r="F5762" s="3"/>
      <c r="G5762" s="3"/>
      <c r="H5762" s="3"/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  <c r="T5762" s="3"/>
      <c r="U5762" s="3"/>
      <c r="V5762" s="3"/>
      <c r="W5762" s="3"/>
      <c r="X5762" s="3"/>
      <c r="Y5762" s="3"/>
    </row>
    <row r="5763">
      <c r="A5763" s="3"/>
      <c r="B5763" s="3"/>
      <c r="C5763" s="3"/>
      <c r="D5763" s="3"/>
      <c r="E5763" s="3"/>
      <c r="F5763" s="3"/>
      <c r="G5763" s="3"/>
      <c r="H5763" s="3"/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  <c r="T5763" s="3"/>
      <c r="U5763" s="3"/>
      <c r="V5763" s="3"/>
      <c r="W5763" s="3"/>
      <c r="X5763" s="3"/>
      <c r="Y5763" s="3"/>
    </row>
    <row r="5764">
      <c r="A5764" s="3"/>
      <c r="B5764" s="3"/>
      <c r="C5764" s="3"/>
      <c r="D5764" s="3"/>
      <c r="E5764" s="3"/>
      <c r="F5764" s="3"/>
      <c r="G5764" s="3"/>
      <c r="H5764" s="3"/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  <c r="T5764" s="3"/>
      <c r="U5764" s="3"/>
      <c r="V5764" s="3"/>
      <c r="W5764" s="3"/>
      <c r="X5764" s="3"/>
      <c r="Y5764" s="3"/>
    </row>
    <row r="5765">
      <c r="A5765" s="3"/>
      <c r="B5765" s="3"/>
      <c r="C5765" s="3"/>
      <c r="D5765" s="3"/>
      <c r="E5765" s="3"/>
      <c r="F5765" s="3"/>
      <c r="G5765" s="3"/>
      <c r="H5765" s="3"/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  <c r="T5765" s="3"/>
      <c r="U5765" s="3"/>
      <c r="V5765" s="3"/>
      <c r="W5765" s="3"/>
      <c r="X5765" s="3"/>
      <c r="Y5765" s="3"/>
    </row>
    <row r="5766">
      <c r="A5766" s="3"/>
      <c r="B5766" s="3"/>
      <c r="C5766" s="3"/>
      <c r="D5766" s="3"/>
      <c r="E5766" s="3"/>
      <c r="F5766" s="3"/>
      <c r="G5766" s="3"/>
      <c r="H5766" s="3"/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  <c r="T5766" s="3"/>
      <c r="U5766" s="3"/>
      <c r="V5766" s="3"/>
      <c r="W5766" s="3"/>
      <c r="X5766" s="3"/>
      <c r="Y5766" s="3"/>
    </row>
    <row r="5767">
      <c r="A5767" s="3"/>
      <c r="B5767" s="3"/>
      <c r="C5767" s="3"/>
      <c r="D5767" s="3"/>
      <c r="E5767" s="3"/>
      <c r="F5767" s="3"/>
      <c r="G5767" s="3"/>
      <c r="H5767" s="3"/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  <c r="T5767" s="3"/>
      <c r="U5767" s="3"/>
      <c r="V5767" s="3"/>
      <c r="W5767" s="3"/>
      <c r="X5767" s="3"/>
      <c r="Y5767" s="3"/>
    </row>
    <row r="5768">
      <c r="A5768" s="3"/>
      <c r="B5768" s="3"/>
      <c r="C5768" s="3"/>
      <c r="D5768" s="3"/>
      <c r="E5768" s="3"/>
      <c r="F5768" s="3"/>
      <c r="G5768" s="3"/>
      <c r="H5768" s="3"/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  <c r="T5768" s="3"/>
      <c r="U5768" s="3"/>
      <c r="V5768" s="3"/>
      <c r="W5768" s="3"/>
      <c r="X5768" s="3"/>
      <c r="Y5768" s="3"/>
    </row>
    <row r="5769">
      <c r="A5769" s="3"/>
      <c r="B5769" s="3"/>
      <c r="C5769" s="3"/>
      <c r="D5769" s="3"/>
      <c r="E5769" s="3"/>
      <c r="F5769" s="3"/>
      <c r="G5769" s="3"/>
      <c r="H5769" s="3"/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  <c r="T5769" s="3"/>
      <c r="U5769" s="3"/>
      <c r="V5769" s="3"/>
      <c r="W5769" s="3"/>
      <c r="X5769" s="3"/>
      <c r="Y5769" s="3"/>
    </row>
    <row r="5770">
      <c r="A5770" s="3"/>
      <c r="B5770" s="3"/>
      <c r="C5770" s="3"/>
      <c r="D5770" s="3"/>
      <c r="E5770" s="3"/>
      <c r="F5770" s="3"/>
      <c r="G5770" s="3"/>
      <c r="H5770" s="3"/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  <c r="T5770" s="3"/>
      <c r="U5770" s="3"/>
      <c r="V5770" s="3"/>
      <c r="W5770" s="3"/>
      <c r="X5770" s="3"/>
      <c r="Y5770" s="3"/>
    </row>
    <row r="5771">
      <c r="A5771" s="3"/>
      <c r="B5771" s="3"/>
      <c r="C5771" s="3"/>
      <c r="D5771" s="3"/>
      <c r="E5771" s="3"/>
      <c r="F5771" s="3"/>
      <c r="G5771" s="3"/>
      <c r="H5771" s="3"/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  <c r="T5771" s="3"/>
      <c r="U5771" s="3"/>
      <c r="V5771" s="3"/>
      <c r="W5771" s="3"/>
      <c r="X5771" s="3"/>
      <c r="Y5771" s="3"/>
    </row>
    <row r="5772">
      <c r="A5772" s="3"/>
      <c r="B5772" s="3"/>
      <c r="C5772" s="3"/>
      <c r="D5772" s="3"/>
      <c r="E5772" s="3"/>
      <c r="F5772" s="3"/>
      <c r="G5772" s="3"/>
      <c r="H5772" s="3"/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  <c r="T5772" s="3"/>
      <c r="U5772" s="3"/>
      <c r="V5772" s="3"/>
      <c r="W5772" s="3"/>
      <c r="X5772" s="3"/>
      <c r="Y5772" s="3"/>
    </row>
    <row r="5773">
      <c r="A5773" s="3"/>
      <c r="B5773" s="3"/>
      <c r="C5773" s="3"/>
      <c r="D5773" s="3"/>
      <c r="E5773" s="3"/>
      <c r="F5773" s="3"/>
      <c r="G5773" s="3"/>
      <c r="H5773" s="3"/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  <c r="T5773" s="3"/>
      <c r="U5773" s="3"/>
      <c r="V5773" s="3"/>
      <c r="W5773" s="3"/>
      <c r="X5773" s="3"/>
      <c r="Y5773" s="3"/>
    </row>
    <row r="5774">
      <c r="A5774" s="3"/>
      <c r="B5774" s="3"/>
      <c r="C5774" s="3"/>
      <c r="D5774" s="3"/>
      <c r="E5774" s="3"/>
      <c r="F5774" s="3"/>
      <c r="G5774" s="3"/>
      <c r="H5774" s="3"/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  <c r="T5774" s="3"/>
      <c r="U5774" s="3"/>
      <c r="V5774" s="3"/>
      <c r="W5774" s="3"/>
      <c r="X5774" s="3"/>
      <c r="Y5774" s="3"/>
    </row>
    <row r="5775">
      <c r="A5775" s="3"/>
      <c r="B5775" s="3"/>
      <c r="C5775" s="3"/>
      <c r="D5775" s="3"/>
      <c r="E5775" s="3"/>
      <c r="F5775" s="3"/>
      <c r="G5775" s="3"/>
      <c r="H5775" s="3"/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  <c r="T5775" s="3"/>
      <c r="U5775" s="3"/>
      <c r="V5775" s="3"/>
      <c r="W5775" s="3"/>
      <c r="X5775" s="3"/>
      <c r="Y5775" s="3"/>
    </row>
    <row r="5776">
      <c r="A5776" s="3"/>
      <c r="B5776" s="3"/>
      <c r="C5776" s="3"/>
      <c r="D5776" s="3"/>
      <c r="E5776" s="3"/>
      <c r="F5776" s="3"/>
      <c r="G5776" s="3"/>
      <c r="H5776" s="3"/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  <c r="T5776" s="3"/>
      <c r="U5776" s="3"/>
      <c r="V5776" s="3"/>
      <c r="W5776" s="3"/>
      <c r="X5776" s="3"/>
      <c r="Y5776" s="3"/>
    </row>
    <row r="5777">
      <c r="A5777" s="3"/>
      <c r="B5777" s="3"/>
      <c r="C5777" s="3"/>
      <c r="D5777" s="3"/>
      <c r="E5777" s="3"/>
      <c r="F5777" s="3"/>
      <c r="G5777" s="3"/>
      <c r="H5777" s="3"/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  <c r="T5777" s="3"/>
      <c r="U5777" s="3"/>
      <c r="V5777" s="3"/>
      <c r="W5777" s="3"/>
      <c r="X5777" s="3"/>
      <c r="Y5777" s="3"/>
    </row>
    <row r="5778">
      <c r="A5778" s="3"/>
      <c r="B5778" s="3"/>
      <c r="C5778" s="3"/>
      <c r="D5778" s="3"/>
      <c r="E5778" s="3"/>
      <c r="F5778" s="3"/>
      <c r="G5778" s="3"/>
      <c r="H5778" s="3"/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  <c r="T5778" s="3"/>
      <c r="U5778" s="3"/>
      <c r="V5778" s="3"/>
      <c r="W5778" s="3"/>
      <c r="X5778" s="3"/>
      <c r="Y5778" s="3"/>
    </row>
    <row r="5779">
      <c r="A5779" s="3"/>
      <c r="B5779" s="3"/>
      <c r="C5779" s="3"/>
      <c r="D5779" s="3"/>
      <c r="E5779" s="3"/>
      <c r="F5779" s="3"/>
      <c r="G5779" s="3"/>
      <c r="H5779" s="3"/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  <c r="T5779" s="3"/>
      <c r="U5779" s="3"/>
      <c r="V5779" s="3"/>
      <c r="W5779" s="3"/>
      <c r="X5779" s="3"/>
      <c r="Y5779" s="3"/>
    </row>
    <row r="5780">
      <c r="A5780" s="3"/>
      <c r="B5780" s="3"/>
      <c r="C5780" s="3"/>
      <c r="D5780" s="3"/>
      <c r="E5780" s="3"/>
      <c r="F5780" s="3"/>
      <c r="G5780" s="3"/>
      <c r="H5780" s="3"/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  <c r="T5780" s="3"/>
      <c r="U5780" s="3"/>
      <c r="V5780" s="3"/>
      <c r="W5780" s="3"/>
      <c r="X5780" s="3"/>
      <c r="Y5780" s="3"/>
    </row>
    <row r="5781">
      <c r="A5781" s="3"/>
      <c r="B5781" s="3"/>
      <c r="C5781" s="3"/>
      <c r="D5781" s="3"/>
      <c r="E5781" s="3"/>
      <c r="F5781" s="3"/>
      <c r="G5781" s="3"/>
      <c r="H5781" s="3"/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  <c r="T5781" s="3"/>
      <c r="U5781" s="3"/>
      <c r="V5781" s="3"/>
      <c r="W5781" s="3"/>
      <c r="X5781" s="3"/>
      <c r="Y5781" s="3"/>
    </row>
    <row r="5782">
      <c r="A5782" s="3"/>
      <c r="B5782" s="3"/>
      <c r="C5782" s="3"/>
      <c r="D5782" s="3"/>
      <c r="E5782" s="3"/>
      <c r="F5782" s="3"/>
      <c r="G5782" s="3"/>
      <c r="H5782" s="3"/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  <c r="T5782" s="3"/>
      <c r="U5782" s="3"/>
      <c r="V5782" s="3"/>
      <c r="W5782" s="3"/>
      <c r="X5782" s="3"/>
      <c r="Y5782" s="3"/>
    </row>
    <row r="5783">
      <c r="A5783" s="3"/>
      <c r="B5783" s="3"/>
      <c r="C5783" s="3"/>
      <c r="D5783" s="3"/>
      <c r="E5783" s="3"/>
      <c r="F5783" s="3"/>
      <c r="G5783" s="3"/>
      <c r="H5783" s="3"/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  <c r="T5783" s="3"/>
      <c r="U5783" s="3"/>
      <c r="V5783" s="3"/>
      <c r="W5783" s="3"/>
      <c r="X5783" s="3"/>
      <c r="Y5783" s="3"/>
    </row>
    <row r="5784">
      <c r="A5784" s="3"/>
      <c r="B5784" s="3"/>
      <c r="C5784" s="3"/>
      <c r="D5784" s="3"/>
      <c r="E5784" s="3"/>
      <c r="F5784" s="3"/>
      <c r="G5784" s="3"/>
      <c r="H5784" s="3"/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  <c r="T5784" s="3"/>
      <c r="U5784" s="3"/>
      <c r="V5784" s="3"/>
      <c r="W5784" s="3"/>
      <c r="X5784" s="3"/>
      <c r="Y5784" s="3"/>
    </row>
    <row r="5785">
      <c r="A5785" s="3"/>
      <c r="B5785" s="3"/>
      <c r="C5785" s="3"/>
      <c r="D5785" s="3"/>
      <c r="E5785" s="3"/>
      <c r="F5785" s="3"/>
      <c r="G5785" s="3"/>
      <c r="H5785" s="3"/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  <c r="T5785" s="3"/>
      <c r="U5785" s="3"/>
      <c r="V5785" s="3"/>
      <c r="W5785" s="3"/>
      <c r="X5785" s="3"/>
      <c r="Y5785" s="3"/>
    </row>
    <row r="5786">
      <c r="A5786" s="3"/>
      <c r="B5786" s="3"/>
      <c r="C5786" s="3"/>
      <c r="D5786" s="3"/>
      <c r="E5786" s="3"/>
      <c r="F5786" s="3"/>
      <c r="G5786" s="3"/>
      <c r="H5786" s="3"/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  <c r="T5786" s="3"/>
      <c r="U5786" s="3"/>
      <c r="V5786" s="3"/>
      <c r="W5786" s="3"/>
      <c r="X5786" s="3"/>
      <c r="Y5786" s="3"/>
    </row>
    <row r="5787">
      <c r="A5787" s="3"/>
      <c r="B5787" s="3"/>
      <c r="C5787" s="3"/>
      <c r="D5787" s="3"/>
      <c r="E5787" s="3"/>
      <c r="F5787" s="3"/>
      <c r="G5787" s="3"/>
      <c r="H5787" s="3"/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  <c r="T5787" s="3"/>
      <c r="U5787" s="3"/>
      <c r="V5787" s="3"/>
      <c r="W5787" s="3"/>
      <c r="X5787" s="3"/>
      <c r="Y5787" s="3"/>
    </row>
    <row r="5788">
      <c r="A5788" s="3"/>
      <c r="B5788" s="3"/>
      <c r="C5788" s="3"/>
      <c r="D5788" s="3"/>
      <c r="E5788" s="3"/>
      <c r="F5788" s="3"/>
      <c r="G5788" s="3"/>
      <c r="H5788" s="3"/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  <c r="T5788" s="3"/>
      <c r="U5788" s="3"/>
      <c r="V5788" s="3"/>
      <c r="W5788" s="3"/>
      <c r="X5788" s="3"/>
      <c r="Y5788" s="3"/>
    </row>
    <row r="5789">
      <c r="A5789" s="3"/>
      <c r="B5789" s="3"/>
      <c r="C5789" s="3"/>
      <c r="D5789" s="3"/>
      <c r="E5789" s="3"/>
      <c r="F5789" s="3"/>
      <c r="G5789" s="3"/>
      <c r="H5789" s="3"/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  <c r="T5789" s="3"/>
      <c r="U5789" s="3"/>
      <c r="V5789" s="3"/>
      <c r="W5789" s="3"/>
      <c r="X5789" s="3"/>
      <c r="Y5789" s="3"/>
    </row>
    <row r="5790">
      <c r="A5790" s="3"/>
      <c r="B5790" s="3"/>
      <c r="C5790" s="3"/>
      <c r="D5790" s="3"/>
      <c r="E5790" s="3"/>
      <c r="F5790" s="3"/>
      <c r="G5790" s="3"/>
      <c r="H5790" s="3"/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  <c r="T5790" s="3"/>
      <c r="U5790" s="3"/>
      <c r="V5790" s="3"/>
      <c r="W5790" s="3"/>
      <c r="X5790" s="3"/>
      <c r="Y5790" s="3"/>
    </row>
    <row r="5791">
      <c r="A5791" s="3"/>
      <c r="B5791" s="3"/>
      <c r="C5791" s="3"/>
      <c r="D5791" s="3"/>
      <c r="E5791" s="3"/>
      <c r="F5791" s="3"/>
      <c r="G5791" s="3"/>
      <c r="H5791" s="3"/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  <c r="T5791" s="3"/>
      <c r="U5791" s="3"/>
      <c r="V5791" s="3"/>
      <c r="W5791" s="3"/>
      <c r="X5791" s="3"/>
      <c r="Y5791" s="3"/>
    </row>
    <row r="5792">
      <c r="A5792" s="3"/>
      <c r="B5792" s="3"/>
      <c r="C5792" s="3"/>
      <c r="D5792" s="3"/>
      <c r="E5792" s="3"/>
      <c r="F5792" s="3"/>
      <c r="G5792" s="3"/>
      <c r="H5792" s="3"/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  <c r="T5792" s="3"/>
      <c r="U5792" s="3"/>
      <c r="V5792" s="3"/>
      <c r="W5792" s="3"/>
      <c r="X5792" s="3"/>
      <c r="Y5792" s="3"/>
    </row>
    <row r="5793">
      <c r="A5793" s="3"/>
      <c r="B5793" s="3"/>
      <c r="C5793" s="3"/>
      <c r="D5793" s="3"/>
      <c r="E5793" s="3"/>
      <c r="F5793" s="3"/>
      <c r="G5793" s="3"/>
      <c r="H5793" s="3"/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  <c r="T5793" s="3"/>
      <c r="U5793" s="3"/>
      <c r="V5793" s="3"/>
      <c r="W5793" s="3"/>
      <c r="X5793" s="3"/>
      <c r="Y5793" s="3"/>
    </row>
    <row r="5794">
      <c r="A5794" s="3"/>
      <c r="B5794" s="3"/>
      <c r="C5794" s="3"/>
      <c r="D5794" s="3"/>
      <c r="E5794" s="3"/>
      <c r="F5794" s="3"/>
      <c r="G5794" s="3"/>
      <c r="H5794" s="3"/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  <c r="T5794" s="3"/>
      <c r="U5794" s="3"/>
      <c r="V5794" s="3"/>
      <c r="W5794" s="3"/>
      <c r="X5794" s="3"/>
      <c r="Y5794" s="3"/>
    </row>
    <row r="5795">
      <c r="A5795" s="3"/>
      <c r="B5795" s="3"/>
      <c r="C5795" s="3"/>
      <c r="D5795" s="3"/>
      <c r="E5795" s="3"/>
      <c r="F5795" s="3"/>
      <c r="G5795" s="3"/>
      <c r="H5795" s="3"/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  <c r="T5795" s="3"/>
      <c r="U5795" s="3"/>
      <c r="V5795" s="3"/>
      <c r="W5795" s="3"/>
      <c r="X5795" s="3"/>
      <c r="Y5795" s="3"/>
    </row>
    <row r="5796">
      <c r="A5796" s="3"/>
      <c r="B5796" s="3"/>
      <c r="C5796" s="3"/>
      <c r="D5796" s="3"/>
      <c r="E5796" s="3"/>
      <c r="F5796" s="3"/>
      <c r="G5796" s="3"/>
      <c r="H5796" s="3"/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  <c r="T5796" s="3"/>
      <c r="U5796" s="3"/>
      <c r="V5796" s="3"/>
      <c r="W5796" s="3"/>
      <c r="X5796" s="3"/>
      <c r="Y5796" s="3"/>
    </row>
    <row r="5797">
      <c r="A5797" s="3"/>
      <c r="B5797" s="3"/>
      <c r="C5797" s="3"/>
      <c r="D5797" s="3"/>
      <c r="E5797" s="3"/>
      <c r="F5797" s="3"/>
      <c r="G5797" s="3"/>
      <c r="H5797" s="3"/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  <c r="T5797" s="3"/>
      <c r="U5797" s="3"/>
      <c r="V5797" s="3"/>
      <c r="W5797" s="3"/>
      <c r="X5797" s="3"/>
      <c r="Y5797" s="3"/>
    </row>
    <row r="5798">
      <c r="A5798" s="3"/>
      <c r="B5798" s="3"/>
      <c r="C5798" s="3"/>
      <c r="D5798" s="3"/>
      <c r="E5798" s="3"/>
      <c r="F5798" s="3"/>
      <c r="G5798" s="3"/>
      <c r="H5798" s="3"/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  <c r="T5798" s="3"/>
      <c r="U5798" s="3"/>
      <c r="V5798" s="3"/>
      <c r="W5798" s="3"/>
      <c r="X5798" s="3"/>
      <c r="Y5798" s="3"/>
    </row>
    <row r="5799">
      <c r="A5799" s="3"/>
      <c r="B5799" s="3"/>
      <c r="C5799" s="3"/>
      <c r="D5799" s="3"/>
      <c r="E5799" s="3"/>
      <c r="F5799" s="3"/>
      <c r="G5799" s="3"/>
      <c r="H5799" s="3"/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  <c r="T5799" s="3"/>
      <c r="U5799" s="3"/>
      <c r="V5799" s="3"/>
      <c r="W5799" s="3"/>
      <c r="X5799" s="3"/>
      <c r="Y5799" s="3"/>
    </row>
    <row r="5800">
      <c r="A5800" s="3"/>
      <c r="B5800" s="3"/>
      <c r="C5800" s="3"/>
      <c r="D5800" s="3"/>
      <c r="E5800" s="3"/>
      <c r="F5800" s="3"/>
      <c r="G5800" s="3"/>
      <c r="H5800" s="3"/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  <c r="T5800" s="3"/>
      <c r="U5800" s="3"/>
      <c r="V5800" s="3"/>
      <c r="W5800" s="3"/>
      <c r="X5800" s="3"/>
      <c r="Y5800" s="3"/>
    </row>
    <row r="5801">
      <c r="A5801" s="3"/>
      <c r="B5801" s="3"/>
      <c r="C5801" s="3"/>
      <c r="D5801" s="3"/>
      <c r="E5801" s="3"/>
      <c r="F5801" s="3"/>
      <c r="G5801" s="3"/>
      <c r="H5801" s="3"/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  <c r="T5801" s="3"/>
      <c r="U5801" s="3"/>
      <c r="V5801" s="3"/>
      <c r="W5801" s="3"/>
      <c r="X5801" s="3"/>
      <c r="Y5801" s="3"/>
    </row>
    <row r="5802">
      <c r="A5802" s="3"/>
      <c r="B5802" s="3"/>
      <c r="C5802" s="3"/>
      <c r="D5802" s="3"/>
      <c r="E5802" s="3"/>
      <c r="F5802" s="3"/>
      <c r="G5802" s="3"/>
      <c r="H5802" s="3"/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  <c r="T5802" s="3"/>
      <c r="U5802" s="3"/>
      <c r="V5802" s="3"/>
      <c r="W5802" s="3"/>
      <c r="X5802" s="3"/>
      <c r="Y5802" s="3"/>
    </row>
    <row r="5803">
      <c r="A5803" s="3"/>
      <c r="B5803" s="3"/>
      <c r="C5803" s="3"/>
      <c r="D5803" s="3"/>
      <c r="E5803" s="3"/>
      <c r="F5803" s="3"/>
      <c r="G5803" s="3"/>
      <c r="H5803" s="3"/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  <c r="T5803" s="3"/>
      <c r="U5803" s="3"/>
      <c r="V5803" s="3"/>
      <c r="W5803" s="3"/>
      <c r="X5803" s="3"/>
      <c r="Y5803" s="3"/>
    </row>
    <row r="5804">
      <c r="A5804" s="3"/>
      <c r="B5804" s="3"/>
      <c r="C5804" s="3"/>
      <c r="D5804" s="3"/>
      <c r="E5804" s="3"/>
      <c r="F5804" s="3"/>
      <c r="G5804" s="3"/>
      <c r="H5804" s="3"/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  <c r="T5804" s="3"/>
      <c r="U5804" s="3"/>
      <c r="V5804" s="3"/>
      <c r="W5804" s="3"/>
      <c r="X5804" s="3"/>
      <c r="Y5804" s="3"/>
    </row>
    <row r="5805">
      <c r="A5805" s="3"/>
      <c r="B5805" s="3"/>
      <c r="C5805" s="3"/>
      <c r="D5805" s="3"/>
      <c r="E5805" s="3"/>
      <c r="F5805" s="3"/>
      <c r="G5805" s="3"/>
      <c r="H5805" s="3"/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  <c r="T5805" s="3"/>
      <c r="U5805" s="3"/>
      <c r="V5805" s="3"/>
      <c r="W5805" s="3"/>
      <c r="X5805" s="3"/>
      <c r="Y5805" s="3"/>
    </row>
    <row r="5806">
      <c r="A5806" s="3"/>
      <c r="B5806" s="3"/>
      <c r="C5806" s="3"/>
      <c r="D5806" s="3"/>
      <c r="E5806" s="3"/>
      <c r="F5806" s="3"/>
      <c r="G5806" s="3"/>
      <c r="H5806" s="3"/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  <c r="T5806" s="3"/>
      <c r="U5806" s="3"/>
      <c r="V5806" s="3"/>
      <c r="W5806" s="3"/>
      <c r="X5806" s="3"/>
      <c r="Y5806" s="3"/>
    </row>
    <row r="5807">
      <c r="A5807" s="3"/>
      <c r="B5807" s="3"/>
      <c r="C5807" s="3"/>
      <c r="D5807" s="3"/>
      <c r="E5807" s="3"/>
      <c r="F5807" s="3"/>
      <c r="G5807" s="3"/>
      <c r="H5807" s="3"/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  <c r="T5807" s="3"/>
      <c r="U5807" s="3"/>
      <c r="V5807" s="3"/>
      <c r="W5807" s="3"/>
      <c r="X5807" s="3"/>
      <c r="Y5807" s="3"/>
    </row>
    <row r="5808">
      <c r="A5808" s="3"/>
      <c r="B5808" s="3"/>
      <c r="C5808" s="3"/>
      <c r="D5808" s="3"/>
      <c r="E5808" s="3"/>
      <c r="F5808" s="3"/>
      <c r="G5808" s="3"/>
      <c r="H5808" s="3"/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  <c r="T5808" s="3"/>
      <c r="U5808" s="3"/>
      <c r="V5808" s="3"/>
      <c r="W5808" s="3"/>
      <c r="X5808" s="3"/>
      <c r="Y5808" s="3"/>
    </row>
    <row r="5809">
      <c r="A5809" s="3"/>
      <c r="B5809" s="3"/>
      <c r="C5809" s="3"/>
      <c r="D5809" s="3"/>
      <c r="E5809" s="3"/>
      <c r="F5809" s="3"/>
      <c r="G5809" s="3"/>
      <c r="H5809" s="3"/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  <c r="T5809" s="3"/>
      <c r="U5809" s="3"/>
      <c r="V5809" s="3"/>
      <c r="W5809" s="3"/>
      <c r="X5809" s="3"/>
      <c r="Y5809" s="3"/>
    </row>
    <row r="5810">
      <c r="A5810" s="3"/>
      <c r="B5810" s="3"/>
      <c r="C5810" s="3"/>
      <c r="D5810" s="3"/>
      <c r="E5810" s="3"/>
      <c r="F5810" s="3"/>
      <c r="G5810" s="3"/>
      <c r="H5810" s="3"/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  <c r="T5810" s="3"/>
      <c r="U5810" s="3"/>
      <c r="V5810" s="3"/>
      <c r="W5810" s="3"/>
      <c r="X5810" s="3"/>
      <c r="Y5810" s="3"/>
    </row>
    <row r="5811">
      <c r="A5811" s="3"/>
      <c r="B5811" s="3"/>
      <c r="C5811" s="3"/>
      <c r="D5811" s="3"/>
      <c r="E5811" s="3"/>
      <c r="F5811" s="3"/>
      <c r="G5811" s="3"/>
      <c r="H5811" s="3"/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  <c r="T5811" s="3"/>
      <c r="U5811" s="3"/>
      <c r="V5811" s="3"/>
      <c r="W5811" s="3"/>
      <c r="X5811" s="3"/>
      <c r="Y5811" s="3"/>
    </row>
    <row r="5812">
      <c r="A5812" s="3"/>
      <c r="B5812" s="3"/>
      <c r="C5812" s="3"/>
      <c r="D5812" s="3"/>
      <c r="E5812" s="3"/>
      <c r="F5812" s="3"/>
      <c r="G5812" s="3"/>
      <c r="H5812" s="3"/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  <c r="T5812" s="3"/>
      <c r="U5812" s="3"/>
      <c r="V5812" s="3"/>
      <c r="W5812" s="3"/>
      <c r="X5812" s="3"/>
      <c r="Y5812" s="3"/>
    </row>
    <row r="5813">
      <c r="A5813" s="3"/>
      <c r="B5813" s="3"/>
      <c r="C5813" s="3"/>
      <c r="D5813" s="3"/>
      <c r="E5813" s="3"/>
      <c r="F5813" s="3"/>
      <c r="G5813" s="3"/>
      <c r="H5813" s="3"/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  <c r="T5813" s="3"/>
      <c r="U5813" s="3"/>
      <c r="V5813" s="3"/>
      <c r="W5813" s="3"/>
      <c r="X5813" s="3"/>
      <c r="Y5813" s="3"/>
    </row>
    <row r="5814">
      <c r="A5814" s="3"/>
      <c r="B5814" s="3"/>
      <c r="C5814" s="3"/>
      <c r="D5814" s="3"/>
      <c r="E5814" s="3"/>
      <c r="F5814" s="3"/>
      <c r="G5814" s="3"/>
      <c r="H5814" s="3"/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  <c r="T5814" s="3"/>
      <c r="U5814" s="3"/>
      <c r="V5814" s="3"/>
      <c r="W5814" s="3"/>
      <c r="X5814" s="3"/>
      <c r="Y5814" s="3"/>
    </row>
    <row r="5815">
      <c r="A5815" s="3"/>
      <c r="B5815" s="3"/>
      <c r="C5815" s="3"/>
      <c r="D5815" s="3"/>
      <c r="E5815" s="3"/>
      <c r="F5815" s="3"/>
      <c r="G5815" s="3"/>
      <c r="H5815" s="3"/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  <c r="T5815" s="3"/>
      <c r="U5815" s="3"/>
      <c r="V5815" s="3"/>
      <c r="W5815" s="3"/>
      <c r="X5815" s="3"/>
      <c r="Y5815" s="3"/>
    </row>
    <row r="5816">
      <c r="A5816" s="3"/>
      <c r="B5816" s="3"/>
      <c r="C5816" s="3"/>
      <c r="D5816" s="3"/>
      <c r="E5816" s="3"/>
      <c r="F5816" s="3"/>
      <c r="G5816" s="3"/>
      <c r="H5816" s="3"/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  <c r="T5816" s="3"/>
      <c r="U5816" s="3"/>
      <c r="V5816" s="3"/>
      <c r="W5816" s="3"/>
      <c r="X5816" s="3"/>
      <c r="Y5816" s="3"/>
    </row>
    <row r="5817">
      <c r="A5817" s="3"/>
      <c r="B5817" s="3"/>
      <c r="C5817" s="3"/>
      <c r="D5817" s="3"/>
      <c r="E5817" s="3"/>
      <c r="F5817" s="3"/>
      <c r="G5817" s="3"/>
      <c r="H5817" s="3"/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  <c r="T5817" s="3"/>
      <c r="U5817" s="3"/>
      <c r="V5817" s="3"/>
      <c r="W5817" s="3"/>
      <c r="X5817" s="3"/>
      <c r="Y5817" s="3"/>
    </row>
    <row r="5818">
      <c r="A5818" s="3"/>
      <c r="B5818" s="3"/>
      <c r="C5818" s="3"/>
      <c r="D5818" s="3"/>
      <c r="E5818" s="3"/>
      <c r="F5818" s="3"/>
      <c r="G5818" s="3"/>
      <c r="H5818" s="3"/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  <c r="T5818" s="3"/>
      <c r="U5818" s="3"/>
      <c r="V5818" s="3"/>
      <c r="W5818" s="3"/>
      <c r="X5818" s="3"/>
      <c r="Y5818" s="3"/>
    </row>
    <row r="5819">
      <c r="A5819" s="3"/>
      <c r="B5819" s="3"/>
      <c r="C5819" s="3"/>
      <c r="D5819" s="3"/>
      <c r="E5819" s="3"/>
      <c r="F5819" s="3"/>
      <c r="G5819" s="3"/>
      <c r="H5819" s="3"/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  <c r="T5819" s="3"/>
      <c r="U5819" s="3"/>
      <c r="V5819" s="3"/>
      <c r="W5819" s="3"/>
      <c r="X5819" s="3"/>
      <c r="Y5819" s="3"/>
    </row>
    <row r="5820">
      <c r="A5820" s="3"/>
      <c r="B5820" s="3"/>
      <c r="C5820" s="3"/>
      <c r="D5820" s="3"/>
      <c r="E5820" s="3"/>
      <c r="F5820" s="3"/>
      <c r="G5820" s="3"/>
      <c r="H5820" s="3"/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  <c r="T5820" s="3"/>
      <c r="U5820" s="3"/>
      <c r="V5820" s="3"/>
      <c r="W5820" s="3"/>
      <c r="X5820" s="3"/>
      <c r="Y5820" s="3"/>
    </row>
    <row r="5821">
      <c r="A5821" s="3"/>
      <c r="B5821" s="3"/>
      <c r="C5821" s="3"/>
      <c r="D5821" s="3"/>
      <c r="E5821" s="3"/>
      <c r="F5821" s="3"/>
      <c r="G5821" s="3"/>
      <c r="H5821" s="3"/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  <c r="T5821" s="3"/>
      <c r="U5821" s="3"/>
      <c r="V5821" s="3"/>
      <c r="W5821" s="3"/>
      <c r="X5821" s="3"/>
      <c r="Y5821" s="3"/>
    </row>
    <row r="5822">
      <c r="A5822" s="3"/>
      <c r="B5822" s="3"/>
      <c r="C5822" s="3"/>
      <c r="D5822" s="3"/>
      <c r="E5822" s="3"/>
      <c r="F5822" s="3"/>
      <c r="G5822" s="3"/>
      <c r="H5822" s="3"/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  <c r="T5822" s="3"/>
      <c r="U5822" s="3"/>
      <c r="V5822" s="3"/>
      <c r="W5822" s="3"/>
      <c r="X5822" s="3"/>
      <c r="Y5822" s="3"/>
    </row>
    <row r="5823">
      <c r="A5823" s="3"/>
      <c r="B5823" s="3"/>
      <c r="C5823" s="3"/>
      <c r="D5823" s="3"/>
      <c r="E5823" s="3"/>
      <c r="F5823" s="3"/>
      <c r="G5823" s="3"/>
      <c r="H5823" s="3"/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  <c r="T5823" s="3"/>
      <c r="U5823" s="3"/>
      <c r="V5823" s="3"/>
      <c r="W5823" s="3"/>
      <c r="X5823" s="3"/>
      <c r="Y5823" s="3"/>
    </row>
    <row r="5824">
      <c r="A5824" s="3"/>
      <c r="B5824" s="3"/>
      <c r="C5824" s="3"/>
      <c r="D5824" s="3"/>
      <c r="E5824" s="3"/>
      <c r="F5824" s="3"/>
      <c r="G5824" s="3"/>
      <c r="H5824" s="3"/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  <c r="T5824" s="3"/>
      <c r="U5824" s="3"/>
      <c r="V5824" s="3"/>
      <c r="W5824" s="3"/>
      <c r="X5824" s="3"/>
      <c r="Y5824" s="3"/>
    </row>
    <row r="5825">
      <c r="A5825" s="3"/>
      <c r="B5825" s="3"/>
      <c r="C5825" s="3"/>
      <c r="D5825" s="3"/>
      <c r="E5825" s="3"/>
      <c r="F5825" s="3"/>
      <c r="G5825" s="3"/>
      <c r="H5825" s="3"/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  <c r="T5825" s="3"/>
      <c r="U5825" s="3"/>
      <c r="V5825" s="3"/>
      <c r="W5825" s="3"/>
      <c r="X5825" s="3"/>
      <c r="Y5825" s="3"/>
    </row>
    <row r="5826">
      <c r="A5826" s="3"/>
      <c r="B5826" s="3"/>
      <c r="C5826" s="3"/>
      <c r="D5826" s="3"/>
      <c r="E5826" s="3"/>
      <c r="F5826" s="3"/>
      <c r="G5826" s="3"/>
      <c r="H5826" s="3"/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  <c r="T5826" s="3"/>
      <c r="U5826" s="3"/>
      <c r="V5826" s="3"/>
      <c r="W5826" s="3"/>
      <c r="X5826" s="3"/>
      <c r="Y5826" s="3"/>
    </row>
    <row r="5827">
      <c r="A5827" s="3"/>
      <c r="B5827" s="3"/>
      <c r="C5827" s="3"/>
      <c r="D5827" s="3"/>
      <c r="E5827" s="3"/>
      <c r="F5827" s="3"/>
      <c r="G5827" s="3"/>
      <c r="H5827" s="3"/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  <c r="T5827" s="3"/>
      <c r="U5827" s="3"/>
      <c r="V5827" s="3"/>
      <c r="W5827" s="3"/>
      <c r="X5827" s="3"/>
      <c r="Y5827" s="3"/>
    </row>
    <row r="5828">
      <c r="A5828" s="3"/>
      <c r="B5828" s="3"/>
      <c r="C5828" s="3"/>
      <c r="D5828" s="3"/>
      <c r="E5828" s="3"/>
      <c r="F5828" s="3"/>
      <c r="G5828" s="3"/>
      <c r="H5828" s="3"/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  <c r="T5828" s="3"/>
      <c r="U5828" s="3"/>
      <c r="V5828" s="3"/>
      <c r="W5828" s="3"/>
      <c r="X5828" s="3"/>
      <c r="Y5828" s="3"/>
    </row>
    <row r="5829">
      <c r="A5829" s="3"/>
      <c r="B5829" s="3"/>
      <c r="C5829" s="3"/>
      <c r="D5829" s="3"/>
      <c r="E5829" s="3"/>
      <c r="F5829" s="3"/>
      <c r="G5829" s="3"/>
      <c r="H5829" s="3"/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  <c r="T5829" s="3"/>
      <c r="U5829" s="3"/>
      <c r="V5829" s="3"/>
      <c r="W5829" s="3"/>
      <c r="X5829" s="3"/>
      <c r="Y5829" s="3"/>
    </row>
    <row r="5830">
      <c r="A5830" s="3"/>
      <c r="B5830" s="3"/>
      <c r="C5830" s="3"/>
      <c r="D5830" s="3"/>
      <c r="E5830" s="3"/>
      <c r="F5830" s="3"/>
      <c r="G5830" s="3"/>
      <c r="H5830" s="3"/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  <c r="T5830" s="3"/>
      <c r="U5830" s="3"/>
      <c r="V5830" s="3"/>
      <c r="W5830" s="3"/>
      <c r="X5830" s="3"/>
      <c r="Y5830" s="3"/>
    </row>
    <row r="5831">
      <c r="A5831" s="3"/>
      <c r="B5831" s="3"/>
      <c r="C5831" s="3"/>
      <c r="D5831" s="3"/>
      <c r="E5831" s="3"/>
      <c r="F5831" s="3"/>
      <c r="G5831" s="3"/>
      <c r="H5831" s="3"/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  <c r="T5831" s="3"/>
      <c r="U5831" s="3"/>
      <c r="V5831" s="3"/>
      <c r="W5831" s="3"/>
      <c r="X5831" s="3"/>
      <c r="Y5831" s="3"/>
    </row>
    <row r="5832">
      <c r="A5832" s="3"/>
      <c r="B5832" s="3"/>
      <c r="C5832" s="3"/>
      <c r="D5832" s="3"/>
      <c r="E5832" s="3"/>
      <c r="F5832" s="3"/>
      <c r="G5832" s="3"/>
      <c r="H5832" s="3"/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  <c r="T5832" s="3"/>
      <c r="U5832" s="3"/>
      <c r="V5832" s="3"/>
      <c r="W5832" s="3"/>
      <c r="X5832" s="3"/>
      <c r="Y5832" s="3"/>
    </row>
    <row r="5833">
      <c r="A5833" s="3"/>
      <c r="B5833" s="3"/>
      <c r="C5833" s="3"/>
      <c r="D5833" s="3"/>
      <c r="E5833" s="3"/>
      <c r="F5833" s="3"/>
      <c r="G5833" s="3"/>
      <c r="H5833" s="3"/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  <c r="T5833" s="3"/>
      <c r="U5833" s="3"/>
      <c r="V5833" s="3"/>
      <c r="W5833" s="3"/>
      <c r="X5833" s="3"/>
      <c r="Y5833" s="3"/>
    </row>
    <row r="5834">
      <c r="A5834" s="3"/>
      <c r="B5834" s="3"/>
      <c r="C5834" s="3"/>
      <c r="D5834" s="3"/>
      <c r="E5834" s="3"/>
      <c r="F5834" s="3"/>
      <c r="G5834" s="3"/>
      <c r="H5834" s="3"/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  <c r="T5834" s="3"/>
      <c r="U5834" s="3"/>
      <c r="V5834" s="3"/>
      <c r="W5834" s="3"/>
      <c r="X5834" s="3"/>
      <c r="Y5834" s="3"/>
    </row>
    <row r="5835">
      <c r="A5835" s="3"/>
      <c r="B5835" s="3"/>
      <c r="C5835" s="3"/>
      <c r="D5835" s="3"/>
      <c r="E5835" s="3"/>
      <c r="F5835" s="3"/>
      <c r="G5835" s="3"/>
      <c r="H5835" s="3"/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  <c r="T5835" s="3"/>
      <c r="U5835" s="3"/>
      <c r="V5835" s="3"/>
      <c r="W5835" s="3"/>
      <c r="X5835" s="3"/>
      <c r="Y5835" s="3"/>
    </row>
    <row r="5836">
      <c r="A5836" s="3"/>
      <c r="B5836" s="3"/>
      <c r="C5836" s="3"/>
      <c r="D5836" s="3"/>
      <c r="E5836" s="3"/>
      <c r="F5836" s="3"/>
      <c r="G5836" s="3"/>
      <c r="H5836" s="3"/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  <c r="T5836" s="3"/>
      <c r="U5836" s="3"/>
      <c r="V5836" s="3"/>
      <c r="W5836" s="3"/>
      <c r="X5836" s="3"/>
      <c r="Y5836" s="3"/>
    </row>
    <row r="5837">
      <c r="A5837" s="3"/>
      <c r="B5837" s="3"/>
      <c r="C5837" s="3"/>
      <c r="D5837" s="3"/>
      <c r="E5837" s="3"/>
      <c r="F5837" s="3"/>
      <c r="G5837" s="3"/>
      <c r="H5837" s="3"/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  <c r="T5837" s="3"/>
      <c r="U5837" s="3"/>
      <c r="V5837" s="3"/>
      <c r="W5837" s="3"/>
      <c r="X5837" s="3"/>
      <c r="Y5837" s="3"/>
    </row>
    <row r="5838">
      <c r="A5838" s="3"/>
      <c r="B5838" s="3"/>
      <c r="C5838" s="3"/>
      <c r="D5838" s="3"/>
      <c r="E5838" s="3"/>
      <c r="F5838" s="3"/>
      <c r="G5838" s="3"/>
      <c r="H5838" s="3"/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  <c r="T5838" s="3"/>
      <c r="U5838" s="3"/>
      <c r="V5838" s="3"/>
      <c r="W5838" s="3"/>
      <c r="X5838" s="3"/>
      <c r="Y5838" s="3"/>
    </row>
    <row r="5839">
      <c r="A5839" s="3"/>
      <c r="B5839" s="3"/>
      <c r="C5839" s="3"/>
      <c r="D5839" s="3"/>
      <c r="E5839" s="3"/>
      <c r="F5839" s="3"/>
      <c r="G5839" s="3"/>
      <c r="H5839" s="3"/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  <c r="T5839" s="3"/>
      <c r="U5839" s="3"/>
      <c r="V5839" s="3"/>
      <c r="W5839" s="3"/>
      <c r="X5839" s="3"/>
      <c r="Y5839" s="3"/>
    </row>
    <row r="5840">
      <c r="A5840" s="3"/>
      <c r="B5840" s="3"/>
      <c r="C5840" s="3"/>
      <c r="D5840" s="3"/>
      <c r="E5840" s="3"/>
      <c r="F5840" s="3"/>
      <c r="G5840" s="3"/>
      <c r="H5840" s="3"/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  <c r="T5840" s="3"/>
      <c r="U5840" s="3"/>
      <c r="V5840" s="3"/>
      <c r="W5840" s="3"/>
      <c r="X5840" s="3"/>
      <c r="Y5840" s="3"/>
    </row>
    <row r="5841">
      <c r="A5841" s="3"/>
      <c r="B5841" s="3"/>
      <c r="C5841" s="3"/>
      <c r="D5841" s="3"/>
      <c r="E5841" s="3"/>
      <c r="F5841" s="3"/>
      <c r="G5841" s="3"/>
      <c r="H5841" s="3"/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  <c r="T5841" s="3"/>
      <c r="U5841" s="3"/>
      <c r="V5841" s="3"/>
      <c r="W5841" s="3"/>
      <c r="X5841" s="3"/>
      <c r="Y5841" s="3"/>
    </row>
    <row r="5842">
      <c r="A5842" s="3"/>
      <c r="B5842" s="3"/>
      <c r="C5842" s="3"/>
      <c r="D5842" s="3"/>
      <c r="E5842" s="3"/>
      <c r="F5842" s="3"/>
      <c r="G5842" s="3"/>
      <c r="H5842" s="3"/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  <c r="T5842" s="3"/>
      <c r="U5842" s="3"/>
      <c r="V5842" s="3"/>
      <c r="W5842" s="3"/>
      <c r="X5842" s="3"/>
      <c r="Y5842" s="3"/>
    </row>
    <row r="5843">
      <c r="A5843" s="3"/>
      <c r="B5843" s="3"/>
      <c r="C5843" s="3"/>
      <c r="D5843" s="3"/>
      <c r="E5843" s="3"/>
      <c r="F5843" s="3"/>
      <c r="G5843" s="3"/>
      <c r="H5843" s="3"/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  <c r="T5843" s="3"/>
      <c r="U5843" s="3"/>
      <c r="V5843" s="3"/>
      <c r="W5843" s="3"/>
      <c r="X5843" s="3"/>
      <c r="Y5843" s="3"/>
    </row>
    <row r="5844">
      <c r="A5844" s="3"/>
      <c r="B5844" s="3"/>
      <c r="C5844" s="3"/>
      <c r="D5844" s="3"/>
      <c r="E5844" s="3"/>
      <c r="F5844" s="3"/>
      <c r="G5844" s="3"/>
      <c r="H5844" s="3"/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  <c r="T5844" s="3"/>
      <c r="U5844" s="3"/>
      <c r="V5844" s="3"/>
      <c r="W5844" s="3"/>
      <c r="X5844" s="3"/>
      <c r="Y5844" s="3"/>
    </row>
    <row r="5845">
      <c r="A5845" s="3"/>
      <c r="B5845" s="3"/>
      <c r="C5845" s="3"/>
      <c r="D5845" s="3"/>
      <c r="E5845" s="3"/>
      <c r="F5845" s="3"/>
      <c r="G5845" s="3"/>
      <c r="H5845" s="3"/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  <c r="T5845" s="3"/>
      <c r="U5845" s="3"/>
      <c r="V5845" s="3"/>
      <c r="W5845" s="3"/>
      <c r="X5845" s="3"/>
      <c r="Y5845" s="3"/>
    </row>
    <row r="5846">
      <c r="A5846" s="3"/>
      <c r="B5846" s="3"/>
      <c r="C5846" s="3"/>
      <c r="D5846" s="3"/>
      <c r="E5846" s="3"/>
      <c r="F5846" s="3"/>
      <c r="G5846" s="3"/>
      <c r="H5846" s="3"/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  <c r="T5846" s="3"/>
      <c r="U5846" s="3"/>
      <c r="V5846" s="3"/>
      <c r="W5846" s="3"/>
      <c r="X5846" s="3"/>
      <c r="Y5846" s="3"/>
    </row>
    <row r="5847">
      <c r="A5847" s="3"/>
      <c r="B5847" s="3"/>
      <c r="C5847" s="3"/>
      <c r="D5847" s="3"/>
      <c r="E5847" s="3"/>
      <c r="F5847" s="3"/>
      <c r="G5847" s="3"/>
      <c r="H5847" s="3"/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  <c r="T5847" s="3"/>
      <c r="U5847" s="3"/>
      <c r="V5847" s="3"/>
      <c r="W5847" s="3"/>
      <c r="X5847" s="3"/>
      <c r="Y5847" s="3"/>
    </row>
    <row r="5848">
      <c r="A5848" s="3"/>
      <c r="B5848" s="3"/>
      <c r="C5848" s="3"/>
      <c r="D5848" s="3"/>
      <c r="E5848" s="3"/>
      <c r="F5848" s="3"/>
      <c r="G5848" s="3"/>
      <c r="H5848" s="3"/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  <c r="T5848" s="3"/>
      <c r="U5848" s="3"/>
      <c r="V5848" s="3"/>
      <c r="W5848" s="3"/>
      <c r="X5848" s="3"/>
      <c r="Y5848" s="3"/>
    </row>
    <row r="5849">
      <c r="A5849" s="3"/>
      <c r="B5849" s="3"/>
      <c r="C5849" s="3"/>
      <c r="D5849" s="3"/>
      <c r="E5849" s="3"/>
      <c r="F5849" s="3"/>
      <c r="G5849" s="3"/>
      <c r="H5849" s="3"/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  <c r="T5849" s="3"/>
      <c r="U5849" s="3"/>
      <c r="V5849" s="3"/>
      <c r="W5849" s="3"/>
      <c r="X5849" s="3"/>
      <c r="Y5849" s="3"/>
    </row>
    <row r="5850">
      <c r="A5850" s="3"/>
      <c r="B5850" s="3"/>
      <c r="C5850" s="3"/>
      <c r="D5850" s="3"/>
      <c r="E5850" s="3"/>
      <c r="F5850" s="3"/>
      <c r="G5850" s="3"/>
      <c r="H5850" s="3"/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  <c r="T5850" s="3"/>
      <c r="U5850" s="3"/>
      <c r="V5850" s="3"/>
      <c r="W5850" s="3"/>
      <c r="X5850" s="3"/>
      <c r="Y5850" s="3"/>
    </row>
    <row r="5851">
      <c r="A5851" s="3"/>
      <c r="B5851" s="3"/>
      <c r="C5851" s="3"/>
      <c r="D5851" s="3"/>
      <c r="E5851" s="3"/>
      <c r="F5851" s="3"/>
      <c r="G5851" s="3"/>
      <c r="H5851" s="3"/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  <c r="T5851" s="3"/>
      <c r="U5851" s="3"/>
      <c r="V5851" s="3"/>
      <c r="W5851" s="3"/>
      <c r="X5851" s="3"/>
      <c r="Y5851" s="3"/>
    </row>
    <row r="5852">
      <c r="A5852" s="3"/>
      <c r="B5852" s="3"/>
      <c r="C5852" s="3"/>
      <c r="D5852" s="3"/>
      <c r="E5852" s="3"/>
      <c r="F5852" s="3"/>
      <c r="G5852" s="3"/>
      <c r="H5852" s="3"/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  <c r="T5852" s="3"/>
      <c r="U5852" s="3"/>
      <c r="V5852" s="3"/>
      <c r="W5852" s="3"/>
      <c r="X5852" s="3"/>
      <c r="Y5852" s="3"/>
    </row>
    <row r="5853">
      <c r="A5853" s="3"/>
      <c r="B5853" s="3"/>
      <c r="C5853" s="3"/>
      <c r="D5853" s="3"/>
      <c r="E5853" s="3"/>
      <c r="F5853" s="3"/>
      <c r="G5853" s="3"/>
      <c r="H5853" s="3"/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  <c r="T5853" s="3"/>
      <c r="U5853" s="3"/>
      <c r="V5853" s="3"/>
      <c r="W5853" s="3"/>
      <c r="X5853" s="3"/>
      <c r="Y5853" s="3"/>
    </row>
    <row r="5854">
      <c r="A5854" s="3"/>
      <c r="B5854" s="3"/>
      <c r="C5854" s="3"/>
      <c r="D5854" s="3"/>
      <c r="E5854" s="3"/>
      <c r="F5854" s="3"/>
      <c r="G5854" s="3"/>
      <c r="H5854" s="3"/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  <c r="T5854" s="3"/>
      <c r="U5854" s="3"/>
      <c r="V5854" s="3"/>
      <c r="W5854" s="3"/>
      <c r="X5854" s="3"/>
      <c r="Y5854" s="3"/>
    </row>
    <row r="5855">
      <c r="A5855" s="3"/>
      <c r="B5855" s="3"/>
      <c r="C5855" s="3"/>
      <c r="D5855" s="3"/>
      <c r="E5855" s="3"/>
      <c r="F5855" s="3"/>
      <c r="G5855" s="3"/>
      <c r="H5855" s="3"/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  <c r="T5855" s="3"/>
      <c r="U5855" s="3"/>
      <c r="V5855" s="3"/>
      <c r="W5855" s="3"/>
      <c r="X5855" s="3"/>
      <c r="Y5855" s="3"/>
    </row>
    <row r="5856">
      <c r="A5856" s="3"/>
      <c r="B5856" s="3"/>
      <c r="C5856" s="3"/>
      <c r="D5856" s="3"/>
      <c r="E5856" s="3"/>
      <c r="F5856" s="3"/>
      <c r="G5856" s="3"/>
      <c r="H5856" s="3"/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  <c r="T5856" s="3"/>
      <c r="U5856" s="3"/>
      <c r="V5856" s="3"/>
      <c r="W5856" s="3"/>
      <c r="X5856" s="3"/>
      <c r="Y5856" s="3"/>
    </row>
    <row r="5857">
      <c r="A5857" s="3"/>
      <c r="B5857" s="3"/>
      <c r="C5857" s="3"/>
      <c r="D5857" s="3"/>
      <c r="E5857" s="3"/>
      <c r="F5857" s="3"/>
      <c r="G5857" s="3"/>
      <c r="H5857" s="3"/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  <c r="T5857" s="3"/>
      <c r="U5857" s="3"/>
      <c r="V5857" s="3"/>
      <c r="W5857" s="3"/>
      <c r="X5857" s="3"/>
      <c r="Y5857" s="3"/>
    </row>
    <row r="5858">
      <c r="A5858" s="3"/>
      <c r="B5858" s="3"/>
      <c r="C5858" s="3"/>
      <c r="D5858" s="3"/>
      <c r="E5858" s="3"/>
      <c r="F5858" s="3"/>
      <c r="G5858" s="3"/>
      <c r="H5858" s="3"/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  <c r="T5858" s="3"/>
      <c r="U5858" s="3"/>
      <c r="V5858" s="3"/>
      <c r="W5858" s="3"/>
      <c r="X5858" s="3"/>
      <c r="Y5858" s="3"/>
    </row>
    <row r="5859">
      <c r="A5859" s="3"/>
      <c r="B5859" s="3"/>
      <c r="C5859" s="3"/>
      <c r="D5859" s="3"/>
      <c r="E5859" s="3"/>
      <c r="F5859" s="3"/>
      <c r="G5859" s="3"/>
      <c r="H5859" s="3"/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  <c r="T5859" s="3"/>
      <c r="U5859" s="3"/>
      <c r="V5859" s="3"/>
      <c r="W5859" s="3"/>
      <c r="X5859" s="3"/>
      <c r="Y5859" s="3"/>
    </row>
    <row r="5860">
      <c r="A5860" s="3"/>
      <c r="B5860" s="3"/>
      <c r="C5860" s="3"/>
      <c r="D5860" s="3"/>
      <c r="E5860" s="3"/>
      <c r="F5860" s="3"/>
      <c r="G5860" s="3"/>
      <c r="H5860" s="3"/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  <c r="T5860" s="3"/>
      <c r="U5860" s="3"/>
      <c r="V5860" s="3"/>
      <c r="W5860" s="3"/>
      <c r="X5860" s="3"/>
      <c r="Y5860" s="3"/>
    </row>
    <row r="5861">
      <c r="A5861" s="3"/>
      <c r="B5861" s="3"/>
      <c r="C5861" s="3"/>
      <c r="D5861" s="3"/>
      <c r="E5861" s="3"/>
      <c r="F5861" s="3"/>
      <c r="G5861" s="3"/>
      <c r="H5861" s="3"/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  <c r="T5861" s="3"/>
      <c r="U5861" s="3"/>
      <c r="V5861" s="3"/>
      <c r="W5861" s="3"/>
      <c r="X5861" s="3"/>
      <c r="Y5861" s="3"/>
    </row>
    <row r="5862">
      <c r="A5862" s="3"/>
      <c r="B5862" s="3"/>
      <c r="C5862" s="3"/>
      <c r="D5862" s="3"/>
      <c r="E5862" s="3"/>
      <c r="F5862" s="3"/>
      <c r="G5862" s="3"/>
      <c r="H5862" s="3"/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  <c r="T5862" s="3"/>
      <c r="U5862" s="3"/>
      <c r="V5862" s="3"/>
      <c r="W5862" s="3"/>
      <c r="X5862" s="3"/>
      <c r="Y5862" s="3"/>
    </row>
    <row r="5863">
      <c r="A5863" s="3"/>
      <c r="B5863" s="3"/>
      <c r="C5863" s="3"/>
      <c r="D5863" s="3"/>
      <c r="E5863" s="3"/>
      <c r="F5863" s="3"/>
      <c r="G5863" s="3"/>
      <c r="H5863" s="3"/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  <c r="T5863" s="3"/>
      <c r="U5863" s="3"/>
      <c r="V5863" s="3"/>
      <c r="W5863" s="3"/>
      <c r="X5863" s="3"/>
      <c r="Y5863" s="3"/>
    </row>
    <row r="5864">
      <c r="A5864" s="3"/>
      <c r="B5864" s="3"/>
      <c r="C5864" s="3"/>
      <c r="D5864" s="3"/>
      <c r="E5864" s="3"/>
      <c r="F5864" s="3"/>
      <c r="G5864" s="3"/>
      <c r="H5864" s="3"/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  <c r="T5864" s="3"/>
      <c r="U5864" s="3"/>
      <c r="V5864" s="3"/>
      <c r="W5864" s="3"/>
      <c r="X5864" s="3"/>
      <c r="Y5864" s="3"/>
    </row>
    <row r="5865">
      <c r="A5865" s="3"/>
      <c r="B5865" s="3"/>
      <c r="C5865" s="3"/>
      <c r="D5865" s="3"/>
      <c r="E5865" s="3"/>
      <c r="F5865" s="3"/>
      <c r="G5865" s="3"/>
      <c r="H5865" s="3"/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  <c r="T5865" s="3"/>
      <c r="U5865" s="3"/>
      <c r="V5865" s="3"/>
      <c r="W5865" s="3"/>
      <c r="X5865" s="3"/>
      <c r="Y5865" s="3"/>
    </row>
    <row r="5866">
      <c r="A5866" s="3"/>
      <c r="B5866" s="3"/>
      <c r="C5866" s="3"/>
      <c r="D5866" s="3"/>
      <c r="E5866" s="3"/>
      <c r="F5866" s="3"/>
      <c r="G5866" s="3"/>
      <c r="H5866" s="3"/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  <c r="T5866" s="3"/>
      <c r="U5866" s="3"/>
      <c r="V5866" s="3"/>
      <c r="W5866" s="3"/>
      <c r="X5866" s="3"/>
      <c r="Y5866" s="3"/>
    </row>
    <row r="5867">
      <c r="A5867" s="3"/>
      <c r="B5867" s="3"/>
      <c r="C5867" s="3"/>
      <c r="D5867" s="3"/>
      <c r="E5867" s="3"/>
      <c r="F5867" s="3"/>
      <c r="G5867" s="3"/>
      <c r="H5867" s="3"/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  <c r="T5867" s="3"/>
      <c r="U5867" s="3"/>
      <c r="V5867" s="3"/>
      <c r="W5867" s="3"/>
      <c r="X5867" s="3"/>
      <c r="Y5867" s="3"/>
    </row>
    <row r="5868">
      <c r="A5868" s="3"/>
      <c r="B5868" s="3"/>
      <c r="C5868" s="3"/>
      <c r="D5868" s="3"/>
      <c r="E5868" s="3"/>
      <c r="F5868" s="3"/>
      <c r="G5868" s="3"/>
      <c r="H5868" s="3"/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  <c r="T5868" s="3"/>
      <c r="U5868" s="3"/>
      <c r="V5868" s="3"/>
      <c r="W5868" s="3"/>
      <c r="X5868" s="3"/>
      <c r="Y5868" s="3"/>
    </row>
    <row r="5869">
      <c r="A5869" s="3"/>
      <c r="B5869" s="3"/>
      <c r="C5869" s="3"/>
      <c r="D5869" s="3"/>
      <c r="E5869" s="3"/>
      <c r="F5869" s="3"/>
      <c r="G5869" s="3"/>
      <c r="H5869" s="3"/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  <c r="T5869" s="3"/>
      <c r="U5869" s="3"/>
      <c r="V5869" s="3"/>
      <c r="W5869" s="3"/>
      <c r="X5869" s="3"/>
      <c r="Y5869" s="3"/>
    </row>
    <row r="5870">
      <c r="A5870" s="3"/>
      <c r="B5870" s="3"/>
      <c r="C5870" s="3"/>
      <c r="D5870" s="3"/>
      <c r="E5870" s="3"/>
      <c r="F5870" s="3"/>
      <c r="G5870" s="3"/>
      <c r="H5870" s="3"/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  <c r="T5870" s="3"/>
      <c r="U5870" s="3"/>
      <c r="V5870" s="3"/>
      <c r="W5870" s="3"/>
      <c r="X5870" s="3"/>
      <c r="Y5870" s="3"/>
    </row>
    <row r="5871">
      <c r="A5871" s="3"/>
      <c r="B5871" s="3"/>
      <c r="C5871" s="3"/>
      <c r="D5871" s="3"/>
      <c r="E5871" s="3"/>
      <c r="F5871" s="3"/>
      <c r="G5871" s="3"/>
      <c r="H5871" s="3"/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  <c r="T5871" s="3"/>
      <c r="U5871" s="3"/>
      <c r="V5871" s="3"/>
      <c r="W5871" s="3"/>
      <c r="X5871" s="3"/>
      <c r="Y5871" s="3"/>
    </row>
    <row r="5872">
      <c r="A5872" s="3"/>
      <c r="B5872" s="3"/>
      <c r="C5872" s="3"/>
      <c r="D5872" s="3"/>
      <c r="E5872" s="3"/>
      <c r="F5872" s="3"/>
      <c r="G5872" s="3"/>
      <c r="H5872" s="3"/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  <c r="T5872" s="3"/>
      <c r="U5872" s="3"/>
      <c r="V5872" s="3"/>
      <c r="W5872" s="3"/>
      <c r="X5872" s="3"/>
      <c r="Y5872" s="3"/>
    </row>
    <row r="5873">
      <c r="A5873" s="3"/>
      <c r="B5873" s="3"/>
      <c r="C5873" s="3"/>
      <c r="D5873" s="3"/>
      <c r="E5873" s="3"/>
      <c r="F5873" s="3"/>
      <c r="G5873" s="3"/>
      <c r="H5873" s="3"/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  <c r="T5873" s="3"/>
      <c r="U5873" s="3"/>
      <c r="V5873" s="3"/>
      <c r="W5873" s="3"/>
      <c r="X5873" s="3"/>
      <c r="Y5873" s="3"/>
    </row>
    <row r="5874">
      <c r="A5874" s="3"/>
      <c r="B5874" s="3"/>
      <c r="C5874" s="3"/>
      <c r="D5874" s="3"/>
      <c r="E5874" s="3"/>
      <c r="F5874" s="3"/>
      <c r="G5874" s="3"/>
      <c r="H5874" s="3"/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  <c r="T5874" s="3"/>
      <c r="U5874" s="3"/>
      <c r="V5874" s="3"/>
      <c r="W5874" s="3"/>
      <c r="X5874" s="3"/>
      <c r="Y5874" s="3"/>
    </row>
    <row r="5875">
      <c r="A5875" s="3"/>
      <c r="B5875" s="3"/>
      <c r="C5875" s="3"/>
      <c r="D5875" s="3"/>
      <c r="E5875" s="3"/>
      <c r="F5875" s="3"/>
      <c r="G5875" s="3"/>
      <c r="H5875" s="3"/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  <c r="T5875" s="3"/>
      <c r="U5875" s="3"/>
      <c r="V5875" s="3"/>
      <c r="W5875" s="3"/>
      <c r="X5875" s="3"/>
      <c r="Y5875" s="3"/>
    </row>
    <row r="5876">
      <c r="A5876" s="3"/>
      <c r="B5876" s="3"/>
      <c r="C5876" s="3"/>
      <c r="D5876" s="3"/>
      <c r="E5876" s="3"/>
      <c r="F5876" s="3"/>
      <c r="G5876" s="3"/>
      <c r="H5876" s="3"/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  <c r="T5876" s="3"/>
      <c r="U5876" s="3"/>
      <c r="V5876" s="3"/>
      <c r="W5876" s="3"/>
      <c r="X5876" s="3"/>
      <c r="Y5876" s="3"/>
    </row>
    <row r="5877">
      <c r="A5877" s="3"/>
      <c r="B5877" s="3"/>
      <c r="C5877" s="3"/>
      <c r="D5877" s="3"/>
      <c r="E5877" s="3"/>
      <c r="F5877" s="3"/>
      <c r="G5877" s="3"/>
      <c r="H5877" s="3"/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  <c r="T5877" s="3"/>
      <c r="U5877" s="3"/>
      <c r="V5877" s="3"/>
      <c r="W5877" s="3"/>
      <c r="X5877" s="3"/>
      <c r="Y5877" s="3"/>
    </row>
    <row r="5878">
      <c r="A5878" s="3"/>
      <c r="B5878" s="3"/>
      <c r="C5878" s="3"/>
      <c r="D5878" s="3"/>
      <c r="E5878" s="3"/>
      <c r="F5878" s="3"/>
      <c r="G5878" s="3"/>
      <c r="H5878" s="3"/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  <c r="T5878" s="3"/>
      <c r="U5878" s="3"/>
      <c r="V5878" s="3"/>
      <c r="W5878" s="3"/>
      <c r="X5878" s="3"/>
      <c r="Y5878" s="3"/>
    </row>
    <row r="5879">
      <c r="A5879" s="3"/>
      <c r="B5879" s="3"/>
      <c r="C5879" s="3"/>
      <c r="D5879" s="3"/>
      <c r="E5879" s="3"/>
      <c r="F5879" s="3"/>
      <c r="G5879" s="3"/>
      <c r="H5879" s="3"/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  <c r="T5879" s="3"/>
      <c r="U5879" s="3"/>
      <c r="V5879" s="3"/>
      <c r="W5879" s="3"/>
      <c r="X5879" s="3"/>
      <c r="Y5879" s="3"/>
    </row>
    <row r="5880">
      <c r="A5880" s="3"/>
      <c r="B5880" s="3"/>
      <c r="C5880" s="3"/>
      <c r="D5880" s="3"/>
      <c r="E5880" s="3"/>
      <c r="F5880" s="3"/>
      <c r="G5880" s="3"/>
      <c r="H5880" s="3"/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  <c r="T5880" s="3"/>
      <c r="U5880" s="3"/>
      <c r="V5880" s="3"/>
      <c r="W5880" s="3"/>
      <c r="X5880" s="3"/>
      <c r="Y5880" s="3"/>
    </row>
    <row r="5881">
      <c r="A5881" s="3"/>
      <c r="B5881" s="3"/>
      <c r="C5881" s="3"/>
      <c r="D5881" s="3"/>
      <c r="E5881" s="3"/>
      <c r="F5881" s="3"/>
      <c r="G5881" s="3"/>
      <c r="H5881" s="3"/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  <c r="T5881" s="3"/>
      <c r="U5881" s="3"/>
      <c r="V5881" s="3"/>
      <c r="W5881" s="3"/>
      <c r="X5881" s="3"/>
      <c r="Y5881" s="3"/>
    </row>
    <row r="5882">
      <c r="A5882" s="3"/>
      <c r="B5882" s="3"/>
      <c r="C5882" s="3"/>
      <c r="D5882" s="3"/>
      <c r="E5882" s="3"/>
      <c r="F5882" s="3"/>
      <c r="G5882" s="3"/>
      <c r="H5882" s="3"/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  <c r="T5882" s="3"/>
      <c r="U5882" s="3"/>
      <c r="V5882" s="3"/>
      <c r="W5882" s="3"/>
      <c r="X5882" s="3"/>
      <c r="Y5882" s="3"/>
    </row>
    <row r="5883">
      <c r="A5883" s="3"/>
      <c r="B5883" s="3"/>
      <c r="C5883" s="3"/>
      <c r="D5883" s="3"/>
      <c r="E5883" s="3"/>
      <c r="F5883" s="3"/>
      <c r="G5883" s="3"/>
      <c r="H5883" s="3"/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  <c r="T5883" s="3"/>
      <c r="U5883" s="3"/>
      <c r="V5883" s="3"/>
      <c r="W5883" s="3"/>
      <c r="X5883" s="3"/>
      <c r="Y5883" s="3"/>
    </row>
    <row r="5884">
      <c r="A5884" s="3"/>
      <c r="B5884" s="3"/>
      <c r="C5884" s="3"/>
      <c r="D5884" s="3"/>
      <c r="E5884" s="3"/>
      <c r="F5884" s="3"/>
      <c r="G5884" s="3"/>
      <c r="H5884" s="3"/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  <c r="T5884" s="3"/>
      <c r="U5884" s="3"/>
      <c r="V5884" s="3"/>
      <c r="W5884" s="3"/>
      <c r="X5884" s="3"/>
      <c r="Y5884" s="3"/>
    </row>
    <row r="5885">
      <c r="A5885" s="3"/>
      <c r="B5885" s="3"/>
      <c r="C5885" s="3"/>
      <c r="D5885" s="3"/>
      <c r="E5885" s="3"/>
      <c r="F5885" s="3"/>
      <c r="G5885" s="3"/>
      <c r="H5885" s="3"/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  <c r="T5885" s="3"/>
      <c r="U5885" s="3"/>
      <c r="V5885" s="3"/>
      <c r="W5885" s="3"/>
      <c r="X5885" s="3"/>
      <c r="Y5885" s="3"/>
    </row>
    <row r="5886">
      <c r="A5886" s="3"/>
      <c r="B5886" s="3"/>
      <c r="C5886" s="3"/>
      <c r="D5886" s="3"/>
      <c r="E5886" s="3"/>
      <c r="F5886" s="3"/>
      <c r="G5886" s="3"/>
      <c r="H5886" s="3"/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  <c r="T5886" s="3"/>
      <c r="U5886" s="3"/>
      <c r="V5886" s="3"/>
      <c r="W5886" s="3"/>
      <c r="X5886" s="3"/>
      <c r="Y5886" s="3"/>
    </row>
    <row r="5887">
      <c r="A5887" s="3"/>
      <c r="B5887" s="3"/>
      <c r="C5887" s="3"/>
      <c r="D5887" s="3"/>
      <c r="E5887" s="3"/>
      <c r="F5887" s="3"/>
      <c r="G5887" s="3"/>
      <c r="H5887" s="3"/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  <c r="T5887" s="3"/>
      <c r="U5887" s="3"/>
      <c r="V5887" s="3"/>
      <c r="W5887" s="3"/>
      <c r="X5887" s="3"/>
      <c r="Y5887" s="3"/>
    </row>
    <row r="5888">
      <c r="A5888" s="3"/>
      <c r="B5888" s="3"/>
      <c r="C5888" s="3"/>
      <c r="D5888" s="3"/>
      <c r="E5888" s="3"/>
      <c r="F5888" s="3"/>
      <c r="G5888" s="3"/>
      <c r="H5888" s="3"/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  <c r="T5888" s="3"/>
      <c r="U5888" s="3"/>
      <c r="V5888" s="3"/>
      <c r="W5888" s="3"/>
      <c r="X5888" s="3"/>
      <c r="Y5888" s="3"/>
    </row>
    <row r="5889">
      <c r="A5889" s="3"/>
      <c r="B5889" s="3"/>
      <c r="C5889" s="3"/>
      <c r="D5889" s="3"/>
      <c r="E5889" s="3"/>
      <c r="F5889" s="3"/>
      <c r="G5889" s="3"/>
      <c r="H5889" s="3"/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  <c r="T5889" s="3"/>
      <c r="U5889" s="3"/>
      <c r="V5889" s="3"/>
      <c r="W5889" s="3"/>
      <c r="X5889" s="3"/>
      <c r="Y5889" s="3"/>
    </row>
    <row r="5890">
      <c r="A5890" s="3"/>
      <c r="B5890" s="3"/>
      <c r="C5890" s="3"/>
      <c r="D5890" s="3"/>
      <c r="E5890" s="3"/>
      <c r="F5890" s="3"/>
      <c r="G5890" s="3"/>
      <c r="H5890" s="3"/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  <c r="T5890" s="3"/>
      <c r="U5890" s="3"/>
      <c r="V5890" s="3"/>
      <c r="W5890" s="3"/>
      <c r="X5890" s="3"/>
      <c r="Y5890" s="3"/>
    </row>
    <row r="5891">
      <c r="A5891" s="3"/>
      <c r="B5891" s="3"/>
      <c r="C5891" s="3"/>
      <c r="D5891" s="3"/>
      <c r="E5891" s="3"/>
      <c r="F5891" s="3"/>
      <c r="G5891" s="3"/>
      <c r="H5891" s="3"/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  <c r="T5891" s="3"/>
      <c r="U5891" s="3"/>
      <c r="V5891" s="3"/>
      <c r="W5891" s="3"/>
      <c r="X5891" s="3"/>
      <c r="Y5891" s="3"/>
    </row>
    <row r="5892">
      <c r="A5892" s="3"/>
      <c r="B5892" s="3"/>
      <c r="C5892" s="3"/>
      <c r="D5892" s="3"/>
      <c r="E5892" s="3"/>
      <c r="F5892" s="3"/>
      <c r="G5892" s="3"/>
      <c r="H5892" s="3"/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  <c r="T5892" s="3"/>
      <c r="U5892" s="3"/>
      <c r="V5892" s="3"/>
      <c r="W5892" s="3"/>
      <c r="X5892" s="3"/>
      <c r="Y5892" s="3"/>
    </row>
    <row r="5893">
      <c r="A5893" s="3"/>
      <c r="B5893" s="3"/>
      <c r="C5893" s="3"/>
      <c r="D5893" s="3"/>
      <c r="E5893" s="3"/>
      <c r="F5893" s="3"/>
      <c r="G5893" s="3"/>
      <c r="H5893" s="3"/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  <c r="T5893" s="3"/>
      <c r="U5893" s="3"/>
      <c r="V5893" s="3"/>
      <c r="W5893" s="3"/>
      <c r="X5893" s="3"/>
      <c r="Y5893" s="3"/>
    </row>
    <row r="5894">
      <c r="A5894" s="3"/>
      <c r="B5894" s="3"/>
      <c r="C5894" s="3"/>
      <c r="D5894" s="3"/>
      <c r="E5894" s="3"/>
      <c r="F5894" s="3"/>
      <c r="G5894" s="3"/>
      <c r="H5894" s="3"/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  <c r="T5894" s="3"/>
      <c r="U5894" s="3"/>
      <c r="V5894" s="3"/>
      <c r="W5894" s="3"/>
      <c r="X5894" s="3"/>
      <c r="Y5894" s="3"/>
    </row>
    <row r="5895">
      <c r="A5895" s="3"/>
      <c r="B5895" s="3"/>
      <c r="C5895" s="3"/>
      <c r="D5895" s="3"/>
      <c r="E5895" s="3"/>
      <c r="F5895" s="3"/>
      <c r="G5895" s="3"/>
      <c r="H5895" s="3"/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  <c r="T5895" s="3"/>
      <c r="U5895" s="3"/>
      <c r="V5895" s="3"/>
      <c r="W5895" s="3"/>
      <c r="X5895" s="3"/>
      <c r="Y5895" s="3"/>
    </row>
    <row r="5896">
      <c r="A5896" s="3"/>
      <c r="B5896" s="3"/>
      <c r="C5896" s="3"/>
      <c r="D5896" s="3"/>
      <c r="E5896" s="3"/>
      <c r="F5896" s="3"/>
      <c r="G5896" s="3"/>
      <c r="H5896" s="3"/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  <c r="T5896" s="3"/>
      <c r="U5896" s="3"/>
      <c r="V5896" s="3"/>
      <c r="W5896" s="3"/>
      <c r="X5896" s="3"/>
      <c r="Y5896" s="3"/>
    </row>
    <row r="5897">
      <c r="A5897" s="3"/>
      <c r="B5897" s="3"/>
      <c r="C5897" s="3"/>
      <c r="D5897" s="3"/>
      <c r="E5897" s="3"/>
      <c r="F5897" s="3"/>
      <c r="G5897" s="3"/>
      <c r="H5897" s="3"/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  <c r="T5897" s="3"/>
      <c r="U5897" s="3"/>
      <c r="V5897" s="3"/>
      <c r="W5897" s="3"/>
      <c r="X5897" s="3"/>
      <c r="Y5897" s="3"/>
    </row>
    <row r="5898">
      <c r="A5898" s="3"/>
      <c r="B5898" s="3"/>
      <c r="C5898" s="3"/>
      <c r="D5898" s="3"/>
      <c r="E5898" s="3"/>
      <c r="F5898" s="3"/>
      <c r="G5898" s="3"/>
      <c r="H5898" s="3"/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  <c r="T5898" s="3"/>
      <c r="U5898" s="3"/>
      <c r="V5898" s="3"/>
      <c r="W5898" s="3"/>
      <c r="X5898" s="3"/>
      <c r="Y5898" s="3"/>
    </row>
    <row r="5899">
      <c r="A5899" s="3"/>
      <c r="B5899" s="3"/>
      <c r="C5899" s="3"/>
      <c r="D5899" s="3"/>
      <c r="E5899" s="3"/>
      <c r="F5899" s="3"/>
      <c r="G5899" s="3"/>
      <c r="H5899" s="3"/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  <c r="T5899" s="3"/>
      <c r="U5899" s="3"/>
      <c r="V5899" s="3"/>
      <c r="W5899" s="3"/>
      <c r="X5899" s="3"/>
      <c r="Y5899" s="3"/>
    </row>
    <row r="5900">
      <c r="A5900" s="3"/>
      <c r="B5900" s="3"/>
      <c r="C5900" s="3"/>
      <c r="D5900" s="3"/>
      <c r="E5900" s="3"/>
      <c r="F5900" s="3"/>
      <c r="G5900" s="3"/>
      <c r="H5900" s="3"/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  <c r="T5900" s="3"/>
      <c r="U5900" s="3"/>
      <c r="V5900" s="3"/>
      <c r="W5900" s="3"/>
      <c r="X5900" s="3"/>
      <c r="Y5900" s="3"/>
    </row>
    <row r="5901">
      <c r="A5901" s="3"/>
      <c r="B5901" s="3"/>
      <c r="C5901" s="3"/>
      <c r="D5901" s="3"/>
      <c r="E5901" s="3"/>
      <c r="F5901" s="3"/>
      <c r="G5901" s="3"/>
      <c r="H5901" s="3"/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  <c r="T5901" s="3"/>
      <c r="U5901" s="3"/>
      <c r="V5901" s="3"/>
      <c r="W5901" s="3"/>
      <c r="X5901" s="3"/>
      <c r="Y5901" s="3"/>
    </row>
    <row r="5902">
      <c r="A5902" s="3"/>
      <c r="B5902" s="3"/>
      <c r="C5902" s="3"/>
      <c r="D5902" s="3"/>
      <c r="E5902" s="3"/>
      <c r="F5902" s="3"/>
      <c r="G5902" s="3"/>
      <c r="H5902" s="3"/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  <c r="T5902" s="3"/>
      <c r="U5902" s="3"/>
      <c r="V5902" s="3"/>
      <c r="W5902" s="3"/>
      <c r="X5902" s="3"/>
      <c r="Y5902" s="3"/>
    </row>
    <row r="5903">
      <c r="A5903" s="3"/>
      <c r="B5903" s="3"/>
      <c r="C5903" s="3"/>
      <c r="D5903" s="3"/>
      <c r="E5903" s="3"/>
      <c r="F5903" s="3"/>
      <c r="G5903" s="3"/>
      <c r="H5903" s="3"/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  <c r="T5903" s="3"/>
      <c r="U5903" s="3"/>
      <c r="V5903" s="3"/>
      <c r="W5903" s="3"/>
      <c r="X5903" s="3"/>
      <c r="Y5903" s="3"/>
    </row>
    <row r="5904">
      <c r="A5904" s="3"/>
      <c r="B5904" s="3"/>
      <c r="C5904" s="3"/>
      <c r="D5904" s="3"/>
      <c r="E5904" s="3"/>
      <c r="F5904" s="3"/>
      <c r="G5904" s="3"/>
      <c r="H5904" s="3"/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  <c r="T5904" s="3"/>
      <c r="U5904" s="3"/>
      <c r="V5904" s="3"/>
      <c r="W5904" s="3"/>
      <c r="X5904" s="3"/>
      <c r="Y5904" s="3"/>
    </row>
    <row r="5905">
      <c r="A5905" s="3"/>
      <c r="B5905" s="3"/>
      <c r="C5905" s="3"/>
      <c r="D5905" s="3"/>
      <c r="E5905" s="3"/>
      <c r="F5905" s="3"/>
      <c r="G5905" s="3"/>
      <c r="H5905" s="3"/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  <c r="T5905" s="3"/>
      <c r="U5905" s="3"/>
      <c r="V5905" s="3"/>
      <c r="W5905" s="3"/>
      <c r="X5905" s="3"/>
      <c r="Y5905" s="3"/>
    </row>
    <row r="5906">
      <c r="A5906" s="3"/>
      <c r="B5906" s="3"/>
      <c r="C5906" s="3"/>
      <c r="D5906" s="3"/>
      <c r="E5906" s="3"/>
      <c r="F5906" s="3"/>
      <c r="G5906" s="3"/>
      <c r="H5906" s="3"/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  <c r="T5906" s="3"/>
      <c r="U5906" s="3"/>
      <c r="V5906" s="3"/>
      <c r="W5906" s="3"/>
      <c r="X5906" s="3"/>
      <c r="Y5906" s="3"/>
    </row>
    <row r="5907">
      <c r="A5907" s="3"/>
      <c r="B5907" s="3"/>
      <c r="C5907" s="3"/>
      <c r="D5907" s="3"/>
      <c r="E5907" s="3"/>
      <c r="F5907" s="3"/>
      <c r="G5907" s="3"/>
      <c r="H5907" s="3"/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  <c r="T5907" s="3"/>
      <c r="U5907" s="3"/>
      <c r="V5907" s="3"/>
      <c r="W5907" s="3"/>
      <c r="X5907" s="3"/>
      <c r="Y5907" s="3"/>
    </row>
    <row r="5908">
      <c r="A5908" s="3"/>
      <c r="B5908" s="3"/>
      <c r="C5908" s="3"/>
      <c r="D5908" s="3"/>
      <c r="E5908" s="3"/>
      <c r="F5908" s="3"/>
      <c r="G5908" s="3"/>
      <c r="H5908" s="3"/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  <c r="T5908" s="3"/>
      <c r="U5908" s="3"/>
      <c r="V5908" s="3"/>
      <c r="W5908" s="3"/>
      <c r="X5908" s="3"/>
      <c r="Y5908" s="3"/>
    </row>
    <row r="5909">
      <c r="A5909" s="3"/>
      <c r="B5909" s="3"/>
      <c r="C5909" s="3"/>
      <c r="D5909" s="3"/>
      <c r="E5909" s="3"/>
      <c r="F5909" s="3"/>
      <c r="G5909" s="3"/>
      <c r="H5909" s="3"/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  <c r="T5909" s="3"/>
      <c r="U5909" s="3"/>
      <c r="V5909" s="3"/>
      <c r="W5909" s="3"/>
      <c r="X5909" s="3"/>
      <c r="Y5909" s="3"/>
    </row>
    <row r="5910">
      <c r="A5910" s="3"/>
      <c r="B5910" s="3"/>
      <c r="C5910" s="3"/>
      <c r="D5910" s="3"/>
      <c r="E5910" s="3"/>
      <c r="F5910" s="3"/>
      <c r="G5910" s="3"/>
      <c r="H5910" s="3"/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  <c r="T5910" s="3"/>
      <c r="U5910" s="3"/>
      <c r="V5910" s="3"/>
      <c r="W5910" s="3"/>
      <c r="X5910" s="3"/>
      <c r="Y5910" s="3"/>
    </row>
    <row r="5911">
      <c r="A5911" s="3"/>
      <c r="B5911" s="3"/>
      <c r="C5911" s="3"/>
      <c r="D5911" s="3"/>
      <c r="E5911" s="3"/>
      <c r="F5911" s="3"/>
      <c r="G5911" s="3"/>
      <c r="H5911" s="3"/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  <c r="T5911" s="3"/>
      <c r="U5911" s="3"/>
      <c r="V5911" s="3"/>
      <c r="W5911" s="3"/>
      <c r="X5911" s="3"/>
      <c r="Y5911" s="3"/>
    </row>
    <row r="5912">
      <c r="A5912" s="3"/>
      <c r="B5912" s="3"/>
      <c r="C5912" s="3"/>
      <c r="D5912" s="3"/>
      <c r="E5912" s="3"/>
      <c r="F5912" s="3"/>
      <c r="G5912" s="3"/>
      <c r="H5912" s="3"/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  <c r="T5912" s="3"/>
      <c r="U5912" s="3"/>
      <c r="V5912" s="3"/>
      <c r="W5912" s="3"/>
      <c r="X5912" s="3"/>
      <c r="Y5912" s="3"/>
    </row>
    <row r="5913">
      <c r="A5913" s="3"/>
      <c r="B5913" s="3"/>
      <c r="C5913" s="3"/>
      <c r="D5913" s="3"/>
      <c r="E5913" s="3"/>
      <c r="F5913" s="3"/>
      <c r="G5913" s="3"/>
      <c r="H5913" s="3"/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  <c r="T5913" s="3"/>
      <c r="U5913" s="3"/>
      <c r="V5913" s="3"/>
      <c r="W5913" s="3"/>
      <c r="X5913" s="3"/>
      <c r="Y5913" s="3"/>
    </row>
    <row r="5914">
      <c r="A5914" s="3"/>
      <c r="B5914" s="3"/>
      <c r="C5914" s="3"/>
      <c r="D5914" s="3"/>
      <c r="E5914" s="3"/>
      <c r="F5914" s="3"/>
      <c r="G5914" s="3"/>
      <c r="H5914" s="3"/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  <c r="T5914" s="3"/>
      <c r="U5914" s="3"/>
      <c r="V5914" s="3"/>
      <c r="W5914" s="3"/>
      <c r="X5914" s="3"/>
      <c r="Y5914" s="3"/>
    </row>
    <row r="5915">
      <c r="A5915" s="3"/>
      <c r="B5915" s="3"/>
      <c r="C5915" s="3"/>
      <c r="D5915" s="3"/>
      <c r="E5915" s="3"/>
      <c r="F5915" s="3"/>
      <c r="G5915" s="3"/>
      <c r="H5915" s="3"/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  <c r="T5915" s="3"/>
      <c r="U5915" s="3"/>
      <c r="V5915" s="3"/>
      <c r="W5915" s="3"/>
      <c r="X5915" s="3"/>
      <c r="Y5915" s="3"/>
    </row>
    <row r="5916">
      <c r="A5916" s="3"/>
      <c r="B5916" s="3"/>
      <c r="C5916" s="3"/>
      <c r="D5916" s="3"/>
      <c r="E5916" s="3"/>
      <c r="F5916" s="3"/>
      <c r="G5916" s="3"/>
      <c r="H5916" s="3"/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  <c r="T5916" s="3"/>
      <c r="U5916" s="3"/>
      <c r="V5916" s="3"/>
      <c r="W5916" s="3"/>
      <c r="X5916" s="3"/>
      <c r="Y5916" s="3"/>
    </row>
    <row r="5917">
      <c r="A5917" s="3"/>
      <c r="B5917" s="3"/>
      <c r="C5917" s="3"/>
      <c r="D5917" s="3"/>
      <c r="E5917" s="3"/>
      <c r="F5917" s="3"/>
      <c r="G5917" s="3"/>
      <c r="H5917" s="3"/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  <c r="T5917" s="3"/>
      <c r="U5917" s="3"/>
      <c r="V5917" s="3"/>
      <c r="W5917" s="3"/>
      <c r="X5917" s="3"/>
      <c r="Y5917" s="3"/>
    </row>
    <row r="5918">
      <c r="A5918" s="3"/>
      <c r="B5918" s="3"/>
      <c r="C5918" s="3"/>
      <c r="D5918" s="3"/>
      <c r="E5918" s="3"/>
      <c r="F5918" s="3"/>
      <c r="G5918" s="3"/>
      <c r="H5918" s="3"/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  <c r="T5918" s="3"/>
      <c r="U5918" s="3"/>
      <c r="V5918" s="3"/>
      <c r="W5918" s="3"/>
      <c r="X5918" s="3"/>
      <c r="Y5918" s="3"/>
    </row>
    <row r="5919">
      <c r="A5919" s="3"/>
      <c r="B5919" s="3"/>
      <c r="C5919" s="3"/>
      <c r="D5919" s="3"/>
      <c r="E5919" s="3"/>
      <c r="F5919" s="3"/>
      <c r="G5919" s="3"/>
      <c r="H5919" s="3"/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  <c r="T5919" s="3"/>
      <c r="U5919" s="3"/>
      <c r="V5919" s="3"/>
      <c r="W5919" s="3"/>
      <c r="X5919" s="3"/>
      <c r="Y5919" s="3"/>
    </row>
    <row r="5920">
      <c r="A5920" s="3"/>
      <c r="B5920" s="3"/>
      <c r="C5920" s="3"/>
      <c r="D5920" s="3"/>
      <c r="E5920" s="3"/>
      <c r="F5920" s="3"/>
      <c r="G5920" s="3"/>
      <c r="H5920" s="3"/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  <c r="T5920" s="3"/>
      <c r="U5920" s="3"/>
      <c r="V5920" s="3"/>
      <c r="W5920" s="3"/>
      <c r="X5920" s="3"/>
      <c r="Y5920" s="3"/>
    </row>
    <row r="5921">
      <c r="A5921" s="3"/>
      <c r="B5921" s="3"/>
      <c r="C5921" s="3"/>
      <c r="D5921" s="3"/>
      <c r="E5921" s="3"/>
      <c r="F5921" s="3"/>
      <c r="G5921" s="3"/>
      <c r="H5921" s="3"/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  <c r="T5921" s="3"/>
      <c r="U5921" s="3"/>
      <c r="V5921" s="3"/>
      <c r="W5921" s="3"/>
      <c r="X5921" s="3"/>
      <c r="Y5921" s="3"/>
    </row>
    <row r="5922">
      <c r="A5922" s="3"/>
      <c r="B5922" s="3"/>
      <c r="C5922" s="3"/>
      <c r="D5922" s="3"/>
      <c r="E5922" s="3"/>
      <c r="F5922" s="3"/>
      <c r="G5922" s="3"/>
      <c r="H5922" s="3"/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  <c r="T5922" s="3"/>
      <c r="U5922" s="3"/>
      <c r="V5922" s="3"/>
      <c r="W5922" s="3"/>
      <c r="X5922" s="3"/>
      <c r="Y5922" s="3"/>
    </row>
    <row r="5923">
      <c r="A5923" s="3"/>
      <c r="B5923" s="3"/>
      <c r="C5923" s="3"/>
      <c r="D5923" s="3"/>
      <c r="E5923" s="3"/>
      <c r="F5923" s="3"/>
      <c r="G5923" s="3"/>
      <c r="H5923" s="3"/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  <c r="T5923" s="3"/>
      <c r="U5923" s="3"/>
      <c r="V5923" s="3"/>
      <c r="W5923" s="3"/>
      <c r="X5923" s="3"/>
      <c r="Y5923" s="3"/>
    </row>
    <row r="5924">
      <c r="A5924" s="3"/>
      <c r="B5924" s="3"/>
      <c r="C5924" s="3"/>
      <c r="D5924" s="3"/>
      <c r="E5924" s="3"/>
      <c r="F5924" s="3"/>
      <c r="G5924" s="3"/>
      <c r="H5924" s="3"/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  <c r="T5924" s="3"/>
      <c r="U5924" s="3"/>
      <c r="V5924" s="3"/>
      <c r="W5924" s="3"/>
      <c r="X5924" s="3"/>
      <c r="Y5924" s="3"/>
    </row>
    <row r="5925">
      <c r="A5925" s="3"/>
      <c r="B5925" s="3"/>
      <c r="C5925" s="3"/>
      <c r="D5925" s="3"/>
      <c r="E5925" s="3"/>
      <c r="F5925" s="3"/>
      <c r="G5925" s="3"/>
      <c r="H5925" s="3"/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  <c r="T5925" s="3"/>
      <c r="U5925" s="3"/>
      <c r="V5925" s="3"/>
      <c r="W5925" s="3"/>
      <c r="X5925" s="3"/>
      <c r="Y5925" s="3"/>
    </row>
    <row r="5926">
      <c r="A5926" s="3"/>
      <c r="B5926" s="3"/>
      <c r="C5926" s="3"/>
      <c r="D5926" s="3"/>
      <c r="E5926" s="3"/>
      <c r="F5926" s="3"/>
      <c r="G5926" s="3"/>
      <c r="H5926" s="3"/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  <c r="T5926" s="3"/>
      <c r="U5926" s="3"/>
      <c r="V5926" s="3"/>
      <c r="W5926" s="3"/>
      <c r="X5926" s="3"/>
      <c r="Y5926" s="3"/>
    </row>
    <row r="5927">
      <c r="A5927" s="3"/>
      <c r="B5927" s="3"/>
      <c r="C5927" s="3"/>
      <c r="D5927" s="3"/>
      <c r="E5927" s="3"/>
      <c r="F5927" s="3"/>
      <c r="G5927" s="3"/>
      <c r="H5927" s="3"/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  <c r="T5927" s="3"/>
      <c r="U5927" s="3"/>
      <c r="V5927" s="3"/>
      <c r="W5927" s="3"/>
      <c r="X5927" s="3"/>
      <c r="Y5927" s="3"/>
    </row>
    <row r="5928">
      <c r="A5928" s="3"/>
      <c r="B5928" s="3"/>
      <c r="C5928" s="3"/>
      <c r="D5928" s="3"/>
      <c r="E5928" s="3"/>
      <c r="F5928" s="3"/>
      <c r="G5928" s="3"/>
      <c r="H5928" s="3"/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  <c r="T5928" s="3"/>
      <c r="U5928" s="3"/>
      <c r="V5928" s="3"/>
      <c r="W5928" s="3"/>
      <c r="X5928" s="3"/>
      <c r="Y5928" s="3"/>
    </row>
    <row r="5929">
      <c r="A5929" s="3"/>
      <c r="B5929" s="3"/>
      <c r="C5929" s="3"/>
      <c r="D5929" s="3"/>
      <c r="E5929" s="3"/>
      <c r="F5929" s="3"/>
      <c r="G5929" s="3"/>
      <c r="H5929" s="3"/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  <c r="T5929" s="3"/>
      <c r="U5929" s="3"/>
      <c r="V5929" s="3"/>
      <c r="W5929" s="3"/>
      <c r="X5929" s="3"/>
      <c r="Y5929" s="3"/>
    </row>
    <row r="5930">
      <c r="A5930" s="3"/>
      <c r="B5930" s="3"/>
      <c r="C5930" s="3"/>
      <c r="D5930" s="3"/>
      <c r="E5930" s="3"/>
      <c r="F5930" s="3"/>
      <c r="G5930" s="3"/>
      <c r="H5930" s="3"/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  <c r="T5930" s="3"/>
      <c r="U5930" s="3"/>
      <c r="V5930" s="3"/>
      <c r="W5930" s="3"/>
      <c r="X5930" s="3"/>
      <c r="Y5930" s="3"/>
    </row>
    <row r="5931">
      <c r="A5931" s="3"/>
      <c r="B5931" s="3"/>
      <c r="C5931" s="3"/>
      <c r="D5931" s="3"/>
      <c r="E5931" s="3"/>
      <c r="F5931" s="3"/>
      <c r="G5931" s="3"/>
      <c r="H5931" s="3"/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  <c r="T5931" s="3"/>
      <c r="U5931" s="3"/>
      <c r="V5931" s="3"/>
      <c r="W5931" s="3"/>
      <c r="X5931" s="3"/>
      <c r="Y5931" s="3"/>
    </row>
    <row r="5932">
      <c r="A5932" s="3"/>
      <c r="B5932" s="3"/>
      <c r="C5932" s="3"/>
      <c r="D5932" s="3"/>
      <c r="E5932" s="3"/>
      <c r="F5932" s="3"/>
      <c r="G5932" s="3"/>
      <c r="H5932" s="3"/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  <c r="T5932" s="3"/>
      <c r="U5932" s="3"/>
      <c r="V5932" s="3"/>
      <c r="W5932" s="3"/>
      <c r="X5932" s="3"/>
      <c r="Y5932" s="3"/>
    </row>
    <row r="5933">
      <c r="A5933" s="3"/>
      <c r="B5933" s="3"/>
      <c r="C5933" s="3"/>
      <c r="D5933" s="3"/>
      <c r="E5933" s="3"/>
      <c r="F5933" s="3"/>
      <c r="G5933" s="3"/>
      <c r="H5933" s="3"/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  <c r="T5933" s="3"/>
      <c r="U5933" s="3"/>
      <c r="V5933" s="3"/>
      <c r="W5933" s="3"/>
      <c r="X5933" s="3"/>
      <c r="Y5933" s="3"/>
    </row>
    <row r="5934">
      <c r="A5934" s="3"/>
      <c r="B5934" s="3"/>
      <c r="C5934" s="3"/>
      <c r="D5934" s="3"/>
      <c r="E5934" s="3"/>
      <c r="F5934" s="3"/>
      <c r="G5934" s="3"/>
      <c r="H5934" s="3"/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  <c r="T5934" s="3"/>
      <c r="U5934" s="3"/>
      <c r="V5934" s="3"/>
      <c r="W5934" s="3"/>
      <c r="X5934" s="3"/>
      <c r="Y5934" s="3"/>
    </row>
    <row r="5935">
      <c r="A5935" s="3"/>
      <c r="B5935" s="3"/>
      <c r="C5935" s="3"/>
      <c r="D5935" s="3"/>
      <c r="E5935" s="3"/>
      <c r="F5935" s="3"/>
      <c r="G5935" s="3"/>
      <c r="H5935" s="3"/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  <c r="T5935" s="3"/>
      <c r="U5935" s="3"/>
      <c r="V5935" s="3"/>
      <c r="W5935" s="3"/>
      <c r="X5935" s="3"/>
      <c r="Y5935" s="3"/>
    </row>
    <row r="5936">
      <c r="A5936" s="3"/>
      <c r="B5936" s="3"/>
      <c r="C5936" s="3"/>
      <c r="D5936" s="3"/>
      <c r="E5936" s="3"/>
      <c r="F5936" s="3"/>
      <c r="G5936" s="3"/>
      <c r="H5936" s="3"/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  <c r="T5936" s="3"/>
      <c r="U5936" s="3"/>
      <c r="V5936" s="3"/>
      <c r="W5936" s="3"/>
      <c r="X5936" s="3"/>
      <c r="Y5936" s="3"/>
    </row>
    <row r="5937">
      <c r="A5937" s="3"/>
      <c r="B5937" s="3"/>
      <c r="C5937" s="3"/>
      <c r="D5937" s="3"/>
      <c r="E5937" s="3"/>
      <c r="F5937" s="3"/>
      <c r="G5937" s="3"/>
      <c r="H5937" s="3"/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  <c r="T5937" s="3"/>
      <c r="U5937" s="3"/>
      <c r="V5937" s="3"/>
      <c r="W5937" s="3"/>
      <c r="X5937" s="3"/>
      <c r="Y5937" s="3"/>
    </row>
    <row r="5938">
      <c r="A5938" s="3"/>
      <c r="B5938" s="3"/>
      <c r="C5938" s="3"/>
      <c r="D5938" s="3"/>
      <c r="E5938" s="3"/>
      <c r="F5938" s="3"/>
      <c r="G5938" s="3"/>
      <c r="H5938" s="3"/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  <c r="T5938" s="3"/>
      <c r="U5938" s="3"/>
      <c r="V5938" s="3"/>
      <c r="W5938" s="3"/>
      <c r="X5938" s="3"/>
      <c r="Y5938" s="3"/>
    </row>
    <row r="5939">
      <c r="A5939" s="3"/>
      <c r="B5939" s="3"/>
      <c r="C5939" s="3"/>
      <c r="D5939" s="3"/>
      <c r="E5939" s="3"/>
      <c r="F5939" s="3"/>
      <c r="G5939" s="3"/>
      <c r="H5939" s="3"/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  <c r="T5939" s="3"/>
      <c r="U5939" s="3"/>
      <c r="V5939" s="3"/>
      <c r="W5939" s="3"/>
      <c r="X5939" s="3"/>
      <c r="Y5939" s="3"/>
    </row>
    <row r="5940">
      <c r="A5940" s="3"/>
      <c r="B5940" s="3"/>
      <c r="C5940" s="3"/>
      <c r="D5940" s="3"/>
      <c r="E5940" s="3"/>
      <c r="F5940" s="3"/>
      <c r="G5940" s="3"/>
      <c r="H5940" s="3"/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  <c r="T5940" s="3"/>
      <c r="U5940" s="3"/>
      <c r="V5940" s="3"/>
      <c r="W5940" s="3"/>
      <c r="X5940" s="3"/>
      <c r="Y5940" s="3"/>
    </row>
    <row r="5941">
      <c r="A5941" s="3"/>
      <c r="B5941" s="3"/>
      <c r="C5941" s="3"/>
      <c r="D5941" s="3"/>
      <c r="E5941" s="3"/>
      <c r="F5941" s="3"/>
      <c r="G5941" s="3"/>
      <c r="H5941" s="3"/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  <c r="T5941" s="3"/>
      <c r="U5941" s="3"/>
      <c r="V5941" s="3"/>
      <c r="W5941" s="3"/>
      <c r="X5941" s="3"/>
      <c r="Y5941" s="3"/>
    </row>
    <row r="5942">
      <c r="A5942" s="3"/>
      <c r="B5942" s="3"/>
      <c r="C5942" s="3"/>
      <c r="D5942" s="3"/>
      <c r="E5942" s="3"/>
      <c r="F5942" s="3"/>
      <c r="G5942" s="3"/>
      <c r="H5942" s="3"/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  <c r="T5942" s="3"/>
      <c r="U5942" s="3"/>
      <c r="V5942" s="3"/>
      <c r="W5942" s="3"/>
      <c r="X5942" s="3"/>
      <c r="Y5942" s="3"/>
    </row>
    <row r="5943">
      <c r="A5943" s="3"/>
      <c r="B5943" s="3"/>
      <c r="C5943" s="3"/>
      <c r="D5943" s="3"/>
      <c r="E5943" s="3"/>
      <c r="F5943" s="3"/>
      <c r="G5943" s="3"/>
      <c r="H5943" s="3"/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  <c r="T5943" s="3"/>
      <c r="U5943" s="3"/>
      <c r="V5943" s="3"/>
      <c r="W5943" s="3"/>
      <c r="X5943" s="3"/>
      <c r="Y5943" s="3"/>
    </row>
    <row r="5944">
      <c r="A5944" s="3"/>
      <c r="B5944" s="3"/>
      <c r="C5944" s="3"/>
      <c r="D5944" s="3"/>
      <c r="E5944" s="3"/>
      <c r="F5944" s="3"/>
      <c r="G5944" s="3"/>
      <c r="H5944" s="3"/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  <c r="T5944" s="3"/>
      <c r="U5944" s="3"/>
      <c r="V5944" s="3"/>
      <c r="W5944" s="3"/>
      <c r="X5944" s="3"/>
      <c r="Y5944" s="3"/>
    </row>
    <row r="5945">
      <c r="A5945" s="3"/>
      <c r="B5945" s="3"/>
      <c r="C5945" s="3"/>
      <c r="D5945" s="3"/>
      <c r="E5945" s="3"/>
      <c r="F5945" s="3"/>
      <c r="G5945" s="3"/>
      <c r="H5945" s="3"/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  <c r="T5945" s="3"/>
      <c r="U5945" s="3"/>
      <c r="V5945" s="3"/>
      <c r="W5945" s="3"/>
      <c r="X5945" s="3"/>
      <c r="Y5945" s="3"/>
    </row>
    <row r="5946">
      <c r="A5946" s="3"/>
      <c r="B5946" s="3"/>
      <c r="C5946" s="3"/>
      <c r="D5946" s="3"/>
      <c r="E5946" s="3"/>
      <c r="F5946" s="3"/>
      <c r="G5946" s="3"/>
      <c r="H5946" s="3"/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  <c r="T5946" s="3"/>
      <c r="U5946" s="3"/>
      <c r="V5946" s="3"/>
      <c r="W5946" s="3"/>
      <c r="X5946" s="3"/>
      <c r="Y5946" s="3"/>
    </row>
    <row r="5947">
      <c r="A5947" s="3"/>
      <c r="B5947" s="3"/>
      <c r="C5947" s="3"/>
      <c r="D5947" s="3"/>
      <c r="E5947" s="3"/>
      <c r="F5947" s="3"/>
      <c r="G5947" s="3"/>
      <c r="H5947" s="3"/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  <c r="T5947" s="3"/>
      <c r="U5947" s="3"/>
      <c r="V5947" s="3"/>
      <c r="W5947" s="3"/>
      <c r="X5947" s="3"/>
      <c r="Y5947" s="3"/>
    </row>
    <row r="5948">
      <c r="A5948" s="3"/>
      <c r="B5948" s="3"/>
      <c r="C5948" s="3"/>
      <c r="D5948" s="3"/>
      <c r="E5948" s="3"/>
      <c r="F5948" s="3"/>
      <c r="G5948" s="3"/>
      <c r="H5948" s="3"/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  <c r="T5948" s="3"/>
      <c r="U5948" s="3"/>
      <c r="V5948" s="3"/>
      <c r="W5948" s="3"/>
      <c r="X5948" s="3"/>
      <c r="Y5948" s="3"/>
    </row>
    <row r="5949">
      <c r="A5949" s="3"/>
      <c r="B5949" s="3"/>
      <c r="C5949" s="3"/>
      <c r="D5949" s="3"/>
      <c r="E5949" s="3"/>
      <c r="F5949" s="3"/>
      <c r="G5949" s="3"/>
      <c r="H5949" s="3"/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  <c r="T5949" s="3"/>
      <c r="U5949" s="3"/>
      <c r="V5949" s="3"/>
      <c r="W5949" s="3"/>
      <c r="X5949" s="3"/>
      <c r="Y5949" s="3"/>
    </row>
    <row r="5950">
      <c r="A5950" s="3"/>
      <c r="B5950" s="3"/>
      <c r="C5950" s="3"/>
      <c r="D5950" s="3"/>
      <c r="E5950" s="3"/>
      <c r="F5950" s="3"/>
      <c r="G5950" s="3"/>
      <c r="H5950" s="3"/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  <c r="T5950" s="3"/>
      <c r="U5950" s="3"/>
      <c r="V5950" s="3"/>
      <c r="W5950" s="3"/>
      <c r="X5950" s="3"/>
      <c r="Y5950" s="3"/>
    </row>
    <row r="5951">
      <c r="A5951" s="3"/>
      <c r="B5951" s="3"/>
      <c r="C5951" s="3"/>
      <c r="D5951" s="3"/>
      <c r="E5951" s="3"/>
      <c r="F5951" s="3"/>
      <c r="G5951" s="3"/>
      <c r="H5951" s="3"/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  <c r="T5951" s="3"/>
      <c r="U5951" s="3"/>
      <c r="V5951" s="3"/>
      <c r="W5951" s="3"/>
      <c r="X5951" s="3"/>
      <c r="Y5951" s="3"/>
    </row>
    <row r="5952">
      <c r="A5952" s="3"/>
      <c r="B5952" s="3"/>
      <c r="C5952" s="3"/>
      <c r="D5952" s="3"/>
      <c r="E5952" s="3"/>
      <c r="F5952" s="3"/>
      <c r="G5952" s="3"/>
      <c r="H5952" s="3"/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  <c r="T5952" s="3"/>
      <c r="U5952" s="3"/>
      <c r="V5952" s="3"/>
      <c r="W5952" s="3"/>
      <c r="X5952" s="3"/>
      <c r="Y5952" s="3"/>
    </row>
    <row r="5953">
      <c r="A5953" s="3"/>
      <c r="B5953" s="3"/>
      <c r="C5953" s="3"/>
      <c r="D5953" s="3"/>
      <c r="E5953" s="3"/>
      <c r="F5953" s="3"/>
      <c r="G5953" s="3"/>
      <c r="H5953" s="3"/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  <c r="T5953" s="3"/>
      <c r="U5953" s="3"/>
      <c r="V5953" s="3"/>
      <c r="W5953" s="3"/>
      <c r="X5953" s="3"/>
      <c r="Y5953" s="3"/>
    </row>
    <row r="5954">
      <c r="A5954" s="3"/>
      <c r="B5954" s="3"/>
      <c r="C5954" s="3"/>
      <c r="D5954" s="3"/>
      <c r="E5954" s="3"/>
      <c r="F5954" s="3"/>
      <c r="G5954" s="3"/>
      <c r="H5954" s="3"/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  <c r="T5954" s="3"/>
      <c r="U5954" s="3"/>
      <c r="V5954" s="3"/>
      <c r="W5954" s="3"/>
      <c r="X5954" s="3"/>
      <c r="Y5954" s="3"/>
    </row>
    <row r="5955">
      <c r="A5955" s="3"/>
      <c r="B5955" s="3"/>
      <c r="C5955" s="3"/>
      <c r="D5955" s="3"/>
      <c r="E5955" s="3"/>
      <c r="F5955" s="3"/>
      <c r="G5955" s="3"/>
      <c r="H5955" s="3"/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  <c r="T5955" s="3"/>
      <c r="U5955" s="3"/>
      <c r="V5955" s="3"/>
      <c r="W5955" s="3"/>
      <c r="X5955" s="3"/>
      <c r="Y5955" s="3"/>
    </row>
    <row r="5956">
      <c r="A5956" s="3"/>
      <c r="B5956" s="3"/>
      <c r="C5956" s="3"/>
      <c r="D5956" s="3"/>
      <c r="E5956" s="3"/>
      <c r="F5956" s="3"/>
      <c r="G5956" s="3"/>
      <c r="H5956" s="3"/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  <c r="T5956" s="3"/>
      <c r="U5956" s="3"/>
      <c r="V5956" s="3"/>
      <c r="W5956" s="3"/>
      <c r="X5956" s="3"/>
      <c r="Y5956" s="3"/>
    </row>
    <row r="5957">
      <c r="A5957" s="3"/>
      <c r="B5957" s="3"/>
      <c r="C5957" s="3"/>
      <c r="D5957" s="3"/>
      <c r="E5957" s="3"/>
      <c r="F5957" s="3"/>
      <c r="G5957" s="3"/>
      <c r="H5957" s="3"/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  <c r="T5957" s="3"/>
      <c r="U5957" s="3"/>
      <c r="V5957" s="3"/>
      <c r="W5957" s="3"/>
      <c r="X5957" s="3"/>
      <c r="Y5957" s="3"/>
    </row>
    <row r="5958">
      <c r="A5958" s="3"/>
      <c r="B5958" s="3"/>
      <c r="C5958" s="3"/>
      <c r="D5958" s="3"/>
      <c r="E5958" s="3"/>
      <c r="F5958" s="3"/>
      <c r="G5958" s="3"/>
      <c r="H5958" s="3"/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  <c r="T5958" s="3"/>
      <c r="U5958" s="3"/>
      <c r="V5958" s="3"/>
      <c r="W5958" s="3"/>
      <c r="X5958" s="3"/>
      <c r="Y5958" s="3"/>
    </row>
    <row r="5959">
      <c r="A5959" s="3"/>
      <c r="B5959" s="3"/>
      <c r="C5959" s="3"/>
      <c r="D5959" s="3"/>
      <c r="E5959" s="3"/>
      <c r="F5959" s="3"/>
      <c r="G5959" s="3"/>
      <c r="H5959" s="3"/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  <c r="T5959" s="3"/>
      <c r="U5959" s="3"/>
      <c r="V5959" s="3"/>
      <c r="W5959" s="3"/>
      <c r="X5959" s="3"/>
      <c r="Y5959" s="3"/>
    </row>
    <row r="5960">
      <c r="A5960" s="3"/>
      <c r="B5960" s="3"/>
      <c r="C5960" s="3"/>
      <c r="D5960" s="3"/>
      <c r="E5960" s="3"/>
      <c r="F5960" s="3"/>
      <c r="G5960" s="3"/>
      <c r="H5960" s="3"/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  <c r="T5960" s="3"/>
      <c r="U5960" s="3"/>
      <c r="V5960" s="3"/>
      <c r="W5960" s="3"/>
      <c r="X5960" s="3"/>
      <c r="Y5960" s="3"/>
    </row>
    <row r="5961">
      <c r="A5961" s="3"/>
      <c r="B5961" s="3"/>
      <c r="C5961" s="3"/>
      <c r="D5961" s="3"/>
      <c r="E5961" s="3"/>
      <c r="F5961" s="3"/>
      <c r="G5961" s="3"/>
      <c r="H5961" s="3"/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  <c r="T5961" s="3"/>
      <c r="U5961" s="3"/>
      <c r="V5961" s="3"/>
      <c r="W5961" s="3"/>
      <c r="X5961" s="3"/>
      <c r="Y5961" s="3"/>
    </row>
    <row r="5962">
      <c r="A5962" s="3"/>
      <c r="B5962" s="3"/>
      <c r="C5962" s="3"/>
      <c r="D5962" s="3"/>
      <c r="E5962" s="3"/>
      <c r="F5962" s="3"/>
      <c r="G5962" s="3"/>
      <c r="H5962" s="3"/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  <c r="T5962" s="3"/>
      <c r="U5962" s="3"/>
      <c r="V5962" s="3"/>
      <c r="W5962" s="3"/>
      <c r="X5962" s="3"/>
      <c r="Y5962" s="3"/>
    </row>
    <row r="5963">
      <c r="A5963" s="3"/>
      <c r="B5963" s="3"/>
      <c r="C5963" s="3"/>
      <c r="D5963" s="3"/>
      <c r="E5963" s="3"/>
      <c r="F5963" s="3"/>
      <c r="G5963" s="3"/>
      <c r="H5963" s="3"/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  <c r="T5963" s="3"/>
      <c r="U5963" s="3"/>
      <c r="V5963" s="3"/>
      <c r="W5963" s="3"/>
      <c r="X5963" s="3"/>
      <c r="Y5963" s="3"/>
    </row>
    <row r="5964">
      <c r="A5964" s="3"/>
      <c r="B5964" s="3"/>
      <c r="C5964" s="3"/>
      <c r="D5964" s="3"/>
      <c r="E5964" s="3"/>
      <c r="F5964" s="3"/>
      <c r="G5964" s="3"/>
      <c r="H5964" s="3"/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  <c r="T5964" s="3"/>
      <c r="U5964" s="3"/>
      <c r="V5964" s="3"/>
      <c r="W5964" s="3"/>
      <c r="X5964" s="3"/>
      <c r="Y5964" s="3"/>
    </row>
    <row r="5965">
      <c r="A5965" s="3"/>
      <c r="B5965" s="3"/>
      <c r="C5965" s="3"/>
      <c r="D5965" s="3"/>
      <c r="E5965" s="3"/>
      <c r="F5965" s="3"/>
      <c r="G5965" s="3"/>
      <c r="H5965" s="3"/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  <c r="T5965" s="3"/>
      <c r="U5965" s="3"/>
      <c r="V5965" s="3"/>
      <c r="W5965" s="3"/>
      <c r="X5965" s="3"/>
      <c r="Y5965" s="3"/>
    </row>
    <row r="5966">
      <c r="A5966" s="3"/>
      <c r="B5966" s="3"/>
      <c r="C5966" s="3"/>
      <c r="D5966" s="3"/>
      <c r="E5966" s="3"/>
      <c r="F5966" s="3"/>
      <c r="G5966" s="3"/>
      <c r="H5966" s="3"/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  <c r="T5966" s="3"/>
      <c r="U5966" s="3"/>
      <c r="V5966" s="3"/>
      <c r="W5966" s="3"/>
      <c r="X5966" s="3"/>
      <c r="Y5966" s="3"/>
    </row>
    <row r="5967">
      <c r="A5967" s="3"/>
      <c r="B5967" s="3"/>
      <c r="C5967" s="3"/>
      <c r="D5967" s="3"/>
      <c r="E5967" s="3"/>
      <c r="F5967" s="3"/>
      <c r="G5967" s="3"/>
      <c r="H5967" s="3"/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  <c r="T5967" s="3"/>
      <c r="U5967" s="3"/>
      <c r="V5967" s="3"/>
      <c r="W5967" s="3"/>
      <c r="X5967" s="3"/>
      <c r="Y5967" s="3"/>
    </row>
    <row r="5968">
      <c r="A5968" s="3"/>
      <c r="B5968" s="3"/>
      <c r="C5968" s="3"/>
      <c r="D5968" s="3"/>
      <c r="E5968" s="3"/>
      <c r="F5968" s="3"/>
      <c r="G5968" s="3"/>
      <c r="H5968" s="3"/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  <c r="T5968" s="3"/>
      <c r="U5968" s="3"/>
      <c r="V5968" s="3"/>
      <c r="W5968" s="3"/>
      <c r="X5968" s="3"/>
      <c r="Y5968" s="3"/>
    </row>
    <row r="5969">
      <c r="A5969" s="3"/>
      <c r="B5969" s="3"/>
      <c r="C5969" s="3"/>
      <c r="D5969" s="3"/>
      <c r="E5969" s="3"/>
      <c r="F5969" s="3"/>
      <c r="G5969" s="3"/>
      <c r="H5969" s="3"/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  <c r="T5969" s="3"/>
      <c r="U5969" s="3"/>
      <c r="V5969" s="3"/>
      <c r="W5969" s="3"/>
      <c r="X5969" s="3"/>
      <c r="Y5969" s="3"/>
    </row>
    <row r="5970">
      <c r="A5970" s="3"/>
      <c r="B5970" s="3"/>
      <c r="C5970" s="3"/>
      <c r="D5970" s="3"/>
      <c r="E5970" s="3"/>
      <c r="F5970" s="3"/>
      <c r="G5970" s="3"/>
      <c r="H5970" s="3"/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  <c r="T5970" s="3"/>
      <c r="U5970" s="3"/>
      <c r="V5970" s="3"/>
      <c r="W5970" s="3"/>
      <c r="X5970" s="3"/>
      <c r="Y5970" s="3"/>
    </row>
    <row r="5971">
      <c r="A5971" s="3"/>
      <c r="B5971" s="3"/>
      <c r="C5971" s="3"/>
      <c r="D5971" s="3"/>
      <c r="E5971" s="3"/>
      <c r="F5971" s="3"/>
      <c r="G5971" s="3"/>
      <c r="H5971" s="3"/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  <c r="T5971" s="3"/>
      <c r="U5971" s="3"/>
      <c r="V5971" s="3"/>
      <c r="W5971" s="3"/>
      <c r="X5971" s="3"/>
      <c r="Y5971" s="3"/>
    </row>
    <row r="5972">
      <c r="A5972" s="3"/>
      <c r="B5972" s="3"/>
      <c r="C5972" s="3"/>
      <c r="D5972" s="3"/>
      <c r="E5972" s="3"/>
      <c r="F5972" s="3"/>
      <c r="G5972" s="3"/>
      <c r="H5972" s="3"/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  <c r="T5972" s="3"/>
      <c r="U5972" s="3"/>
      <c r="V5972" s="3"/>
      <c r="W5972" s="3"/>
      <c r="X5972" s="3"/>
      <c r="Y5972" s="3"/>
    </row>
    <row r="5973">
      <c r="A5973" s="3"/>
      <c r="B5973" s="3"/>
      <c r="C5973" s="3"/>
      <c r="D5973" s="3"/>
      <c r="E5973" s="3"/>
      <c r="F5973" s="3"/>
      <c r="G5973" s="3"/>
      <c r="H5973" s="3"/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  <c r="T5973" s="3"/>
      <c r="U5973" s="3"/>
      <c r="V5973" s="3"/>
      <c r="W5973" s="3"/>
      <c r="X5973" s="3"/>
      <c r="Y5973" s="3"/>
    </row>
    <row r="5974">
      <c r="A5974" s="3"/>
      <c r="B5974" s="3"/>
      <c r="C5974" s="3"/>
      <c r="D5974" s="3"/>
      <c r="E5974" s="3"/>
      <c r="F5974" s="3"/>
      <c r="G5974" s="3"/>
      <c r="H5974" s="3"/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  <c r="T5974" s="3"/>
      <c r="U5974" s="3"/>
      <c r="V5974" s="3"/>
      <c r="W5974" s="3"/>
      <c r="X5974" s="3"/>
      <c r="Y5974" s="3"/>
    </row>
    <row r="5975">
      <c r="A5975" s="3"/>
      <c r="B5975" s="3"/>
      <c r="C5975" s="3"/>
      <c r="D5975" s="3"/>
      <c r="E5975" s="3"/>
      <c r="F5975" s="3"/>
      <c r="G5975" s="3"/>
      <c r="H5975" s="3"/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  <c r="T5975" s="3"/>
      <c r="U5975" s="3"/>
      <c r="V5975" s="3"/>
      <c r="W5975" s="3"/>
      <c r="X5975" s="3"/>
      <c r="Y5975" s="3"/>
    </row>
    <row r="5976">
      <c r="A5976" s="3"/>
      <c r="B5976" s="3"/>
      <c r="C5976" s="3"/>
      <c r="D5976" s="3"/>
      <c r="E5976" s="3"/>
      <c r="F5976" s="3"/>
      <c r="G5976" s="3"/>
      <c r="H5976" s="3"/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  <c r="T5976" s="3"/>
      <c r="U5976" s="3"/>
      <c r="V5976" s="3"/>
      <c r="W5976" s="3"/>
      <c r="X5976" s="3"/>
      <c r="Y5976" s="3"/>
    </row>
    <row r="5977">
      <c r="A5977" s="3"/>
      <c r="B5977" s="3"/>
      <c r="C5977" s="3"/>
      <c r="D5977" s="3"/>
      <c r="E5977" s="3"/>
      <c r="F5977" s="3"/>
      <c r="G5977" s="3"/>
      <c r="H5977" s="3"/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  <c r="T5977" s="3"/>
      <c r="U5977" s="3"/>
      <c r="V5977" s="3"/>
      <c r="W5977" s="3"/>
      <c r="X5977" s="3"/>
      <c r="Y5977" s="3"/>
    </row>
    <row r="5978">
      <c r="A5978" s="3"/>
      <c r="B5978" s="3"/>
      <c r="C5978" s="3"/>
      <c r="D5978" s="3"/>
      <c r="E5978" s="3"/>
      <c r="F5978" s="3"/>
      <c r="G5978" s="3"/>
      <c r="H5978" s="3"/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  <c r="T5978" s="3"/>
      <c r="U5978" s="3"/>
      <c r="V5978" s="3"/>
      <c r="W5978" s="3"/>
      <c r="X5978" s="3"/>
      <c r="Y5978" s="3"/>
    </row>
    <row r="5979">
      <c r="A5979" s="3"/>
      <c r="B5979" s="3"/>
      <c r="C5979" s="3"/>
      <c r="D5979" s="3"/>
      <c r="E5979" s="3"/>
      <c r="F5979" s="3"/>
      <c r="G5979" s="3"/>
      <c r="H5979" s="3"/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  <c r="T5979" s="3"/>
      <c r="U5979" s="3"/>
      <c r="V5979" s="3"/>
      <c r="W5979" s="3"/>
      <c r="X5979" s="3"/>
      <c r="Y5979" s="3"/>
    </row>
    <row r="5980">
      <c r="A5980" s="3"/>
      <c r="B5980" s="3"/>
      <c r="C5980" s="3"/>
      <c r="D5980" s="3"/>
      <c r="E5980" s="3"/>
      <c r="F5980" s="3"/>
      <c r="G5980" s="3"/>
      <c r="H5980" s="3"/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  <c r="T5980" s="3"/>
      <c r="U5980" s="3"/>
      <c r="V5980" s="3"/>
      <c r="W5980" s="3"/>
      <c r="X5980" s="3"/>
      <c r="Y5980" s="3"/>
    </row>
    <row r="5981">
      <c r="A5981" s="3"/>
      <c r="B5981" s="3"/>
      <c r="C5981" s="3"/>
      <c r="D5981" s="3"/>
      <c r="E5981" s="3"/>
      <c r="F5981" s="3"/>
      <c r="G5981" s="3"/>
      <c r="H5981" s="3"/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  <c r="T5981" s="3"/>
      <c r="U5981" s="3"/>
      <c r="V5981" s="3"/>
      <c r="W5981" s="3"/>
      <c r="X5981" s="3"/>
      <c r="Y5981" s="3"/>
    </row>
    <row r="5982">
      <c r="A5982" s="3"/>
      <c r="B5982" s="3"/>
      <c r="C5982" s="3"/>
      <c r="D5982" s="3"/>
      <c r="E5982" s="3"/>
      <c r="F5982" s="3"/>
      <c r="G5982" s="3"/>
      <c r="H5982" s="3"/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  <c r="T5982" s="3"/>
      <c r="U5982" s="3"/>
      <c r="V5982" s="3"/>
      <c r="W5982" s="3"/>
      <c r="X5982" s="3"/>
      <c r="Y5982" s="3"/>
    </row>
    <row r="5983">
      <c r="A5983" s="3"/>
      <c r="B5983" s="3"/>
      <c r="C5983" s="3"/>
      <c r="D5983" s="3"/>
      <c r="E5983" s="3"/>
      <c r="F5983" s="3"/>
      <c r="G5983" s="3"/>
      <c r="H5983" s="3"/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  <c r="T5983" s="3"/>
      <c r="U5983" s="3"/>
      <c r="V5983" s="3"/>
      <c r="W5983" s="3"/>
      <c r="X5983" s="3"/>
      <c r="Y5983" s="3"/>
    </row>
    <row r="5984">
      <c r="A5984" s="3"/>
      <c r="B5984" s="3"/>
      <c r="C5984" s="3"/>
      <c r="D5984" s="3"/>
      <c r="E5984" s="3"/>
      <c r="F5984" s="3"/>
      <c r="G5984" s="3"/>
      <c r="H5984" s="3"/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  <c r="T5984" s="3"/>
      <c r="U5984" s="3"/>
      <c r="V5984" s="3"/>
      <c r="W5984" s="3"/>
      <c r="X5984" s="3"/>
      <c r="Y5984" s="3"/>
    </row>
    <row r="5985">
      <c r="A5985" s="3"/>
      <c r="B5985" s="3"/>
      <c r="C5985" s="3"/>
      <c r="D5985" s="3"/>
      <c r="E5985" s="3"/>
      <c r="F5985" s="3"/>
      <c r="G5985" s="3"/>
      <c r="H5985" s="3"/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  <c r="T5985" s="3"/>
      <c r="U5985" s="3"/>
      <c r="V5985" s="3"/>
      <c r="W5985" s="3"/>
      <c r="X5985" s="3"/>
      <c r="Y5985" s="3"/>
    </row>
    <row r="5986">
      <c r="A5986" s="3"/>
      <c r="B5986" s="3"/>
      <c r="C5986" s="3"/>
      <c r="D5986" s="3"/>
      <c r="E5986" s="3"/>
      <c r="F5986" s="3"/>
      <c r="G5986" s="3"/>
      <c r="H5986" s="3"/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  <c r="T5986" s="3"/>
      <c r="U5986" s="3"/>
      <c r="V5986" s="3"/>
      <c r="W5986" s="3"/>
      <c r="X5986" s="3"/>
      <c r="Y5986" s="3"/>
    </row>
    <row r="5987">
      <c r="A5987" s="3"/>
      <c r="B5987" s="3"/>
      <c r="C5987" s="3"/>
      <c r="D5987" s="3"/>
      <c r="E5987" s="3"/>
      <c r="F5987" s="3"/>
      <c r="G5987" s="3"/>
      <c r="H5987" s="3"/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  <c r="T5987" s="3"/>
      <c r="U5987" s="3"/>
      <c r="V5987" s="3"/>
      <c r="W5987" s="3"/>
      <c r="X5987" s="3"/>
      <c r="Y5987" s="3"/>
    </row>
    <row r="5988">
      <c r="A5988" s="3"/>
      <c r="B5988" s="3"/>
      <c r="C5988" s="3"/>
      <c r="D5988" s="3"/>
      <c r="E5988" s="3"/>
      <c r="F5988" s="3"/>
      <c r="G5988" s="3"/>
      <c r="H5988" s="3"/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  <c r="T5988" s="3"/>
      <c r="U5988" s="3"/>
      <c r="V5988" s="3"/>
      <c r="W5988" s="3"/>
      <c r="X5988" s="3"/>
      <c r="Y5988" s="3"/>
    </row>
    <row r="5989">
      <c r="A5989" s="3"/>
      <c r="B5989" s="3"/>
      <c r="C5989" s="3"/>
      <c r="D5989" s="3"/>
      <c r="E5989" s="3"/>
      <c r="F5989" s="3"/>
      <c r="G5989" s="3"/>
      <c r="H5989" s="3"/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  <c r="T5989" s="3"/>
      <c r="U5989" s="3"/>
      <c r="V5989" s="3"/>
      <c r="W5989" s="3"/>
      <c r="X5989" s="3"/>
      <c r="Y5989" s="3"/>
    </row>
    <row r="5990">
      <c r="A5990" s="3"/>
      <c r="B5990" s="3"/>
      <c r="C5990" s="3"/>
      <c r="D5990" s="3"/>
      <c r="E5990" s="3"/>
      <c r="F5990" s="3"/>
      <c r="G5990" s="3"/>
      <c r="H5990" s="3"/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  <c r="T5990" s="3"/>
      <c r="U5990" s="3"/>
      <c r="V5990" s="3"/>
      <c r="W5990" s="3"/>
      <c r="X5990" s="3"/>
      <c r="Y5990" s="3"/>
    </row>
    <row r="5991">
      <c r="A5991" s="3"/>
      <c r="B5991" s="3"/>
      <c r="C5991" s="3"/>
      <c r="D5991" s="3"/>
      <c r="E5991" s="3"/>
      <c r="F5991" s="3"/>
      <c r="G5991" s="3"/>
      <c r="H5991" s="3"/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  <c r="T5991" s="3"/>
      <c r="U5991" s="3"/>
      <c r="V5991" s="3"/>
      <c r="W5991" s="3"/>
      <c r="X5991" s="3"/>
      <c r="Y5991" s="3"/>
    </row>
    <row r="5992">
      <c r="A5992" s="3"/>
      <c r="B5992" s="3"/>
      <c r="C5992" s="3"/>
      <c r="D5992" s="3"/>
      <c r="E5992" s="3"/>
      <c r="F5992" s="3"/>
      <c r="G5992" s="3"/>
      <c r="H5992" s="3"/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  <c r="T5992" s="3"/>
      <c r="U5992" s="3"/>
      <c r="V5992" s="3"/>
      <c r="W5992" s="3"/>
      <c r="X5992" s="3"/>
      <c r="Y5992" s="3"/>
    </row>
    <row r="5993">
      <c r="A5993" s="3"/>
      <c r="B5993" s="3"/>
      <c r="C5993" s="3"/>
      <c r="D5993" s="3"/>
      <c r="E5993" s="3"/>
      <c r="F5993" s="3"/>
      <c r="G5993" s="3"/>
      <c r="H5993" s="3"/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  <c r="T5993" s="3"/>
      <c r="U5993" s="3"/>
      <c r="V5993" s="3"/>
      <c r="W5993" s="3"/>
      <c r="X5993" s="3"/>
      <c r="Y5993" s="3"/>
    </row>
    <row r="5994">
      <c r="A5994" s="3"/>
      <c r="B5994" s="3"/>
      <c r="C5994" s="3"/>
      <c r="D5994" s="3"/>
      <c r="E5994" s="3"/>
      <c r="F5994" s="3"/>
      <c r="G5994" s="3"/>
      <c r="H5994" s="3"/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  <c r="T5994" s="3"/>
      <c r="U5994" s="3"/>
      <c r="V5994" s="3"/>
      <c r="W5994" s="3"/>
      <c r="X5994" s="3"/>
      <c r="Y5994" s="3"/>
    </row>
    <row r="5995">
      <c r="A5995" s="3"/>
      <c r="B5995" s="3"/>
      <c r="C5995" s="3"/>
      <c r="D5995" s="3"/>
      <c r="E5995" s="3"/>
      <c r="F5995" s="3"/>
      <c r="G5995" s="3"/>
      <c r="H5995" s="3"/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  <c r="T5995" s="3"/>
      <c r="U5995" s="3"/>
      <c r="V5995" s="3"/>
      <c r="W5995" s="3"/>
      <c r="X5995" s="3"/>
      <c r="Y5995" s="3"/>
    </row>
    <row r="5996">
      <c r="A5996" s="3"/>
      <c r="B5996" s="3"/>
      <c r="C5996" s="3"/>
      <c r="D5996" s="3"/>
      <c r="E5996" s="3"/>
      <c r="F5996" s="3"/>
      <c r="G5996" s="3"/>
      <c r="H5996" s="3"/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  <c r="T5996" s="3"/>
      <c r="U5996" s="3"/>
      <c r="V5996" s="3"/>
      <c r="W5996" s="3"/>
      <c r="X5996" s="3"/>
      <c r="Y5996" s="3"/>
    </row>
    <row r="5997">
      <c r="A5997" s="3"/>
      <c r="B5997" s="3"/>
      <c r="C5997" s="3"/>
      <c r="D5997" s="3"/>
      <c r="E5997" s="3"/>
      <c r="F5997" s="3"/>
      <c r="G5997" s="3"/>
      <c r="H5997" s="3"/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  <c r="T5997" s="3"/>
      <c r="U5997" s="3"/>
      <c r="V5997" s="3"/>
      <c r="W5997" s="3"/>
      <c r="X5997" s="3"/>
      <c r="Y5997" s="3"/>
    </row>
    <row r="5998">
      <c r="A5998" s="3"/>
      <c r="B5998" s="3"/>
      <c r="C5998" s="3"/>
      <c r="D5998" s="3"/>
      <c r="E5998" s="3"/>
      <c r="F5998" s="3"/>
      <c r="G5998" s="3"/>
      <c r="H5998" s="3"/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  <c r="T5998" s="3"/>
      <c r="U5998" s="3"/>
      <c r="V5998" s="3"/>
      <c r="W5998" s="3"/>
      <c r="X5998" s="3"/>
      <c r="Y5998" s="3"/>
    </row>
    <row r="5999">
      <c r="A5999" s="3"/>
      <c r="B5999" s="3"/>
      <c r="C5999" s="3"/>
      <c r="D5999" s="3"/>
      <c r="E5999" s="3"/>
      <c r="F5999" s="3"/>
      <c r="G5999" s="3"/>
      <c r="H5999" s="3"/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  <c r="T5999" s="3"/>
      <c r="U5999" s="3"/>
      <c r="V5999" s="3"/>
      <c r="W5999" s="3"/>
      <c r="X5999" s="3"/>
      <c r="Y5999" s="3"/>
    </row>
    <row r="6000">
      <c r="A6000" s="3"/>
      <c r="B6000" s="3"/>
      <c r="C6000" s="3"/>
      <c r="D6000" s="3"/>
      <c r="E6000" s="3"/>
      <c r="F6000" s="3"/>
      <c r="G6000" s="3"/>
      <c r="H6000" s="3"/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  <c r="T6000" s="3"/>
      <c r="U6000" s="3"/>
      <c r="V6000" s="3"/>
      <c r="W6000" s="3"/>
      <c r="X6000" s="3"/>
      <c r="Y6000" s="3"/>
    </row>
    <row r="6001">
      <c r="A6001" s="3"/>
      <c r="B6001" s="3"/>
      <c r="C6001" s="3"/>
      <c r="D6001" s="3"/>
      <c r="E6001" s="3"/>
      <c r="F6001" s="3"/>
      <c r="G6001" s="3"/>
      <c r="H6001" s="3"/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  <c r="T6001" s="3"/>
      <c r="U6001" s="3"/>
      <c r="V6001" s="3"/>
      <c r="W6001" s="3"/>
      <c r="X6001" s="3"/>
      <c r="Y6001" s="3"/>
    </row>
    <row r="6002">
      <c r="A6002" s="3"/>
      <c r="B6002" s="3"/>
      <c r="C6002" s="3"/>
      <c r="D6002" s="3"/>
      <c r="E6002" s="3"/>
      <c r="F6002" s="3"/>
      <c r="G6002" s="3"/>
      <c r="H6002" s="3"/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  <c r="T6002" s="3"/>
      <c r="U6002" s="3"/>
      <c r="V6002" s="3"/>
      <c r="W6002" s="3"/>
      <c r="X6002" s="3"/>
      <c r="Y6002" s="3"/>
    </row>
    <row r="6003">
      <c r="A6003" s="3"/>
      <c r="B6003" s="3"/>
      <c r="C6003" s="3"/>
      <c r="D6003" s="3"/>
      <c r="E6003" s="3"/>
      <c r="F6003" s="3"/>
      <c r="G6003" s="3"/>
      <c r="H6003" s="3"/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  <c r="T6003" s="3"/>
      <c r="U6003" s="3"/>
      <c r="V6003" s="3"/>
      <c r="W6003" s="3"/>
      <c r="X6003" s="3"/>
      <c r="Y6003" s="3"/>
    </row>
    <row r="6004">
      <c r="A6004" s="3"/>
      <c r="B6004" s="3"/>
      <c r="C6004" s="3"/>
      <c r="D6004" s="3"/>
      <c r="E6004" s="3"/>
      <c r="F6004" s="3"/>
      <c r="G6004" s="3"/>
      <c r="H6004" s="3"/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  <c r="T6004" s="3"/>
      <c r="U6004" s="3"/>
      <c r="V6004" s="3"/>
      <c r="W6004" s="3"/>
      <c r="X6004" s="3"/>
      <c r="Y6004" s="3"/>
    </row>
    <row r="6005">
      <c r="A6005" s="3"/>
      <c r="B6005" s="3"/>
      <c r="C6005" s="3"/>
      <c r="D6005" s="3"/>
      <c r="E6005" s="3"/>
      <c r="F6005" s="3"/>
      <c r="G6005" s="3"/>
      <c r="H6005" s="3"/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  <c r="T6005" s="3"/>
      <c r="U6005" s="3"/>
      <c r="V6005" s="3"/>
      <c r="W6005" s="3"/>
      <c r="X6005" s="3"/>
      <c r="Y6005" s="3"/>
    </row>
    <row r="6006">
      <c r="A6006" s="3"/>
      <c r="B6006" s="3"/>
      <c r="C6006" s="3"/>
      <c r="D6006" s="3"/>
      <c r="E6006" s="3"/>
      <c r="F6006" s="3"/>
      <c r="G6006" s="3"/>
      <c r="H6006" s="3"/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  <c r="T6006" s="3"/>
      <c r="U6006" s="3"/>
      <c r="V6006" s="3"/>
      <c r="W6006" s="3"/>
      <c r="X6006" s="3"/>
      <c r="Y6006" s="3"/>
    </row>
    <row r="6007">
      <c r="A6007" s="3"/>
      <c r="B6007" s="3"/>
      <c r="C6007" s="3"/>
      <c r="D6007" s="3"/>
      <c r="E6007" s="3"/>
      <c r="F6007" s="3"/>
      <c r="G6007" s="3"/>
      <c r="H6007" s="3"/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  <c r="T6007" s="3"/>
      <c r="U6007" s="3"/>
      <c r="V6007" s="3"/>
      <c r="W6007" s="3"/>
      <c r="X6007" s="3"/>
      <c r="Y6007" s="3"/>
    </row>
    <row r="6008">
      <c r="A6008" s="3"/>
      <c r="B6008" s="3"/>
      <c r="C6008" s="3"/>
      <c r="D6008" s="3"/>
      <c r="E6008" s="3"/>
      <c r="F6008" s="3"/>
      <c r="G6008" s="3"/>
      <c r="H6008" s="3"/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  <c r="T6008" s="3"/>
      <c r="U6008" s="3"/>
      <c r="V6008" s="3"/>
      <c r="W6008" s="3"/>
      <c r="X6008" s="3"/>
      <c r="Y6008" s="3"/>
    </row>
    <row r="6009">
      <c r="A6009" s="3"/>
      <c r="B6009" s="3"/>
      <c r="C6009" s="3"/>
      <c r="D6009" s="3"/>
      <c r="E6009" s="3"/>
      <c r="F6009" s="3"/>
      <c r="G6009" s="3"/>
      <c r="H6009" s="3"/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  <c r="T6009" s="3"/>
      <c r="U6009" s="3"/>
      <c r="V6009" s="3"/>
      <c r="W6009" s="3"/>
      <c r="X6009" s="3"/>
      <c r="Y6009" s="3"/>
    </row>
    <row r="6010">
      <c r="A6010" s="3"/>
      <c r="B6010" s="3"/>
      <c r="C6010" s="3"/>
      <c r="D6010" s="3"/>
      <c r="E6010" s="3"/>
      <c r="F6010" s="3"/>
      <c r="G6010" s="3"/>
      <c r="H6010" s="3"/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  <c r="T6010" s="3"/>
      <c r="U6010" s="3"/>
      <c r="V6010" s="3"/>
      <c r="W6010" s="3"/>
      <c r="X6010" s="3"/>
      <c r="Y6010" s="3"/>
    </row>
    <row r="6011">
      <c r="A6011" s="3"/>
      <c r="B6011" s="3"/>
      <c r="C6011" s="3"/>
      <c r="D6011" s="3"/>
      <c r="E6011" s="3"/>
      <c r="F6011" s="3"/>
      <c r="G6011" s="3"/>
      <c r="H6011" s="3"/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  <c r="T6011" s="3"/>
      <c r="U6011" s="3"/>
      <c r="V6011" s="3"/>
      <c r="W6011" s="3"/>
      <c r="X6011" s="3"/>
      <c r="Y6011" s="3"/>
    </row>
    <row r="6012">
      <c r="A6012" s="3"/>
      <c r="B6012" s="3"/>
      <c r="C6012" s="3"/>
      <c r="D6012" s="3"/>
      <c r="E6012" s="3"/>
      <c r="F6012" s="3"/>
      <c r="G6012" s="3"/>
      <c r="H6012" s="3"/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  <c r="T6012" s="3"/>
      <c r="U6012" s="3"/>
      <c r="V6012" s="3"/>
      <c r="W6012" s="3"/>
      <c r="X6012" s="3"/>
      <c r="Y6012" s="3"/>
    </row>
    <row r="6013">
      <c r="A6013" s="3"/>
      <c r="B6013" s="3"/>
      <c r="C6013" s="3"/>
      <c r="D6013" s="3"/>
      <c r="E6013" s="3"/>
      <c r="F6013" s="3"/>
      <c r="G6013" s="3"/>
      <c r="H6013" s="3"/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  <c r="T6013" s="3"/>
      <c r="U6013" s="3"/>
      <c r="V6013" s="3"/>
      <c r="W6013" s="3"/>
      <c r="X6013" s="3"/>
      <c r="Y6013" s="3"/>
    </row>
    <row r="6014">
      <c r="A6014" s="3"/>
      <c r="B6014" s="3"/>
      <c r="C6014" s="3"/>
      <c r="D6014" s="3"/>
      <c r="E6014" s="3"/>
      <c r="F6014" s="3"/>
      <c r="G6014" s="3"/>
      <c r="H6014" s="3"/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  <c r="T6014" s="3"/>
      <c r="U6014" s="3"/>
      <c r="V6014" s="3"/>
      <c r="W6014" s="3"/>
      <c r="X6014" s="3"/>
      <c r="Y6014" s="3"/>
    </row>
    <row r="6015">
      <c r="A6015" s="3"/>
      <c r="B6015" s="3"/>
      <c r="C6015" s="3"/>
      <c r="D6015" s="3"/>
      <c r="E6015" s="3"/>
      <c r="F6015" s="3"/>
      <c r="G6015" s="3"/>
      <c r="H6015" s="3"/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  <c r="T6015" s="3"/>
      <c r="U6015" s="3"/>
      <c r="V6015" s="3"/>
      <c r="W6015" s="3"/>
      <c r="X6015" s="3"/>
      <c r="Y6015" s="3"/>
    </row>
    <row r="6016">
      <c r="A6016" s="3"/>
      <c r="B6016" s="3"/>
      <c r="C6016" s="3"/>
      <c r="D6016" s="3"/>
      <c r="E6016" s="3"/>
      <c r="F6016" s="3"/>
      <c r="G6016" s="3"/>
      <c r="H6016" s="3"/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  <c r="T6016" s="3"/>
      <c r="U6016" s="3"/>
      <c r="V6016" s="3"/>
      <c r="W6016" s="3"/>
      <c r="X6016" s="3"/>
      <c r="Y6016" s="3"/>
    </row>
    <row r="6017">
      <c r="A6017" s="3"/>
      <c r="B6017" s="3"/>
      <c r="C6017" s="3"/>
      <c r="D6017" s="3"/>
      <c r="E6017" s="3"/>
      <c r="F6017" s="3"/>
      <c r="G6017" s="3"/>
      <c r="H6017" s="3"/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  <c r="T6017" s="3"/>
      <c r="U6017" s="3"/>
      <c r="V6017" s="3"/>
      <c r="W6017" s="3"/>
      <c r="X6017" s="3"/>
      <c r="Y6017" s="3"/>
    </row>
    <row r="6018">
      <c r="A6018" s="3"/>
      <c r="B6018" s="3"/>
      <c r="C6018" s="3"/>
      <c r="D6018" s="3"/>
      <c r="E6018" s="3"/>
      <c r="F6018" s="3"/>
      <c r="G6018" s="3"/>
      <c r="H6018" s="3"/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  <c r="T6018" s="3"/>
      <c r="U6018" s="3"/>
      <c r="V6018" s="3"/>
      <c r="W6018" s="3"/>
      <c r="X6018" s="3"/>
      <c r="Y6018" s="3"/>
    </row>
    <row r="6019">
      <c r="A6019" s="3"/>
      <c r="B6019" s="3"/>
      <c r="C6019" s="3"/>
      <c r="D6019" s="3"/>
      <c r="E6019" s="3"/>
      <c r="F6019" s="3"/>
      <c r="G6019" s="3"/>
      <c r="H6019" s="3"/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  <c r="T6019" s="3"/>
      <c r="U6019" s="3"/>
      <c r="V6019" s="3"/>
      <c r="W6019" s="3"/>
      <c r="X6019" s="3"/>
      <c r="Y6019" s="3"/>
    </row>
    <row r="6020">
      <c r="A6020" s="3"/>
      <c r="B6020" s="3"/>
      <c r="C6020" s="3"/>
      <c r="D6020" s="3"/>
      <c r="E6020" s="3"/>
      <c r="F6020" s="3"/>
      <c r="G6020" s="3"/>
      <c r="H6020" s="3"/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  <c r="T6020" s="3"/>
      <c r="U6020" s="3"/>
      <c r="V6020" s="3"/>
      <c r="W6020" s="3"/>
      <c r="X6020" s="3"/>
      <c r="Y6020" s="3"/>
    </row>
    <row r="6021">
      <c r="A6021" s="3"/>
      <c r="B6021" s="3"/>
      <c r="C6021" s="3"/>
      <c r="D6021" s="3"/>
      <c r="E6021" s="3"/>
      <c r="F6021" s="3"/>
      <c r="G6021" s="3"/>
      <c r="H6021" s="3"/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  <c r="T6021" s="3"/>
      <c r="U6021" s="3"/>
      <c r="V6021" s="3"/>
      <c r="W6021" s="3"/>
      <c r="X6021" s="3"/>
      <c r="Y6021" s="3"/>
    </row>
    <row r="6022">
      <c r="A6022" s="3"/>
      <c r="B6022" s="3"/>
      <c r="C6022" s="3"/>
      <c r="D6022" s="3"/>
      <c r="E6022" s="3"/>
      <c r="F6022" s="3"/>
      <c r="G6022" s="3"/>
      <c r="H6022" s="3"/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  <c r="T6022" s="3"/>
      <c r="U6022" s="3"/>
      <c r="V6022" s="3"/>
      <c r="W6022" s="3"/>
      <c r="X6022" s="3"/>
      <c r="Y6022" s="3"/>
    </row>
    <row r="6023">
      <c r="A6023" s="3"/>
      <c r="B6023" s="3"/>
      <c r="C6023" s="3"/>
      <c r="D6023" s="3"/>
      <c r="E6023" s="3"/>
      <c r="F6023" s="3"/>
      <c r="G6023" s="3"/>
      <c r="H6023" s="3"/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  <c r="T6023" s="3"/>
      <c r="U6023" s="3"/>
      <c r="V6023" s="3"/>
      <c r="W6023" s="3"/>
      <c r="X6023" s="3"/>
      <c r="Y6023" s="3"/>
    </row>
    <row r="6024">
      <c r="A6024" s="3"/>
      <c r="B6024" s="3"/>
      <c r="C6024" s="3"/>
      <c r="D6024" s="3"/>
      <c r="E6024" s="3"/>
      <c r="F6024" s="3"/>
      <c r="G6024" s="3"/>
      <c r="H6024" s="3"/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  <c r="T6024" s="3"/>
      <c r="U6024" s="3"/>
      <c r="V6024" s="3"/>
      <c r="W6024" s="3"/>
      <c r="X6024" s="3"/>
      <c r="Y6024" s="3"/>
    </row>
    <row r="6025">
      <c r="A6025" s="3"/>
      <c r="B6025" s="3"/>
      <c r="C6025" s="3"/>
      <c r="D6025" s="3"/>
      <c r="E6025" s="3"/>
      <c r="F6025" s="3"/>
      <c r="G6025" s="3"/>
      <c r="H6025" s="3"/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  <c r="T6025" s="3"/>
      <c r="U6025" s="3"/>
      <c r="V6025" s="3"/>
      <c r="W6025" s="3"/>
      <c r="X6025" s="3"/>
      <c r="Y6025" s="3"/>
    </row>
    <row r="6026">
      <c r="A6026" s="3"/>
      <c r="B6026" s="3"/>
      <c r="C6026" s="3"/>
      <c r="D6026" s="3"/>
      <c r="E6026" s="3"/>
      <c r="F6026" s="3"/>
      <c r="G6026" s="3"/>
      <c r="H6026" s="3"/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  <c r="T6026" s="3"/>
      <c r="U6026" s="3"/>
      <c r="V6026" s="3"/>
      <c r="W6026" s="3"/>
      <c r="X6026" s="3"/>
      <c r="Y6026" s="3"/>
    </row>
    <row r="6027">
      <c r="A6027" s="3"/>
      <c r="B6027" s="3"/>
      <c r="C6027" s="3"/>
      <c r="D6027" s="3"/>
      <c r="E6027" s="3"/>
      <c r="F6027" s="3"/>
      <c r="G6027" s="3"/>
      <c r="H6027" s="3"/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  <c r="T6027" s="3"/>
      <c r="U6027" s="3"/>
      <c r="V6027" s="3"/>
      <c r="W6027" s="3"/>
      <c r="X6027" s="3"/>
      <c r="Y6027" s="3"/>
    </row>
    <row r="6028">
      <c r="A6028" s="3"/>
      <c r="B6028" s="3"/>
      <c r="C6028" s="3"/>
      <c r="D6028" s="3"/>
      <c r="E6028" s="3"/>
      <c r="F6028" s="3"/>
      <c r="G6028" s="3"/>
      <c r="H6028" s="3"/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  <c r="T6028" s="3"/>
      <c r="U6028" s="3"/>
      <c r="V6028" s="3"/>
      <c r="W6028" s="3"/>
      <c r="X6028" s="3"/>
      <c r="Y6028" s="3"/>
    </row>
    <row r="6029">
      <c r="A6029" s="3"/>
      <c r="B6029" s="3"/>
      <c r="C6029" s="3"/>
      <c r="D6029" s="3"/>
      <c r="E6029" s="3"/>
      <c r="F6029" s="3"/>
      <c r="G6029" s="3"/>
      <c r="H6029" s="3"/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  <c r="T6029" s="3"/>
      <c r="U6029" s="3"/>
      <c r="V6029" s="3"/>
      <c r="W6029" s="3"/>
      <c r="X6029" s="3"/>
      <c r="Y6029" s="3"/>
    </row>
    <row r="6030">
      <c r="A6030" s="3"/>
      <c r="B6030" s="3"/>
      <c r="C6030" s="3"/>
      <c r="D6030" s="3"/>
      <c r="E6030" s="3"/>
      <c r="F6030" s="3"/>
      <c r="G6030" s="3"/>
      <c r="H6030" s="3"/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  <c r="T6030" s="3"/>
      <c r="U6030" s="3"/>
      <c r="V6030" s="3"/>
      <c r="W6030" s="3"/>
      <c r="X6030" s="3"/>
      <c r="Y6030" s="3"/>
    </row>
    <row r="6031">
      <c r="A6031" s="3"/>
      <c r="B6031" s="3"/>
      <c r="C6031" s="3"/>
      <c r="D6031" s="3"/>
      <c r="E6031" s="3"/>
      <c r="F6031" s="3"/>
      <c r="G6031" s="3"/>
      <c r="H6031" s="3"/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  <c r="T6031" s="3"/>
      <c r="U6031" s="3"/>
      <c r="V6031" s="3"/>
      <c r="W6031" s="3"/>
      <c r="X6031" s="3"/>
      <c r="Y6031" s="3"/>
    </row>
    <row r="6032">
      <c r="A6032" s="3"/>
      <c r="B6032" s="3"/>
      <c r="C6032" s="3"/>
      <c r="D6032" s="3"/>
      <c r="E6032" s="3"/>
      <c r="F6032" s="3"/>
      <c r="G6032" s="3"/>
      <c r="H6032" s="3"/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  <c r="T6032" s="3"/>
      <c r="U6032" s="3"/>
      <c r="V6032" s="3"/>
      <c r="W6032" s="3"/>
      <c r="X6032" s="3"/>
      <c r="Y6032" s="3"/>
    </row>
    <row r="6033">
      <c r="A6033" s="3"/>
      <c r="B6033" s="3"/>
      <c r="C6033" s="3"/>
      <c r="D6033" s="3"/>
      <c r="E6033" s="3"/>
      <c r="F6033" s="3"/>
      <c r="G6033" s="3"/>
      <c r="H6033" s="3"/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  <c r="T6033" s="3"/>
      <c r="U6033" s="3"/>
      <c r="V6033" s="3"/>
      <c r="W6033" s="3"/>
      <c r="X6033" s="3"/>
      <c r="Y6033" s="3"/>
    </row>
    <row r="6034">
      <c r="A6034" s="3"/>
      <c r="B6034" s="3"/>
      <c r="C6034" s="3"/>
      <c r="D6034" s="3"/>
      <c r="E6034" s="3"/>
      <c r="F6034" s="3"/>
      <c r="G6034" s="3"/>
      <c r="H6034" s="3"/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  <c r="T6034" s="3"/>
      <c r="U6034" s="3"/>
      <c r="V6034" s="3"/>
      <c r="W6034" s="3"/>
      <c r="X6034" s="3"/>
      <c r="Y6034" s="3"/>
    </row>
    <row r="6035">
      <c r="A6035" s="3"/>
      <c r="B6035" s="3"/>
      <c r="C6035" s="3"/>
      <c r="D6035" s="3"/>
      <c r="E6035" s="3"/>
      <c r="F6035" s="3"/>
      <c r="G6035" s="3"/>
      <c r="H6035" s="3"/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  <c r="T6035" s="3"/>
      <c r="U6035" s="3"/>
      <c r="V6035" s="3"/>
      <c r="W6035" s="3"/>
      <c r="X6035" s="3"/>
      <c r="Y6035" s="3"/>
    </row>
    <row r="6036">
      <c r="A6036" s="3"/>
      <c r="B6036" s="3"/>
      <c r="C6036" s="3"/>
      <c r="D6036" s="3"/>
      <c r="E6036" s="3"/>
      <c r="F6036" s="3"/>
      <c r="G6036" s="3"/>
      <c r="H6036" s="3"/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  <c r="T6036" s="3"/>
      <c r="U6036" s="3"/>
      <c r="V6036" s="3"/>
      <c r="W6036" s="3"/>
      <c r="X6036" s="3"/>
      <c r="Y6036" s="3"/>
    </row>
    <row r="6037">
      <c r="A6037" s="3"/>
      <c r="B6037" s="3"/>
      <c r="C6037" s="3"/>
      <c r="D6037" s="3"/>
      <c r="E6037" s="3"/>
      <c r="F6037" s="3"/>
      <c r="G6037" s="3"/>
      <c r="H6037" s="3"/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  <c r="T6037" s="3"/>
      <c r="U6037" s="3"/>
      <c r="V6037" s="3"/>
      <c r="W6037" s="3"/>
      <c r="X6037" s="3"/>
      <c r="Y6037" s="3"/>
    </row>
    <row r="6038">
      <c r="A6038" s="3"/>
      <c r="B6038" s="3"/>
      <c r="C6038" s="3"/>
      <c r="D6038" s="3"/>
      <c r="E6038" s="3"/>
      <c r="F6038" s="3"/>
      <c r="G6038" s="3"/>
      <c r="H6038" s="3"/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  <c r="T6038" s="3"/>
      <c r="U6038" s="3"/>
      <c r="V6038" s="3"/>
      <c r="W6038" s="3"/>
      <c r="X6038" s="3"/>
      <c r="Y6038" s="3"/>
    </row>
    <row r="6039">
      <c r="A6039" s="3"/>
      <c r="B6039" s="3"/>
      <c r="C6039" s="3"/>
      <c r="D6039" s="3"/>
      <c r="E6039" s="3"/>
      <c r="F6039" s="3"/>
      <c r="G6039" s="3"/>
      <c r="H6039" s="3"/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  <c r="T6039" s="3"/>
      <c r="U6039" s="3"/>
      <c r="V6039" s="3"/>
      <c r="W6039" s="3"/>
      <c r="X6039" s="3"/>
      <c r="Y6039" s="3"/>
    </row>
    <row r="6040">
      <c r="A6040" s="3"/>
      <c r="B6040" s="3"/>
      <c r="C6040" s="3"/>
      <c r="D6040" s="3"/>
      <c r="E6040" s="3"/>
      <c r="F6040" s="3"/>
      <c r="G6040" s="3"/>
      <c r="H6040" s="3"/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  <c r="T6040" s="3"/>
      <c r="U6040" s="3"/>
      <c r="V6040" s="3"/>
      <c r="W6040" s="3"/>
      <c r="X6040" s="3"/>
      <c r="Y6040" s="3"/>
    </row>
    <row r="6041">
      <c r="A6041" s="3"/>
      <c r="B6041" s="3"/>
      <c r="C6041" s="3"/>
      <c r="D6041" s="3"/>
      <c r="E6041" s="3"/>
      <c r="F6041" s="3"/>
      <c r="G6041" s="3"/>
      <c r="H6041" s="3"/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  <c r="T6041" s="3"/>
      <c r="U6041" s="3"/>
      <c r="V6041" s="3"/>
      <c r="W6041" s="3"/>
      <c r="X6041" s="3"/>
      <c r="Y6041" s="3"/>
    </row>
    <row r="6042">
      <c r="A6042" s="3"/>
      <c r="B6042" s="3"/>
      <c r="C6042" s="3"/>
      <c r="D6042" s="3"/>
      <c r="E6042" s="3"/>
      <c r="F6042" s="3"/>
      <c r="G6042" s="3"/>
      <c r="H6042" s="3"/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  <c r="T6042" s="3"/>
      <c r="U6042" s="3"/>
      <c r="V6042" s="3"/>
      <c r="W6042" s="3"/>
      <c r="X6042" s="3"/>
      <c r="Y6042" s="3"/>
    </row>
    <row r="6043">
      <c r="A6043" s="3"/>
      <c r="B6043" s="3"/>
      <c r="C6043" s="3"/>
      <c r="D6043" s="3"/>
      <c r="E6043" s="3"/>
      <c r="F6043" s="3"/>
      <c r="G6043" s="3"/>
      <c r="H6043" s="3"/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  <c r="T6043" s="3"/>
      <c r="U6043" s="3"/>
      <c r="V6043" s="3"/>
      <c r="W6043" s="3"/>
      <c r="X6043" s="3"/>
      <c r="Y6043" s="3"/>
    </row>
    <row r="6044">
      <c r="A6044" s="3"/>
      <c r="B6044" s="3"/>
      <c r="C6044" s="3"/>
      <c r="D6044" s="3"/>
      <c r="E6044" s="3"/>
      <c r="F6044" s="3"/>
      <c r="G6044" s="3"/>
      <c r="H6044" s="3"/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  <c r="T6044" s="3"/>
      <c r="U6044" s="3"/>
      <c r="V6044" s="3"/>
      <c r="W6044" s="3"/>
      <c r="X6044" s="3"/>
      <c r="Y6044" s="3"/>
    </row>
    <row r="6045">
      <c r="A6045" s="3"/>
      <c r="B6045" s="3"/>
      <c r="C6045" s="3"/>
      <c r="D6045" s="3"/>
      <c r="E6045" s="3"/>
      <c r="F6045" s="3"/>
      <c r="G6045" s="3"/>
      <c r="H6045" s="3"/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  <c r="T6045" s="3"/>
      <c r="U6045" s="3"/>
      <c r="V6045" s="3"/>
      <c r="W6045" s="3"/>
      <c r="X6045" s="3"/>
      <c r="Y6045" s="3"/>
    </row>
    <row r="6046">
      <c r="A6046" s="3"/>
      <c r="B6046" s="3"/>
      <c r="C6046" s="3"/>
      <c r="D6046" s="3"/>
      <c r="E6046" s="3"/>
      <c r="F6046" s="3"/>
      <c r="G6046" s="3"/>
      <c r="H6046" s="3"/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  <c r="T6046" s="3"/>
      <c r="U6046" s="3"/>
      <c r="V6046" s="3"/>
      <c r="W6046" s="3"/>
      <c r="X6046" s="3"/>
      <c r="Y6046" s="3"/>
    </row>
    <row r="6047">
      <c r="A6047" s="3"/>
      <c r="B6047" s="3"/>
      <c r="C6047" s="3"/>
      <c r="D6047" s="3"/>
      <c r="E6047" s="3"/>
      <c r="F6047" s="3"/>
      <c r="G6047" s="3"/>
      <c r="H6047" s="3"/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  <c r="T6047" s="3"/>
      <c r="U6047" s="3"/>
      <c r="V6047" s="3"/>
      <c r="W6047" s="3"/>
      <c r="X6047" s="3"/>
      <c r="Y6047" s="3"/>
    </row>
    <row r="6048">
      <c r="A6048" s="3"/>
      <c r="B6048" s="3"/>
      <c r="C6048" s="3"/>
      <c r="D6048" s="3"/>
      <c r="E6048" s="3"/>
      <c r="F6048" s="3"/>
      <c r="G6048" s="3"/>
      <c r="H6048" s="3"/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  <c r="T6048" s="3"/>
      <c r="U6048" s="3"/>
      <c r="V6048" s="3"/>
      <c r="W6048" s="3"/>
      <c r="X6048" s="3"/>
      <c r="Y6048" s="3"/>
    </row>
    <row r="6049">
      <c r="A6049" s="3"/>
      <c r="B6049" s="3"/>
      <c r="C6049" s="3"/>
      <c r="D6049" s="3"/>
      <c r="E6049" s="3"/>
      <c r="F6049" s="3"/>
      <c r="G6049" s="3"/>
      <c r="H6049" s="3"/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  <c r="T6049" s="3"/>
      <c r="U6049" s="3"/>
      <c r="V6049" s="3"/>
      <c r="W6049" s="3"/>
      <c r="X6049" s="3"/>
      <c r="Y6049" s="3"/>
    </row>
    <row r="6050">
      <c r="A6050" s="3"/>
      <c r="B6050" s="3"/>
      <c r="C6050" s="3"/>
      <c r="D6050" s="3"/>
      <c r="E6050" s="3"/>
      <c r="F6050" s="3"/>
      <c r="G6050" s="3"/>
      <c r="H6050" s="3"/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  <c r="T6050" s="3"/>
      <c r="U6050" s="3"/>
      <c r="V6050" s="3"/>
      <c r="W6050" s="3"/>
      <c r="X6050" s="3"/>
      <c r="Y6050" s="3"/>
    </row>
    <row r="6051">
      <c r="A6051" s="3"/>
      <c r="B6051" s="3"/>
      <c r="C6051" s="3"/>
      <c r="D6051" s="3"/>
      <c r="E6051" s="3"/>
      <c r="F6051" s="3"/>
      <c r="G6051" s="3"/>
      <c r="H6051" s="3"/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  <c r="T6051" s="3"/>
      <c r="U6051" s="3"/>
      <c r="V6051" s="3"/>
      <c r="W6051" s="3"/>
      <c r="X6051" s="3"/>
      <c r="Y6051" s="3"/>
    </row>
    <row r="6052">
      <c r="A6052" s="3"/>
      <c r="B6052" s="3"/>
      <c r="C6052" s="3"/>
      <c r="D6052" s="3"/>
      <c r="E6052" s="3"/>
      <c r="F6052" s="3"/>
      <c r="G6052" s="3"/>
      <c r="H6052" s="3"/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  <c r="T6052" s="3"/>
      <c r="U6052" s="3"/>
      <c r="V6052" s="3"/>
      <c r="W6052" s="3"/>
      <c r="X6052" s="3"/>
      <c r="Y6052" s="3"/>
    </row>
    <row r="6053">
      <c r="A6053" s="3"/>
      <c r="B6053" s="3"/>
      <c r="C6053" s="3"/>
      <c r="D6053" s="3"/>
      <c r="E6053" s="3"/>
      <c r="F6053" s="3"/>
      <c r="G6053" s="3"/>
      <c r="H6053" s="3"/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  <c r="T6053" s="3"/>
      <c r="U6053" s="3"/>
      <c r="V6053" s="3"/>
      <c r="W6053" s="3"/>
      <c r="X6053" s="3"/>
      <c r="Y6053" s="3"/>
    </row>
    <row r="6054">
      <c r="A6054" s="3"/>
      <c r="B6054" s="3"/>
      <c r="C6054" s="3"/>
      <c r="D6054" s="3"/>
      <c r="E6054" s="3"/>
      <c r="F6054" s="3"/>
      <c r="G6054" s="3"/>
      <c r="H6054" s="3"/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  <c r="T6054" s="3"/>
      <c r="U6054" s="3"/>
      <c r="V6054" s="3"/>
      <c r="W6054" s="3"/>
      <c r="X6054" s="3"/>
      <c r="Y6054" s="3"/>
    </row>
    <row r="6055">
      <c r="A6055" s="3"/>
      <c r="B6055" s="3"/>
      <c r="C6055" s="3"/>
      <c r="D6055" s="3"/>
      <c r="E6055" s="3"/>
      <c r="F6055" s="3"/>
      <c r="G6055" s="3"/>
      <c r="H6055" s="3"/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  <c r="T6055" s="3"/>
      <c r="U6055" s="3"/>
      <c r="V6055" s="3"/>
      <c r="W6055" s="3"/>
      <c r="X6055" s="3"/>
      <c r="Y6055" s="3"/>
    </row>
    <row r="6056">
      <c r="A6056" s="3"/>
      <c r="B6056" s="3"/>
      <c r="C6056" s="3"/>
      <c r="D6056" s="3"/>
      <c r="E6056" s="3"/>
      <c r="F6056" s="3"/>
      <c r="G6056" s="3"/>
      <c r="H6056" s="3"/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  <c r="T6056" s="3"/>
      <c r="U6056" s="3"/>
      <c r="V6056" s="3"/>
      <c r="W6056" s="3"/>
      <c r="X6056" s="3"/>
      <c r="Y6056" s="3"/>
    </row>
    <row r="6057">
      <c r="A6057" s="3"/>
      <c r="B6057" s="3"/>
      <c r="C6057" s="3"/>
      <c r="D6057" s="3"/>
      <c r="E6057" s="3"/>
      <c r="F6057" s="3"/>
      <c r="G6057" s="3"/>
      <c r="H6057" s="3"/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  <c r="T6057" s="3"/>
      <c r="U6057" s="3"/>
      <c r="V6057" s="3"/>
      <c r="W6057" s="3"/>
      <c r="X6057" s="3"/>
      <c r="Y6057" s="3"/>
    </row>
    <row r="6058">
      <c r="A6058" s="3"/>
      <c r="B6058" s="3"/>
      <c r="C6058" s="3"/>
      <c r="D6058" s="3"/>
      <c r="E6058" s="3"/>
      <c r="F6058" s="3"/>
      <c r="G6058" s="3"/>
      <c r="H6058" s="3"/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  <c r="T6058" s="3"/>
      <c r="U6058" s="3"/>
      <c r="V6058" s="3"/>
      <c r="W6058" s="3"/>
      <c r="X6058" s="3"/>
      <c r="Y6058" s="3"/>
    </row>
    <row r="6059">
      <c r="A6059" s="3"/>
      <c r="B6059" s="3"/>
      <c r="C6059" s="3"/>
      <c r="D6059" s="3"/>
      <c r="E6059" s="3"/>
      <c r="F6059" s="3"/>
      <c r="G6059" s="3"/>
      <c r="H6059" s="3"/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  <c r="T6059" s="3"/>
      <c r="U6059" s="3"/>
      <c r="V6059" s="3"/>
      <c r="W6059" s="3"/>
      <c r="X6059" s="3"/>
      <c r="Y6059" s="3"/>
    </row>
    <row r="6060">
      <c r="A6060" s="3"/>
      <c r="B6060" s="3"/>
      <c r="C6060" s="3"/>
      <c r="D6060" s="3"/>
      <c r="E6060" s="3"/>
      <c r="F6060" s="3"/>
      <c r="G6060" s="3"/>
      <c r="H6060" s="3"/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  <c r="T6060" s="3"/>
      <c r="U6060" s="3"/>
      <c r="V6060" s="3"/>
      <c r="W6060" s="3"/>
      <c r="X6060" s="3"/>
      <c r="Y6060" s="3"/>
    </row>
    <row r="6061">
      <c r="A6061" s="3"/>
      <c r="B6061" s="3"/>
      <c r="C6061" s="3"/>
      <c r="D6061" s="3"/>
      <c r="E6061" s="3"/>
      <c r="F6061" s="3"/>
      <c r="G6061" s="3"/>
      <c r="H6061" s="3"/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  <c r="T6061" s="3"/>
      <c r="U6061" s="3"/>
      <c r="V6061" s="3"/>
      <c r="W6061" s="3"/>
      <c r="X6061" s="3"/>
      <c r="Y6061" s="3"/>
    </row>
    <row r="6062">
      <c r="A6062" s="3"/>
      <c r="B6062" s="3"/>
      <c r="C6062" s="3"/>
      <c r="D6062" s="3"/>
      <c r="E6062" s="3"/>
      <c r="F6062" s="3"/>
      <c r="G6062" s="3"/>
      <c r="H6062" s="3"/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  <c r="T6062" s="3"/>
      <c r="U6062" s="3"/>
      <c r="V6062" s="3"/>
      <c r="W6062" s="3"/>
      <c r="X6062" s="3"/>
      <c r="Y6062" s="3"/>
    </row>
    <row r="6063">
      <c r="A6063" s="3"/>
      <c r="B6063" s="3"/>
      <c r="C6063" s="3"/>
      <c r="D6063" s="3"/>
      <c r="E6063" s="3"/>
      <c r="F6063" s="3"/>
      <c r="G6063" s="3"/>
      <c r="H6063" s="3"/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  <c r="T6063" s="3"/>
      <c r="U6063" s="3"/>
      <c r="V6063" s="3"/>
      <c r="W6063" s="3"/>
      <c r="X6063" s="3"/>
      <c r="Y6063" s="3"/>
    </row>
    <row r="6064">
      <c r="A6064" s="3"/>
      <c r="B6064" s="3"/>
      <c r="C6064" s="3"/>
      <c r="D6064" s="3"/>
      <c r="E6064" s="3"/>
      <c r="F6064" s="3"/>
      <c r="G6064" s="3"/>
      <c r="H6064" s="3"/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  <c r="T6064" s="3"/>
      <c r="U6064" s="3"/>
      <c r="V6064" s="3"/>
      <c r="W6064" s="3"/>
      <c r="X6064" s="3"/>
      <c r="Y6064" s="3"/>
    </row>
    <row r="6065">
      <c r="A6065" s="3"/>
      <c r="B6065" s="3"/>
      <c r="C6065" s="3"/>
      <c r="D6065" s="3"/>
      <c r="E6065" s="3"/>
      <c r="F6065" s="3"/>
      <c r="G6065" s="3"/>
      <c r="H6065" s="3"/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  <c r="T6065" s="3"/>
      <c r="U6065" s="3"/>
      <c r="V6065" s="3"/>
      <c r="W6065" s="3"/>
      <c r="X6065" s="3"/>
      <c r="Y6065" s="3"/>
    </row>
    <row r="6066">
      <c r="A6066" s="3"/>
      <c r="B6066" s="3"/>
      <c r="C6066" s="3"/>
      <c r="D6066" s="3"/>
      <c r="E6066" s="3"/>
      <c r="F6066" s="3"/>
      <c r="G6066" s="3"/>
      <c r="H6066" s="3"/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  <c r="T6066" s="3"/>
      <c r="U6066" s="3"/>
      <c r="V6066" s="3"/>
      <c r="W6066" s="3"/>
      <c r="X6066" s="3"/>
      <c r="Y6066" s="3"/>
    </row>
    <row r="6067">
      <c r="A6067" s="3"/>
      <c r="B6067" s="3"/>
      <c r="C6067" s="3"/>
      <c r="D6067" s="3"/>
      <c r="E6067" s="3"/>
      <c r="F6067" s="3"/>
      <c r="G6067" s="3"/>
      <c r="H6067" s="3"/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  <c r="T6067" s="3"/>
      <c r="U6067" s="3"/>
      <c r="V6067" s="3"/>
      <c r="W6067" s="3"/>
      <c r="X6067" s="3"/>
      <c r="Y6067" s="3"/>
    </row>
    <row r="6068">
      <c r="A6068" s="3"/>
      <c r="B6068" s="3"/>
      <c r="C6068" s="3"/>
      <c r="D6068" s="3"/>
      <c r="E6068" s="3"/>
      <c r="F6068" s="3"/>
      <c r="G6068" s="3"/>
      <c r="H6068" s="3"/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  <c r="T6068" s="3"/>
      <c r="U6068" s="3"/>
      <c r="V6068" s="3"/>
      <c r="W6068" s="3"/>
      <c r="X6068" s="3"/>
      <c r="Y6068" s="3"/>
    </row>
    <row r="6069">
      <c r="A6069" s="3"/>
      <c r="B6069" s="3"/>
      <c r="C6069" s="3"/>
      <c r="D6069" s="3"/>
      <c r="E6069" s="3"/>
      <c r="F6069" s="3"/>
      <c r="G6069" s="3"/>
      <c r="H6069" s="3"/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  <c r="T6069" s="3"/>
      <c r="U6069" s="3"/>
      <c r="V6069" s="3"/>
      <c r="W6069" s="3"/>
      <c r="X6069" s="3"/>
      <c r="Y6069" s="3"/>
    </row>
    <row r="6070">
      <c r="A6070" s="3"/>
      <c r="B6070" s="3"/>
      <c r="C6070" s="3"/>
      <c r="D6070" s="3"/>
      <c r="E6070" s="3"/>
      <c r="F6070" s="3"/>
      <c r="G6070" s="3"/>
      <c r="H6070" s="3"/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  <c r="T6070" s="3"/>
      <c r="U6070" s="3"/>
      <c r="V6070" s="3"/>
      <c r="W6070" s="3"/>
      <c r="X6070" s="3"/>
      <c r="Y6070" s="3"/>
    </row>
    <row r="6071">
      <c r="A6071" s="3"/>
      <c r="B6071" s="3"/>
      <c r="C6071" s="3"/>
      <c r="D6071" s="3"/>
      <c r="E6071" s="3"/>
      <c r="F6071" s="3"/>
      <c r="G6071" s="3"/>
      <c r="H6071" s="3"/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  <c r="T6071" s="3"/>
      <c r="U6071" s="3"/>
      <c r="V6071" s="3"/>
      <c r="W6071" s="3"/>
      <c r="X6071" s="3"/>
      <c r="Y6071" s="3"/>
    </row>
    <row r="6072">
      <c r="A6072" s="3"/>
      <c r="B6072" s="3"/>
      <c r="C6072" s="3"/>
      <c r="D6072" s="3"/>
      <c r="E6072" s="3"/>
      <c r="F6072" s="3"/>
      <c r="G6072" s="3"/>
      <c r="H6072" s="3"/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  <c r="T6072" s="3"/>
      <c r="U6072" s="3"/>
      <c r="V6072" s="3"/>
      <c r="W6072" s="3"/>
      <c r="X6072" s="3"/>
      <c r="Y6072" s="3"/>
    </row>
    <row r="6073">
      <c r="A6073" s="3"/>
      <c r="B6073" s="3"/>
      <c r="C6073" s="3"/>
      <c r="D6073" s="3"/>
      <c r="E6073" s="3"/>
      <c r="F6073" s="3"/>
      <c r="G6073" s="3"/>
      <c r="H6073" s="3"/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  <c r="T6073" s="3"/>
      <c r="U6073" s="3"/>
      <c r="V6073" s="3"/>
      <c r="W6073" s="3"/>
      <c r="X6073" s="3"/>
      <c r="Y6073" s="3"/>
    </row>
    <row r="6074">
      <c r="A6074" s="3"/>
      <c r="B6074" s="3"/>
      <c r="C6074" s="3"/>
      <c r="D6074" s="3"/>
      <c r="E6074" s="3"/>
      <c r="F6074" s="3"/>
      <c r="G6074" s="3"/>
      <c r="H6074" s="3"/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  <c r="T6074" s="3"/>
      <c r="U6074" s="3"/>
      <c r="V6074" s="3"/>
      <c r="W6074" s="3"/>
      <c r="X6074" s="3"/>
      <c r="Y6074" s="3"/>
    </row>
    <row r="6075">
      <c r="A6075" s="3"/>
      <c r="B6075" s="3"/>
      <c r="C6075" s="3"/>
      <c r="D6075" s="3"/>
      <c r="E6075" s="3"/>
      <c r="F6075" s="3"/>
      <c r="G6075" s="3"/>
      <c r="H6075" s="3"/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  <c r="T6075" s="3"/>
      <c r="U6075" s="3"/>
      <c r="V6075" s="3"/>
      <c r="W6075" s="3"/>
      <c r="X6075" s="3"/>
      <c r="Y6075" s="3"/>
    </row>
    <row r="6076">
      <c r="A6076" s="3"/>
      <c r="B6076" s="3"/>
      <c r="C6076" s="3"/>
      <c r="D6076" s="3"/>
      <c r="E6076" s="3"/>
      <c r="F6076" s="3"/>
      <c r="G6076" s="3"/>
      <c r="H6076" s="3"/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  <c r="T6076" s="3"/>
      <c r="U6076" s="3"/>
      <c r="V6076" s="3"/>
      <c r="W6076" s="3"/>
      <c r="X6076" s="3"/>
      <c r="Y6076" s="3"/>
    </row>
    <row r="6077">
      <c r="A6077" s="3"/>
      <c r="B6077" s="3"/>
      <c r="C6077" s="3"/>
      <c r="D6077" s="3"/>
      <c r="E6077" s="3"/>
      <c r="F6077" s="3"/>
      <c r="G6077" s="3"/>
      <c r="H6077" s="3"/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  <c r="T6077" s="3"/>
      <c r="U6077" s="3"/>
      <c r="V6077" s="3"/>
      <c r="W6077" s="3"/>
      <c r="X6077" s="3"/>
      <c r="Y6077" s="3"/>
    </row>
    <row r="6078">
      <c r="A6078" s="3"/>
      <c r="B6078" s="3"/>
      <c r="C6078" s="3"/>
      <c r="D6078" s="3"/>
      <c r="E6078" s="3"/>
      <c r="F6078" s="3"/>
      <c r="G6078" s="3"/>
      <c r="H6078" s="3"/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  <c r="T6078" s="3"/>
      <c r="U6078" s="3"/>
      <c r="V6078" s="3"/>
      <c r="W6078" s="3"/>
      <c r="X6078" s="3"/>
      <c r="Y6078" s="3"/>
    </row>
    <row r="6079">
      <c r="A6079" s="3"/>
      <c r="B6079" s="3"/>
      <c r="C6079" s="3"/>
      <c r="D6079" s="3"/>
      <c r="E6079" s="3"/>
      <c r="F6079" s="3"/>
      <c r="G6079" s="3"/>
      <c r="H6079" s="3"/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  <c r="T6079" s="3"/>
      <c r="U6079" s="3"/>
      <c r="V6079" s="3"/>
      <c r="W6079" s="3"/>
      <c r="X6079" s="3"/>
      <c r="Y6079" s="3"/>
    </row>
    <row r="6080">
      <c r="A6080" s="3"/>
      <c r="B6080" s="3"/>
      <c r="C6080" s="3"/>
      <c r="D6080" s="3"/>
      <c r="E6080" s="3"/>
      <c r="F6080" s="3"/>
      <c r="G6080" s="3"/>
      <c r="H6080" s="3"/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  <c r="T6080" s="3"/>
      <c r="U6080" s="3"/>
      <c r="V6080" s="3"/>
      <c r="W6080" s="3"/>
      <c r="X6080" s="3"/>
      <c r="Y6080" s="3"/>
    </row>
    <row r="6081">
      <c r="A6081" s="3"/>
      <c r="B6081" s="3"/>
      <c r="C6081" s="3"/>
      <c r="D6081" s="3"/>
      <c r="E6081" s="3"/>
      <c r="F6081" s="3"/>
      <c r="G6081" s="3"/>
      <c r="H6081" s="3"/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  <c r="T6081" s="3"/>
      <c r="U6081" s="3"/>
      <c r="V6081" s="3"/>
      <c r="W6081" s="3"/>
      <c r="X6081" s="3"/>
      <c r="Y6081" s="3"/>
    </row>
    <row r="6082">
      <c r="A6082" s="3"/>
      <c r="B6082" s="3"/>
      <c r="C6082" s="3"/>
      <c r="D6082" s="3"/>
      <c r="E6082" s="3"/>
      <c r="F6082" s="3"/>
      <c r="G6082" s="3"/>
      <c r="H6082" s="3"/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  <c r="T6082" s="3"/>
      <c r="U6082" s="3"/>
      <c r="V6082" s="3"/>
      <c r="W6082" s="3"/>
      <c r="X6082" s="3"/>
      <c r="Y6082" s="3"/>
    </row>
    <row r="6083">
      <c r="A6083" s="3"/>
      <c r="B6083" s="3"/>
      <c r="C6083" s="3"/>
      <c r="D6083" s="3"/>
      <c r="E6083" s="3"/>
      <c r="F6083" s="3"/>
      <c r="G6083" s="3"/>
      <c r="H6083" s="3"/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  <c r="T6083" s="3"/>
      <c r="U6083" s="3"/>
      <c r="V6083" s="3"/>
      <c r="W6083" s="3"/>
      <c r="X6083" s="3"/>
      <c r="Y6083" s="3"/>
    </row>
    <row r="6084">
      <c r="A6084" s="3"/>
      <c r="B6084" s="3"/>
      <c r="C6084" s="3"/>
      <c r="D6084" s="3"/>
      <c r="E6084" s="3"/>
      <c r="F6084" s="3"/>
      <c r="G6084" s="3"/>
      <c r="H6084" s="3"/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  <c r="T6084" s="3"/>
      <c r="U6084" s="3"/>
      <c r="V6084" s="3"/>
      <c r="W6084" s="3"/>
      <c r="X6084" s="3"/>
      <c r="Y6084" s="3"/>
    </row>
    <row r="6085">
      <c r="A6085" s="3"/>
      <c r="B6085" s="3"/>
      <c r="C6085" s="3"/>
      <c r="D6085" s="3"/>
      <c r="E6085" s="3"/>
      <c r="F6085" s="3"/>
      <c r="G6085" s="3"/>
      <c r="H6085" s="3"/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  <c r="T6085" s="3"/>
      <c r="U6085" s="3"/>
      <c r="V6085" s="3"/>
      <c r="W6085" s="3"/>
      <c r="X6085" s="3"/>
      <c r="Y6085" s="3"/>
    </row>
    <row r="6086">
      <c r="A6086" s="3"/>
      <c r="B6086" s="3"/>
      <c r="C6086" s="3"/>
      <c r="D6086" s="3"/>
      <c r="E6086" s="3"/>
      <c r="F6086" s="3"/>
      <c r="G6086" s="3"/>
      <c r="H6086" s="3"/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  <c r="T6086" s="3"/>
      <c r="U6086" s="3"/>
      <c r="V6086" s="3"/>
      <c r="W6086" s="3"/>
      <c r="X6086" s="3"/>
      <c r="Y6086" s="3"/>
    </row>
    <row r="6087">
      <c r="A6087" s="3"/>
      <c r="B6087" s="3"/>
      <c r="C6087" s="3"/>
      <c r="D6087" s="3"/>
      <c r="E6087" s="3"/>
      <c r="F6087" s="3"/>
      <c r="G6087" s="3"/>
      <c r="H6087" s="3"/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  <c r="T6087" s="3"/>
      <c r="U6087" s="3"/>
      <c r="V6087" s="3"/>
      <c r="W6087" s="3"/>
      <c r="X6087" s="3"/>
      <c r="Y6087" s="3"/>
    </row>
    <row r="6088">
      <c r="A6088" s="3"/>
      <c r="B6088" s="3"/>
      <c r="C6088" s="3"/>
      <c r="D6088" s="3"/>
      <c r="E6088" s="3"/>
      <c r="F6088" s="3"/>
      <c r="G6088" s="3"/>
      <c r="H6088" s="3"/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  <c r="T6088" s="3"/>
      <c r="U6088" s="3"/>
      <c r="V6088" s="3"/>
      <c r="W6088" s="3"/>
      <c r="X6088" s="3"/>
      <c r="Y6088" s="3"/>
    </row>
    <row r="6089">
      <c r="A6089" s="3"/>
      <c r="B6089" s="3"/>
      <c r="C6089" s="3"/>
      <c r="D6089" s="3"/>
      <c r="E6089" s="3"/>
      <c r="F6089" s="3"/>
      <c r="G6089" s="3"/>
      <c r="H6089" s="3"/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  <c r="T6089" s="3"/>
      <c r="U6089" s="3"/>
      <c r="V6089" s="3"/>
      <c r="W6089" s="3"/>
      <c r="X6089" s="3"/>
      <c r="Y6089" s="3"/>
    </row>
    <row r="6090">
      <c r="A6090" s="3"/>
      <c r="B6090" s="3"/>
      <c r="C6090" s="3"/>
      <c r="D6090" s="3"/>
      <c r="E6090" s="3"/>
      <c r="F6090" s="3"/>
      <c r="G6090" s="3"/>
      <c r="H6090" s="3"/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  <c r="T6090" s="3"/>
      <c r="U6090" s="3"/>
      <c r="V6090" s="3"/>
      <c r="W6090" s="3"/>
      <c r="X6090" s="3"/>
      <c r="Y6090" s="3"/>
    </row>
    <row r="6091">
      <c r="A6091" s="3"/>
      <c r="B6091" s="3"/>
      <c r="C6091" s="3"/>
      <c r="D6091" s="3"/>
      <c r="E6091" s="3"/>
      <c r="F6091" s="3"/>
      <c r="G6091" s="3"/>
      <c r="H6091" s="3"/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  <c r="T6091" s="3"/>
      <c r="U6091" s="3"/>
      <c r="V6091" s="3"/>
      <c r="W6091" s="3"/>
      <c r="X6091" s="3"/>
      <c r="Y6091" s="3"/>
    </row>
    <row r="6092">
      <c r="A6092" s="3"/>
      <c r="B6092" s="3"/>
      <c r="C6092" s="3"/>
      <c r="D6092" s="3"/>
      <c r="E6092" s="3"/>
      <c r="F6092" s="3"/>
      <c r="G6092" s="3"/>
      <c r="H6092" s="3"/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  <c r="T6092" s="3"/>
      <c r="U6092" s="3"/>
      <c r="V6092" s="3"/>
      <c r="W6092" s="3"/>
      <c r="X6092" s="3"/>
      <c r="Y6092" s="3"/>
    </row>
    <row r="6093">
      <c r="A6093" s="3"/>
      <c r="B6093" s="3"/>
      <c r="C6093" s="3"/>
      <c r="D6093" s="3"/>
      <c r="E6093" s="3"/>
      <c r="F6093" s="3"/>
      <c r="G6093" s="3"/>
      <c r="H6093" s="3"/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  <c r="T6093" s="3"/>
      <c r="U6093" s="3"/>
      <c r="V6093" s="3"/>
      <c r="W6093" s="3"/>
      <c r="X6093" s="3"/>
      <c r="Y6093" s="3"/>
    </row>
    <row r="6094">
      <c r="A6094" s="3"/>
      <c r="B6094" s="3"/>
      <c r="C6094" s="3"/>
      <c r="D6094" s="3"/>
      <c r="E6094" s="3"/>
      <c r="F6094" s="3"/>
      <c r="G6094" s="3"/>
      <c r="H6094" s="3"/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  <c r="T6094" s="3"/>
      <c r="U6094" s="3"/>
      <c r="V6094" s="3"/>
      <c r="W6094" s="3"/>
      <c r="X6094" s="3"/>
      <c r="Y6094" s="3"/>
    </row>
    <row r="6095">
      <c r="A6095" s="3"/>
      <c r="B6095" s="3"/>
      <c r="C6095" s="3"/>
      <c r="D6095" s="3"/>
      <c r="E6095" s="3"/>
      <c r="F6095" s="3"/>
      <c r="G6095" s="3"/>
      <c r="H6095" s="3"/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  <c r="T6095" s="3"/>
      <c r="U6095" s="3"/>
      <c r="V6095" s="3"/>
      <c r="W6095" s="3"/>
      <c r="X6095" s="3"/>
      <c r="Y6095" s="3"/>
    </row>
    <row r="6096">
      <c r="A6096" s="3"/>
      <c r="B6096" s="3"/>
      <c r="C6096" s="3"/>
      <c r="D6096" s="3"/>
      <c r="E6096" s="3"/>
      <c r="F6096" s="3"/>
      <c r="G6096" s="3"/>
      <c r="H6096" s="3"/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  <c r="T6096" s="3"/>
      <c r="U6096" s="3"/>
      <c r="V6096" s="3"/>
      <c r="W6096" s="3"/>
      <c r="X6096" s="3"/>
      <c r="Y6096" s="3"/>
    </row>
    <row r="6097">
      <c r="A6097" s="3"/>
      <c r="B6097" s="3"/>
      <c r="C6097" s="3"/>
      <c r="D6097" s="3"/>
      <c r="E6097" s="3"/>
      <c r="F6097" s="3"/>
      <c r="G6097" s="3"/>
      <c r="H6097" s="3"/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  <c r="T6097" s="3"/>
      <c r="U6097" s="3"/>
      <c r="V6097" s="3"/>
      <c r="W6097" s="3"/>
      <c r="X6097" s="3"/>
      <c r="Y6097" s="3"/>
    </row>
    <row r="6098">
      <c r="A6098" s="3"/>
      <c r="B6098" s="3"/>
      <c r="C6098" s="3"/>
      <c r="D6098" s="3"/>
      <c r="E6098" s="3"/>
      <c r="F6098" s="3"/>
      <c r="G6098" s="3"/>
      <c r="H6098" s="3"/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  <c r="T6098" s="3"/>
      <c r="U6098" s="3"/>
      <c r="V6098" s="3"/>
      <c r="W6098" s="3"/>
      <c r="X6098" s="3"/>
      <c r="Y6098" s="3"/>
    </row>
    <row r="6099">
      <c r="A6099" s="3"/>
      <c r="B6099" s="3"/>
      <c r="C6099" s="3"/>
      <c r="D6099" s="3"/>
      <c r="E6099" s="3"/>
      <c r="F6099" s="3"/>
      <c r="G6099" s="3"/>
      <c r="H6099" s="3"/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  <c r="T6099" s="3"/>
      <c r="U6099" s="3"/>
      <c r="V6099" s="3"/>
      <c r="W6099" s="3"/>
      <c r="X6099" s="3"/>
      <c r="Y6099" s="3"/>
    </row>
    <row r="6100">
      <c r="A6100" s="3"/>
      <c r="B6100" s="3"/>
      <c r="C6100" s="3"/>
      <c r="D6100" s="3"/>
      <c r="E6100" s="3"/>
      <c r="F6100" s="3"/>
      <c r="G6100" s="3"/>
      <c r="H6100" s="3"/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  <c r="T6100" s="3"/>
      <c r="U6100" s="3"/>
      <c r="V6100" s="3"/>
      <c r="W6100" s="3"/>
      <c r="X6100" s="3"/>
      <c r="Y6100" s="3"/>
    </row>
    <row r="6101">
      <c r="A6101" s="3"/>
      <c r="B6101" s="3"/>
      <c r="C6101" s="3"/>
      <c r="D6101" s="3"/>
      <c r="E6101" s="3"/>
      <c r="F6101" s="3"/>
      <c r="G6101" s="3"/>
      <c r="H6101" s="3"/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  <c r="T6101" s="3"/>
      <c r="U6101" s="3"/>
      <c r="V6101" s="3"/>
      <c r="W6101" s="3"/>
      <c r="X6101" s="3"/>
      <c r="Y6101" s="3"/>
    </row>
    <row r="6102">
      <c r="A6102" s="3"/>
      <c r="B6102" s="3"/>
      <c r="C6102" s="3"/>
      <c r="D6102" s="3"/>
      <c r="E6102" s="3"/>
      <c r="F6102" s="3"/>
      <c r="G6102" s="3"/>
      <c r="H6102" s="3"/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  <c r="T6102" s="3"/>
      <c r="U6102" s="3"/>
      <c r="V6102" s="3"/>
      <c r="W6102" s="3"/>
      <c r="X6102" s="3"/>
      <c r="Y6102" s="3"/>
    </row>
    <row r="6103">
      <c r="A6103" s="3"/>
      <c r="B6103" s="3"/>
      <c r="C6103" s="3"/>
      <c r="D6103" s="3"/>
      <c r="E6103" s="3"/>
      <c r="F6103" s="3"/>
      <c r="G6103" s="3"/>
      <c r="H6103" s="3"/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  <c r="T6103" s="3"/>
      <c r="U6103" s="3"/>
      <c r="V6103" s="3"/>
      <c r="W6103" s="3"/>
      <c r="X6103" s="3"/>
      <c r="Y6103" s="3"/>
    </row>
    <row r="6104">
      <c r="A6104" s="3"/>
      <c r="B6104" s="3"/>
      <c r="C6104" s="3"/>
      <c r="D6104" s="3"/>
      <c r="E6104" s="3"/>
      <c r="F6104" s="3"/>
      <c r="G6104" s="3"/>
      <c r="H6104" s="3"/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  <c r="T6104" s="3"/>
      <c r="U6104" s="3"/>
      <c r="V6104" s="3"/>
      <c r="W6104" s="3"/>
      <c r="X6104" s="3"/>
      <c r="Y6104" s="3"/>
    </row>
    <row r="6105">
      <c r="A6105" s="3"/>
      <c r="B6105" s="3"/>
      <c r="C6105" s="3"/>
      <c r="D6105" s="3"/>
      <c r="E6105" s="3"/>
      <c r="F6105" s="3"/>
      <c r="G6105" s="3"/>
      <c r="H6105" s="3"/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  <c r="T6105" s="3"/>
      <c r="U6105" s="3"/>
      <c r="V6105" s="3"/>
      <c r="W6105" s="3"/>
      <c r="X6105" s="3"/>
      <c r="Y6105" s="3"/>
    </row>
    <row r="6106">
      <c r="A6106" s="3"/>
      <c r="B6106" s="3"/>
      <c r="C6106" s="3"/>
      <c r="D6106" s="3"/>
      <c r="E6106" s="3"/>
      <c r="F6106" s="3"/>
      <c r="G6106" s="3"/>
      <c r="H6106" s="3"/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  <c r="T6106" s="3"/>
      <c r="U6106" s="3"/>
      <c r="V6106" s="3"/>
      <c r="W6106" s="3"/>
      <c r="X6106" s="3"/>
      <c r="Y6106" s="3"/>
    </row>
    <row r="6107">
      <c r="A6107" s="3"/>
      <c r="B6107" s="3"/>
      <c r="C6107" s="3"/>
      <c r="D6107" s="3"/>
      <c r="E6107" s="3"/>
      <c r="F6107" s="3"/>
      <c r="G6107" s="3"/>
      <c r="H6107" s="3"/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  <c r="T6107" s="3"/>
      <c r="U6107" s="3"/>
      <c r="V6107" s="3"/>
      <c r="W6107" s="3"/>
      <c r="X6107" s="3"/>
      <c r="Y6107" s="3"/>
    </row>
    <row r="6108">
      <c r="A6108" s="3"/>
      <c r="B6108" s="3"/>
      <c r="C6108" s="3"/>
      <c r="D6108" s="3"/>
      <c r="E6108" s="3"/>
      <c r="F6108" s="3"/>
      <c r="G6108" s="3"/>
      <c r="H6108" s="3"/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  <c r="T6108" s="3"/>
      <c r="U6108" s="3"/>
      <c r="V6108" s="3"/>
      <c r="W6108" s="3"/>
      <c r="X6108" s="3"/>
      <c r="Y6108" s="3"/>
    </row>
    <row r="6109">
      <c r="A6109" s="3"/>
      <c r="B6109" s="3"/>
      <c r="C6109" s="3"/>
      <c r="D6109" s="3"/>
      <c r="E6109" s="3"/>
      <c r="F6109" s="3"/>
      <c r="G6109" s="3"/>
      <c r="H6109" s="3"/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  <c r="T6109" s="3"/>
      <c r="U6109" s="3"/>
      <c r="V6109" s="3"/>
      <c r="W6109" s="3"/>
      <c r="X6109" s="3"/>
      <c r="Y6109" s="3"/>
    </row>
    <row r="6110">
      <c r="A6110" s="3"/>
      <c r="B6110" s="3"/>
      <c r="C6110" s="3"/>
      <c r="D6110" s="3"/>
      <c r="E6110" s="3"/>
      <c r="F6110" s="3"/>
      <c r="G6110" s="3"/>
      <c r="H6110" s="3"/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  <c r="T6110" s="3"/>
      <c r="U6110" s="3"/>
      <c r="V6110" s="3"/>
      <c r="W6110" s="3"/>
      <c r="X6110" s="3"/>
      <c r="Y6110" s="3"/>
    </row>
    <row r="6111">
      <c r="A6111" s="3"/>
      <c r="B6111" s="3"/>
      <c r="C6111" s="3"/>
      <c r="D6111" s="3"/>
      <c r="E6111" s="3"/>
      <c r="F6111" s="3"/>
      <c r="G6111" s="3"/>
      <c r="H6111" s="3"/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  <c r="T6111" s="3"/>
      <c r="U6111" s="3"/>
      <c r="V6111" s="3"/>
      <c r="W6111" s="3"/>
      <c r="X6111" s="3"/>
      <c r="Y6111" s="3"/>
    </row>
    <row r="6112">
      <c r="A6112" s="3"/>
      <c r="B6112" s="3"/>
      <c r="C6112" s="3"/>
      <c r="D6112" s="3"/>
      <c r="E6112" s="3"/>
      <c r="F6112" s="3"/>
      <c r="G6112" s="3"/>
      <c r="H6112" s="3"/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  <c r="T6112" s="3"/>
      <c r="U6112" s="3"/>
      <c r="V6112" s="3"/>
      <c r="W6112" s="3"/>
      <c r="X6112" s="3"/>
      <c r="Y6112" s="3"/>
    </row>
    <row r="6113">
      <c r="A6113" s="3"/>
      <c r="B6113" s="3"/>
      <c r="C6113" s="3"/>
      <c r="D6113" s="3"/>
      <c r="E6113" s="3"/>
      <c r="F6113" s="3"/>
      <c r="G6113" s="3"/>
      <c r="H6113" s="3"/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  <c r="T6113" s="3"/>
      <c r="U6113" s="3"/>
      <c r="V6113" s="3"/>
      <c r="W6113" s="3"/>
      <c r="X6113" s="3"/>
      <c r="Y6113" s="3"/>
    </row>
    <row r="6114">
      <c r="A6114" s="3"/>
      <c r="B6114" s="3"/>
      <c r="C6114" s="3"/>
      <c r="D6114" s="3"/>
      <c r="E6114" s="3"/>
      <c r="F6114" s="3"/>
      <c r="G6114" s="3"/>
      <c r="H6114" s="3"/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  <c r="T6114" s="3"/>
      <c r="U6114" s="3"/>
      <c r="V6114" s="3"/>
      <c r="W6114" s="3"/>
      <c r="X6114" s="3"/>
      <c r="Y6114" s="3"/>
    </row>
    <row r="6115">
      <c r="A6115" s="3"/>
      <c r="B6115" s="3"/>
      <c r="C6115" s="3"/>
      <c r="D6115" s="3"/>
      <c r="E6115" s="3"/>
      <c r="F6115" s="3"/>
      <c r="G6115" s="3"/>
      <c r="H6115" s="3"/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  <c r="T6115" s="3"/>
      <c r="U6115" s="3"/>
      <c r="V6115" s="3"/>
      <c r="W6115" s="3"/>
      <c r="X6115" s="3"/>
      <c r="Y6115" s="3"/>
    </row>
    <row r="6116">
      <c r="A6116" s="3"/>
      <c r="B6116" s="3"/>
      <c r="C6116" s="3"/>
      <c r="D6116" s="3"/>
      <c r="E6116" s="3"/>
      <c r="F6116" s="3"/>
      <c r="G6116" s="3"/>
      <c r="H6116" s="3"/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  <c r="T6116" s="3"/>
      <c r="U6116" s="3"/>
      <c r="V6116" s="3"/>
      <c r="W6116" s="3"/>
      <c r="X6116" s="3"/>
      <c r="Y6116" s="3"/>
    </row>
    <row r="6117">
      <c r="A6117" s="3"/>
      <c r="B6117" s="3"/>
      <c r="C6117" s="3"/>
      <c r="D6117" s="3"/>
      <c r="E6117" s="3"/>
      <c r="F6117" s="3"/>
      <c r="G6117" s="3"/>
      <c r="H6117" s="3"/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  <c r="T6117" s="3"/>
      <c r="U6117" s="3"/>
      <c r="V6117" s="3"/>
      <c r="W6117" s="3"/>
      <c r="X6117" s="3"/>
      <c r="Y6117" s="3"/>
    </row>
    <row r="6118">
      <c r="A6118" s="3"/>
      <c r="B6118" s="3"/>
      <c r="C6118" s="3"/>
      <c r="D6118" s="3"/>
      <c r="E6118" s="3"/>
      <c r="F6118" s="3"/>
      <c r="G6118" s="3"/>
      <c r="H6118" s="3"/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  <c r="T6118" s="3"/>
      <c r="U6118" s="3"/>
      <c r="V6118" s="3"/>
      <c r="W6118" s="3"/>
      <c r="X6118" s="3"/>
      <c r="Y6118" s="3"/>
    </row>
    <row r="6119">
      <c r="A6119" s="3"/>
      <c r="B6119" s="3"/>
      <c r="C6119" s="3"/>
      <c r="D6119" s="3"/>
      <c r="E6119" s="3"/>
      <c r="F6119" s="3"/>
      <c r="G6119" s="3"/>
      <c r="H6119" s="3"/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  <c r="T6119" s="3"/>
      <c r="U6119" s="3"/>
      <c r="V6119" s="3"/>
      <c r="W6119" s="3"/>
      <c r="X6119" s="3"/>
      <c r="Y6119" s="3"/>
    </row>
    <row r="6120">
      <c r="A6120" s="3"/>
      <c r="B6120" s="3"/>
      <c r="C6120" s="3"/>
      <c r="D6120" s="3"/>
      <c r="E6120" s="3"/>
      <c r="F6120" s="3"/>
      <c r="G6120" s="3"/>
      <c r="H6120" s="3"/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  <c r="T6120" s="3"/>
      <c r="U6120" s="3"/>
      <c r="V6120" s="3"/>
      <c r="W6120" s="3"/>
      <c r="X6120" s="3"/>
      <c r="Y6120" s="3"/>
    </row>
    <row r="6121">
      <c r="A6121" s="3"/>
      <c r="B6121" s="3"/>
      <c r="C6121" s="3"/>
      <c r="D6121" s="3"/>
      <c r="E6121" s="3"/>
      <c r="F6121" s="3"/>
      <c r="G6121" s="3"/>
      <c r="H6121" s="3"/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  <c r="T6121" s="3"/>
      <c r="U6121" s="3"/>
      <c r="V6121" s="3"/>
      <c r="W6121" s="3"/>
      <c r="X6121" s="3"/>
      <c r="Y6121" s="3"/>
    </row>
    <row r="6122">
      <c r="A6122" s="3"/>
      <c r="B6122" s="3"/>
      <c r="C6122" s="3"/>
      <c r="D6122" s="3"/>
      <c r="E6122" s="3"/>
      <c r="F6122" s="3"/>
      <c r="G6122" s="3"/>
      <c r="H6122" s="3"/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  <c r="T6122" s="3"/>
      <c r="U6122" s="3"/>
      <c r="V6122" s="3"/>
      <c r="W6122" s="3"/>
      <c r="X6122" s="3"/>
      <c r="Y6122" s="3"/>
    </row>
    <row r="6123">
      <c r="A6123" s="3"/>
      <c r="B6123" s="3"/>
      <c r="C6123" s="3"/>
      <c r="D6123" s="3"/>
      <c r="E6123" s="3"/>
      <c r="F6123" s="3"/>
      <c r="G6123" s="3"/>
      <c r="H6123" s="3"/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  <c r="T6123" s="3"/>
      <c r="U6123" s="3"/>
      <c r="V6123" s="3"/>
      <c r="W6123" s="3"/>
      <c r="X6123" s="3"/>
      <c r="Y6123" s="3"/>
    </row>
    <row r="6124">
      <c r="A6124" s="3"/>
      <c r="B6124" s="3"/>
      <c r="C6124" s="3"/>
      <c r="D6124" s="3"/>
      <c r="E6124" s="3"/>
      <c r="F6124" s="3"/>
      <c r="G6124" s="3"/>
      <c r="H6124" s="3"/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  <c r="T6124" s="3"/>
      <c r="U6124" s="3"/>
      <c r="V6124" s="3"/>
      <c r="W6124" s="3"/>
      <c r="X6124" s="3"/>
      <c r="Y6124" s="3"/>
    </row>
    <row r="6125">
      <c r="A6125" s="3"/>
      <c r="B6125" s="3"/>
      <c r="C6125" s="3"/>
      <c r="D6125" s="3"/>
      <c r="E6125" s="3"/>
      <c r="F6125" s="3"/>
      <c r="G6125" s="3"/>
      <c r="H6125" s="3"/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  <c r="T6125" s="3"/>
      <c r="U6125" s="3"/>
      <c r="V6125" s="3"/>
      <c r="W6125" s="3"/>
      <c r="X6125" s="3"/>
      <c r="Y6125" s="3"/>
    </row>
    <row r="6126">
      <c r="A6126" s="3"/>
      <c r="B6126" s="3"/>
      <c r="C6126" s="3"/>
      <c r="D6126" s="3"/>
      <c r="E6126" s="3"/>
      <c r="F6126" s="3"/>
      <c r="G6126" s="3"/>
      <c r="H6126" s="3"/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  <c r="T6126" s="3"/>
      <c r="U6126" s="3"/>
      <c r="V6126" s="3"/>
      <c r="W6126" s="3"/>
      <c r="X6126" s="3"/>
      <c r="Y6126" s="3"/>
    </row>
    <row r="6127">
      <c r="A6127" s="3"/>
      <c r="B6127" s="3"/>
      <c r="C6127" s="3"/>
      <c r="D6127" s="3"/>
      <c r="E6127" s="3"/>
      <c r="F6127" s="3"/>
      <c r="G6127" s="3"/>
      <c r="H6127" s="3"/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  <c r="T6127" s="3"/>
      <c r="U6127" s="3"/>
      <c r="V6127" s="3"/>
      <c r="W6127" s="3"/>
      <c r="X6127" s="3"/>
      <c r="Y6127" s="3"/>
    </row>
    <row r="6128">
      <c r="A6128" s="3"/>
      <c r="B6128" s="3"/>
      <c r="C6128" s="3"/>
      <c r="D6128" s="3"/>
      <c r="E6128" s="3"/>
      <c r="F6128" s="3"/>
      <c r="G6128" s="3"/>
      <c r="H6128" s="3"/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  <c r="T6128" s="3"/>
      <c r="U6128" s="3"/>
      <c r="V6128" s="3"/>
      <c r="W6128" s="3"/>
      <c r="X6128" s="3"/>
      <c r="Y6128" s="3"/>
    </row>
    <row r="6129">
      <c r="A6129" s="3"/>
      <c r="B6129" s="3"/>
      <c r="C6129" s="3"/>
      <c r="D6129" s="3"/>
      <c r="E6129" s="3"/>
      <c r="F6129" s="3"/>
      <c r="G6129" s="3"/>
      <c r="H6129" s="3"/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  <c r="T6129" s="3"/>
      <c r="U6129" s="3"/>
      <c r="V6129" s="3"/>
      <c r="W6129" s="3"/>
      <c r="X6129" s="3"/>
      <c r="Y6129" s="3"/>
    </row>
    <row r="6130">
      <c r="A6130" s="3"/>
      <c r="B6130" s="3"/>
      <c r="C6130" s="3"/>
      <c r="D6130" s="3"/>
      <c r="E6130" s="3"/>
      <c r="F6130" s="3"/>
      <c r="G6130" s="3"/>
      <c r="H6130" s="3"/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  <c r="T6130" s="3"/>
      <c r="U6130" s="3"/>
      <c r="V6130" s="3"/>
      <c r="W6130" s="3"/>
      <c r="X6130" s="3"/>
      <c r="Y6130" s="3"/>
    </row>
    <row r="6131">
      <c r="A6131" s="3"/>
      <c r="B6131" s="3"/>
      <c r="C6131" s="3"/>
      <c r="D6131" s="3"/>
      <c r="E6131" s="3"/>
      <c r="F6131" s="3"/>
      <c r="G6131" s="3"/>
      <c r="H6131" s="3"/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  <c r="T6131" s="3"/>
      <c r="U6131" s="3"/>
      <c r="V6131" s="3"/>
      <c r="W6131" s="3"/>
      <c r="X6131" s="3"/>
      <c r="Y6131" s="3"/>
    </row>
    <row r="6132">
      <c r="A6132" s="3"/>
      <c r="B6132" s="3"/>
      <c r="C6132" s="3"/>
      <c r="D6132" s="3"/>
      <c r="E6132" s="3"/>
      <c r="F6132" s="3"/>
      <c r="G6132" s="3"/>
      <c r="H6132" s="3"/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  <c r="T6132" s="3"/>
      <c r="U6132" s="3"/>
      <c r="V6132" s="3"/>
      <c r="W6132" s="3"/>
      <c r="X6132" s="3"/>
      <c r="Y6132" s="3"/>
    </row>
    <row r="6133">
      <c r="A6133" s="3"/>
      <c r="B6133" s="3"/>
      <c r="C6133" s="3"/>
      <c r="D6133" s="3"/>
      <c r="E6133" s="3"/>
      <c r="F6133" s="3"/>
      <c r="G6133" s="3"/>
      <c r="H6133" s="3"/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  <c r="T6133" s="3"/>
      <c r="U6133" s="3"/>
      <c r="V6133" s="3"/>
      <c r="W6133" s="3"/>
      <c r="X6133" s="3"/>
      <c r="Y6133" s="3"/>
    </row>
    <row r="6134">
      <c r="A6134" s="3"/>
      <c r="B6134" s="3"/>
      <c r="C6134" s="3"/>
      <c r="D6134" s="3"/>
      <c r="E6134" s="3"/>
      <c r="F6134" s="3"/>
      <c r="G6134" s="3"/>
      <c r="H6134" s="3"/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  <c r="T6134" s="3"/>
      <c r="U6134" s="3"/>
      <c r="V6134" s="3"/>
      <c r="W6134" s="3"/>
      <c r="X6134" s="3"/>
      <c r="Y6134" s="3"/>
    </row>
    <row r="6135">
      <c r="A6135" s="3"/>
      <c r="B6135" s="3"/>
      <c r="C6135" s="3"/>
      <c r="D6135" s="3"/>
      <c r="E6135" s="3"/>
      <c r="F6135" s="3"/>
      <c r="G6135" s="3"/>
      <c r="H6135" s="3"/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  <c r="T6135" s="3"/>
      <c r="U6135" s="3"/>
      <c r="V6135" s="3"/>
      <c r="W6135" s="3"/>
      <c r="X6135" s="3"/>
      <c r="Y6135" s="3"/>
    </row>
    <row r="6136">
      <c r="A6136" s="3"/>
      <c r="B6136" s="3"/>
      <c r="C6136" s="3"/>
      <c r="D6136" s="3"/>
      <c r="E6136" s="3"/>
      <c r="F6136" s="3"/>
      <c r="G6136" s="3"/>
      <c r="H6136" s="3"/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  <c r="T6136" s="3"/>
      <c r="U6136" s="3"/>
      <c r="V6136" s="3"/>
      <c r="W6136" s="3"/>
      <c r="X6136" s="3"/>
      <c r="Y6136" s="3"/>
    </row>
    <row r="6137">
      <c r="A6137" s="3"/>
      <c r="B6137" s="3"/>
      <c r="C6137" s="3"/>
      <c r="D6137" s="3"/>
      <c r="E6137" s="3"/>
      <c r="F6137" s="3"/>
      <c r="G6137" s="3"/>
      <c r="H6137" s="3"/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  <c r="T6137" s="3"/>
      <c r="U6137" s="3"/>
      <c r="V6137" s="3"/>
      <c r="W6137" s="3"/>
      <c r="X6137" s="3"/>
      <c r="Y6137" s="3"/>
    </row>
    <row r="6138">
      <c r="A6138" s="3"/>
      <c r="B6138" s="3"/>
      <c r="C6138" s="3"/>
      <c r="D6138" s="3"/>
      <c r="E6138" s="3"/>
      <c r="F6138" s="3"/>
      <c r="G6138" s="3"/>
      <c r="H6138" s="3"/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  <c r="T6138" s="3"/>
      <c r="U6138" s="3"/>
      <c r="V6138" s="3"/>
      <c r="W6138" s="3"/>
      <c r="X6138" s="3"/>
      <c r="Y6138" s="3"/>
    </row>
    <row r="6139">
      <c r="A6139" s="3"/>
      <c r="B6139" s="3"/>
      <c r="C6139" s="3"/>
      <c r="D6139" s="3"/>
      <c r="E6139" s="3"/>
      <c r="F6139" s="3"/>
      <c r="G6139" s="3"/>
      <c r="H6139" s="3"/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  <c r="T6139" s="3"/>
      <c r="U6139" s="3"/>
      <c r="V6139" s="3"/>
      <c r="W6139" s="3"/>
      <c r="X6139" s="3"/>
      <c r="Y6139" s="3"/>
    </row>
    <row r="6140">
      <c r="A6140" s="3"/>
      <c r="B6140" s="3"/>
      <c r="C6140" s="3"/>
      <c r="D6140" s="3"/>
      <c r="E6140" s="3"/>
      <c r="F6140" s="3"/>
      <c r="G6140" s="3"/>
      <c r="H6140" s="3"/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  <c r="T6140" s="3"/>
      <c r="U6140" s="3"/>
      <c r="V6140" s="3"/>
      <c r="W6140" s="3"/>
      <c r="X6140" s="3"/>
      <c r="Y6140" s="3"/>
    </row>
    <row r="6141">
      <c r="A6141" s="3"/>
      <c r="B6141" s="3"/>
      <c r="C6141" s="3"/>
      <c r="D6141" s="3"/>
      <c r="E6141" s="3"/>
      <c r="F6141" s="3"/>
      <c r="G6141" s="3"/>
      <c r="H6141" s="3"/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  <c r="T6141" s="3"/>
      <c r="U6141" s="3"/>
      <c r="V6141" s="3"/>
      <c r="W6141" s="3"/>
      <c r="X6141" s="3"/>
      <c r="Y6141" s="3"/>
    </row>
    <row r="6142">
      <c r="A6142" s="3"/>
      <c r="B6142" s="3"/>
      <c r="C6142" s="3"/>
      <c r="D6142" s="3"/>
      <c r="E6142" s="3"/>
      <c r="F6142" s="3"/>
      <c r="G6142" s="3"/>
      <c r="H6142" s="3"/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  <c r="T6142" s="3"/>
      <c r="U6142" s="3"/>
      <c r="V6142" s="3"/>
      <c r="W6142" s="3"/>
      <c r="X6142" s="3"/>
      <c r="Y6142" s="3"/>
    </row>
    <row r="6143">
      <c r="A6143" s="3"/>
      <c r="B6143" s="3"/>
      <c r="C6143" s="3"/>
      <c r="D6143" s="3"/>
      <c r="E6143" s="3"/>
      <c r="F6143" s="3"/>
      <c r="G6143" s="3"/>
      <c r="H6143" s="3"/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  <c r="T6143" s="3"/>
      <c r="U6143" s="3"/>
      <c r="V6143" s="3"/>
      <c r="W6143" s="3"/>
      <c r="X6143" s="3"/>
      <c r="Y6143" s="3"/>
    </row>
    <row r="6144">
      <c r="A6144" s="3"/>
      <c r="B6144" s="3"/>
      <c r="C6144" s="3"/>
      <c r="D6144" s="3"/>
      <c r="E6144" s="3"/>
      <c r="F6144" s="3"/>
      <c r="G6144" s="3"/>
      <c r="H6144" s="3"/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  <c r="T6144" s="3"/>
      <c r="U6144" s="3"/>
      <c r="V6144" s="3"/>
      <c r="W6144" s="3"/>
      <c r="X6144" s="3"/>
      <c r="Y6144" s="3"/>
    </row>
    <row r="6145">
      <c r="A6145" s="3"/>
      <c r="B6145" s="3"/>
      <c r="C6145" s="3"/>
      <c r="D6145" s="3"/>
      <c r="E6145" s="3"/>
      <c r="F6145" s="3"/>
      <c r="G6145" s="3"/>
      <c r="H6145" s="3"/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  <c r="T6145" s="3"/>
      <c r="U6145" s="3"/>
      <c r="V6145" s="3"/>
      <c r="W6145" s="3"/>
      <c r="X6145" s="3"/>
      <c r="Y6145" s="3"/>
    </row>
    <row r="6146">
      <c r="A6146" s="3"/>
      <c r="B6146" s="3"/>
      <c r="C6146" s="3"/>
      <c r="D6146" s="3"/>
      <c r="E6146" s="3"/>
      <c r="F6146" s="3"/>
      <c r="G6146" s="3"/>
      <c r="H6146" s="3"/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  <c r="T6146" s="3"/>
      <c r="U6146" s="3"/>
      <c r="V6146" s="3"/>
      <c r="W6146" s="3"/>
      <c r="X6146" s="3"/>
      <c r="Y6146" s="3"/>
    </row>
    <row r="6147">
      <c r="A6147" s="3"/>
      <c r="B6147" s="3"/>
      <c r="C6147" s="3"/>
      <c r="D6147" s="3"/>
      <c r="E6147" s="3"/>
      <c r="F6147" s="3"/>
      <c r="G6147" s="3"/>
      <c r="H6147" s="3"/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  <c r="T6147" s="3"/>
      <c r="U6147" s="3"/>
      <c r="V6147" s="3"/>
      <c r="W6147" s="3"/>
      <c r="X6147" s="3"/>
      <c r="Y6147" s="3"/>
    </row>
    <row r="6148">
      <c r="A6148" s="3"/>
      <c r="B6148" s="3"/>
      <c r="C6148" s="3"/>
      <c r="D6148" s="3"/>
      <c r="E6148" s="3"/>
      <c r="F6148" s="3"/>
      <c r="G6148" s="3"/>
      <c r="H6148" s="3"/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  <c r="T6148" s="3"/>
      <c r="U6148" s="3"/>
      <c r="V6148" s="3"/>
      <c r="W6148" s="3"/>
      <c r="X6148" s="3"/>
      <c r="Y6148" s="3"/>
    </row>
    <row r="6149">
      <c r="A6149" s="3"/>
      <c r="B6149" s="3"/>
      <c r="C6149" s="3"/>
      <c r="D6149" s="3"/>
      <c r="E6149" s="3"/>
      <c r="F6149" s="3"/>
      <c r="G6149" s="3"/>
      <c r="H6149" s="3"/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  <c r="T6149" s="3"/>
      <c r="U6149" s="3"/>
      <c r="V6149" s="3"/>
      <c r="W6149" s="3"/>
      <c r="X6149" s="3"/>
      <c r="Y6149" s="3"/>
    </row>
    <row r="6150">
      <c r="A6150" s="3"/>
      <c r="B6150" s="3"/>
      <c r="C6150" s="3"/>
      <c r="D6150" s="3"/>
      <c r="E6150" s="3"/>
      <c r="F6150" s="3"/>
      <c r="G6150" s="3"/>
      <c r="H6150" s="3"/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  <c r="T6150" s="3"/>
      <c r="U6150" s="3"/>
      <c r="V6150" s="3"/>
      <c r="W6150" s="3"/>
      <c r="X6150" s="3"/>
      <c r="Y6150" s="3"/>
    </row>
    <row r="6151">
      <c r="A6151" s="3"/>
      <c r="B6151" s="3"/>
      <c r="C6151" s="3"/>
      <c r="D6151" s="3"/>
      <c r="E6151" s="3"/>
      <c r="F6151" s="3"/>
      <c r="G6151" s="3"/>
      <c r="H6151" s="3"/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  <c r="T6151" s="3"/>
      <c r="U6151" s="3"/>
      <c r="V6151" s="3"/>
      <c r="W6151" s="3"/>
      <c r="X6151" s="3"/>
      <c r="Y6151" s="3"/>
    </row>
    <row r="6152">
      <c r="A6152" s="3"/>
      <c r="B6152" s="3"/>
      <c r="C6152" s="3"/>
      <c r="D6152" s="3"/>
      <c r="E6152" s="3"/>
      <c r="F6152" s="3"/>
      <c r="G6152" s="3"/>
      <c r="H6152" s="3"/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  <c r="T6152" s="3"/>
      <c r="U6152" s="3"/>
      <c r="V6152" s="3"/>
      <c r="W6152" s="3"/>
      <c r="X6152" s="3"/>
      <c r="Y6152" s="3"/>
    </row>
    <row r="6153">
      <c r="A6153" s="3"/>
      <c r="B6153" s="3"/>
      <c r="C6153" s="3"/>
      <c r="D6153" s="3"/>
      <c r="E6153" s="3"/>
      <c r="F6153" s="3"/>
      <c r="G6153" s="3"/>
      <c r="H6153" s="3"/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  <c r="T6153" s="3"/>
      <c r="U6153" s="3"/>
      <c r="V6153" s="3"/>
      <c r="W6153" s="3"/>
      <c r="X6153" s="3"/>
      <c r="Y6153" s="3"/>
    </row>
    <row r="6154">
      <c r="A6154" s="3"/>
      <c r="B6154" s="3"/>
      <c r="C6154" s="3"/>
      <c r="D6154" s="3"/>
      <c r="E6154" s="3"/>
      <c r="F6154" s="3"/>
      <c r="G6154" s="3"/>
      <c r="H6154" s="3"/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  <c r="T6154" s="3"/>
      <c r="U6154" s="3"/>
      <c r="V6154" s="3"/>
      <c r="W6154" s="3"/>
      <c r="X6154" s="3"/>
      <c r="Y6154" s="3"/>
    </row>
    <row r="6155">
      <c r="A6155" s="3"/>
      <c r="B6155" s="3"/>
      <c r="C6155" s="3"/>
      <c r="D6155" s="3"/>
      <c r="E6155" s="3"/>
      <c r="F6155" s="3"/>
      <c r="G6155" s="3"/>
      <c r="H6155" s="3"/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  <c r="T6155" s="3"/>
      <c r="U6155" s="3"/>
      <c r="V6155" s="3"/>
      <c r="W6155" s="3"/>
      <c r="X6155" s="3"/>
      <c r="Y6155" s="3"/>
    </row>
    <row r="6156">
      <c r="A6156" s="3"/>
      <c r="B6156" s="3"/>
      <c r="C6156" s="3"/>
      <c r="D6156" s="3"/>
      <c r="E6156" s="3"/>
      <c r="F6156" s="3"/>
      <c r="G6156" s="3"/>
      <c r="H6156" s="3"/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  <c r="T6156" s="3"/>
      <c r="U6156" s="3"/>
      <c r="V6156" s="3"/>
      <c r="W6156" s="3"/>
      <c r="X6156" s="3"/>
      <c r="Y6156" s="3"/>
    </row>
    <row r="6157">
      <c r="A6157" s="3"/>
      <c r="B6157" s="3"/>
      <c r="C6157" s="3"/>
      <c r="D6157" s="3"/>
      <c r="E6157" s="3"/>
      <c r="F6157" s="3"/>
      <c r="G6157" s="3"/>
      <c r="H6157" s="3"/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  <c r="T6157" s="3"/>
      <c r="U6157" s="3"/>
      <c r="V6157" s="3"/>
      <c r="W6157" s="3"/>
      <c r="X6157" s="3"/>
      <c r="Y6157" s="3"/>
    </row>
    <row r="6158">
      <c r="A6158" s="3"/>
      <c r="B6158" s="3"/>
      <c r="C6158" s="3"/>
      <c r="D6158" s="3"/>
      <c r="E6158" s="3"/>
      <c r="F6158" s="3"/>
      <c r="G6158" s="3"/>
      <c r="H6158" s="3"/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  <c r="T6158" s="3"/>
      <c r="U6158" s="3"/>
      <c r="V6158" s="3"/>
      <c r="W6158" s="3"/>
      <c r="X6158" s="3"/>
      <c r="Y6158" s="3"/>
    </row>
    <row r="6159">
      <c r="A6159" s="3"/>
      <c r="B6159" s="3"/>
      <c r="C6159" s="3"/>
      <c r="D6159" s="3"/>
      <c r="E6159" s="3"/>
      <c r="F6159" s="3"/>
      <c r="G6159" s="3"/>
      <c r="H6159" s="3"/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  <c r="T6159" s="3"/>
      <c r="U6159" s="3"/>
      <c r="V6159" s="3"/>
      <c r="W6159" s="3"/>
      <c r="X6159" s="3"/>
      <c r="Y6159" s="3"/>
    </row>
    <row r="6160">
      <c r="A6160" s="3"/>
      <c r="B6160" s="3"/>
      <c r="C6160" s="3"/>
      <c r="D6160" s="3"/>
      <c r="E6160" s="3"/>
      <c r="F6160" s="3"/>
      <c r="G6160" s="3"/>
      <c r="H6160" s="3"/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  <c r="T6160" s="3"/>
      <c r="U6160" s="3"/>
      <c r="V6160" s="3"/>
      <c r="W6160" s="3"/>
      <c r="X6160" s="3"/>
      <c r="Y6160" s="3"/>
    </row>
    <row r="6161">
      <c r="A6161" s="3"/>
      <c r="B6161" s="3"/>
      <c r="C6161" s="3"/>
      <c r="D6161" s="3"/>
      <c r="E6161" s="3"/>
      <c r="F6161" s="3"/>
      <c r="G6161" s="3"/>
      <c r="H6161" s="3"/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  <c r="T6161" s="3"/>
      <c r="U6161" s="3"/>
      <c r="V6161" s="3"/>
      <c r="W6161" s="3"/>
      <c r="X6161" s="3"/>
      <c r="Y6161" s="3"/>
    </row>
    <row r="6162">
      <c r="A6162" s="3"/>
      <c r="B6162" s="3"/>
      <c r="C6162" s="3"/>
      <c r="D6162" s="3"/>
      <c r="E6162" s="3"/>
      <c r="F6162" s="3"/>
      <c r="G6162" s="3"/>
      <c r="H6162" s="3"/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  <c r="T6162" s="3"/>
      <c r="U6162" s="3"/>
      <c r="V6162" s="3"/>
      <c r="W6162" s="3"/>
      <c r="X6162" s="3"/>
      <c r="Y6162" s="3"/>
    </row>
    <row r="6163">
      <c r="A6163" s="3"/>
      <c r="B6163" s="3"/>
      <c r="C6163" s="3"/>
      <c r="D6163" s="3"/>
      <c r="E6163" s="3"/>
      <c r="F6163" s="3"/>
      <c r="G6163" s="3"/>
      <c r="H6163" s="3"/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  <c r="T6163" s="3"/>
      <c r="U6163" s="3"/>
      <c r="V6163" s="3"/>
      <c r="W6163" s="3"/>
      <c r="X6163" s="3"/>
      <c r="Y6163" s="3"/>
    </row>
    <row r="6164">
      <c r="A6164" s="3"/>
      <c r="B6164" s="3"/>
      <c r="C6164" s="3"/>
      <c r="D6164" s="3"/>
      <c r="E6164" s="3"/>
      <c r="F6164" s="3"/>
      <c r="G6164" s="3"/>
      <c r="H6164" s="3"/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  <c r="T6164" s="3"/>
      <c r="U6164" s="3"/>
      <c r="V6164" s="3"/>
      <c r="W6164" s="3"/>
      <c r="X6164" s="3"/>
      <c r="Y6164" s="3"/>
    </row>
    <row r="6165">
      <c r="A6165" s="3"/>
      <c r="B6165" s="3"/>
      <c r="C6165" s="3"/>
      <c r="D6165" s="3"/>
      <c r="E6165" s="3"/>
      <c r="F6165" s="3"/>
      <c r="G6165" s="3"/>
      <c r="H6165" s="3"/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  <c r="T6165" s="3"/>
      <c r="U6165" s="3"/>
      <c r="V6165" s="3"/>
      <c r="W6165" s="3"/>
      <c r="X6165" s="3"/>
      <c r="Y6165" s="3"/>
    </row>
    <row r="6166">
      <c r="A6166" s="3"/>
      <c r="B6166" s="3"/>
      <c r="C6166" s="3"/>
      <c r="D6166" s="3"/>
      <c r="E6166" s="3"/>
      <c r="F6166" s="3"/>
      <c r="G6166" s="3"/>
      <c r="H6166" s="3"/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  <c r="T6166" s="3"/>
      <c r="U6166" s="3"/>
      <c r="V6166" s="3"/>
      <c r="W6166" s="3"/>
      <c r="X6166" s="3"/>
      <c r="Y6166" s="3"/>
    </row>
    <row r="6167">
      <c r="A6167" s="3"/>
      <c r="B6167" s="3"/>
      <c r="C6167" s="3"/>
      <c r="D6167" s="3"/>
      <c r="E6167" s="3"/>
      <c r="F6167" s="3"/>
      <c r="G6167" s="3"/>
      <c r="H6167" s="3"/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  <c r="T6167" s="3"/>
      <c r="U6167" s="3"/>
      <c r="V6167" s="3"/>
      <c r="W6167" s="3"/>
      <c r="X6167" s="3"/>
      <c r="Y6167" s="3"/>
    </row>
    <row r="6168">
      <c r="A6168" s="3"/>
      <c r="B6168" s="3"/>
      <c r="C6168" s="3"/>
      <c r="D6168" s="3"/>
      <c r="E6168" s="3"/>
      <c r="F6168" s="3"/>
      <c r="G6168" s="3"/>
      <c r="H6168" s="3"/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  <c r="T6168" s="3"/>
      <c r="U6168" s="3"/>
      <c r="V6168" s="3"/>
      <c r="W6168" s="3"/>
      <c r="X6168" s="3"/>
      <c r="Y6168" s="3"/>
    </row>
    <row r="6169">
      <c r="A6169" s="3"/>
      <c r="B6169" s="3"/>
      <c r="C6169" s="3"/>
      <c r="D6169" s="3"/>
      <c r="E6169" s="3"/>
      <c r="F6169" s="3"/>
      <c r="G6169" s="3"/>
      <c r="H6169" s="3"/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  <c r="T6169" s="3"/>
      <c r="U6169" s="3"/>
      <c r="V6169" s="3"/>
      <c r="W6169" s="3"/>
      <c r="X6169" s="3"/>
      <c r="Y6169" s="3"/>
    </row>
    <row r="6170">
      <c r="A6170" s="3"/>
      <c r="B6170" s="3"/>
      <c r="C6170" s="3"/>
      <c r="D6170" s="3"/>
      <c r="E6170" s="3"/>
      <c r="F6170" s="3"/>
      <c r="G6170" s="3"/>
      <c r="H6170" s="3"/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  <c r="T6170" s="3"/>
      <c r="U6170" s="3"/>
      <c r="V6170" s="3"/>
      <c r="W6170" s="3"/>
      <c r="X6170" s="3"/>
      <c r="Y6170" s="3"/>
    </row>
    <row r="6171">
      <c r="A6171" s="3"/>
      <c r="B6171" s="3"/>
      <c r="C6171" s="3"/>
      <c r="D6171" s="3"/>
      <c r="E6171" s="3"/>
      <c r="F6171" s="3"/>
      <c r="G6171" s="3"/>
      <c r="H6171" s="3"/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  <c r="T6171" s="3"/>
      <c r="U6171" s="3"/>
      <c r="V6171" s="3"/>
      <c r="W6171" s="3"/>
      <c r="X6171" s="3"/>
      <c r="Y6171" s="3"/>
    </row>
    <row r="6172">
      <c r="A6172" s="3"/>
      <c r="B6172" s="3"/>
      <c r="C6172" s="3"/>
      <c r="D6172" s="3"/>
      <c r="E6172" s="3"/>
      <c r="F6172" s="3"/>
      <c r="G6172" s="3"/>
      <c r="H6172" s="3"/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  <c r="T6172" s="3"/>
      <c r="U6172" s="3"/>
      <c r="V6172" s="3"/>
      <c r="W6172" s="3"/>
      <c r="X6172" s="3"/>
      <c r="Y6172" s="3"/>
    </row>
    <row r="6173">
      <c r="A6173" s="3"/>
      <c r="B6173" s="3"/>
      <c r="C6173" s="3"/>
      <c r="D6173" s="3"/>
      <c r="E6173" s="3"/>
      <c r="F6173" s="3"/>
      <c r="G6173" s="3"/>
      <c r="H6173" s="3"/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  <c r="T6173" s="3"/>
      <c r="U6173" s="3"/>
      <c r="V6173" s="3"/>
      <c r="W6173" s="3"/>
      <c r="X6173" s="3"/>
      <c r="Y6173" s="3"/>
    </row>
    <row r="6174">
      <c r="A6174" s="3"/>
      <c r="B6174" s="3"/>
      <c r="C6174" s="3"/>
      <c r="D6174" s="3"/>
      <c r="E6174" s="3"/>
      <c r="F6174" s="3"/>
      <c r="G6174" s="3"/>
      <c r="H6174" s="3"/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  <c r="T6174" s="3"/>
      <c r="U6174" s="3"/>
      <c r="V6174" s="3"/>
      <c r="W6174" s="3"/>
      <c r="X6174" s="3"/>
      <c r="Y6174" s="3"/>
    </row>
    <row r="6175">
      <c r="A6175" s="3"/>
      <c r="B6175" s="3"/>
      <c r="C6175" s="3"/>
      <c r="D6175" s="3"/>
      <c r="E6175" s="3"/>
      <c r="F6175" s="3"/>
      <c r="G6175" s="3"/>
      <c r="H6175" s="3"/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  <c r="T6175" s="3"/>
      <c r="U6175" s="3"/>
      <c r="V6175" s="3"/>
      <c r="W6175" s="3"/>
      <c r="X6175" s="3"/>
      <c r="Y6175" s="3"/>
    </row>
    <row r="6176">
      <c r="A6176" s="3"/>
      <c r="B6176" s="3"/>
      <c r="C6176" s="3"/>
      <c r="D6176" s="3"/>
      <c r="E6176" s="3"/>
      <c r="F6176" s="3"/>
      <c r="G6176" s="3"/>
      <c r="H6176" s="3"/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  <c r="T6176" s="3"/>
      <c r="U6176" s="3"/>
      <c r="V6176" s="3"/>
      <c r="W6176" s="3"/>
      <c r="X6176" s="3"/>
      <c r="Y6176" s="3"/>
    </row>
    <row r="6177">
      <c r="A6177" s="3"/>
      <c r="B6177" s="3"/>
      <c r="C6177" s="3"/>
      <c r="D6177" s="3"/>
      <c r="E6177" s="3"/>
      <c r="F6177" s="3"/>
      <c r="G6177" s="3"/>
      <c r="H6177" s="3"/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  <c r="T6177" s="3"/>
      <c r="U6177" s="3"/>
      <c r="V6177" s="3"/>
      <c r="W6177" s="3"/>
      <c r="X6177" s="3"/>
      <c r="Y6177" s="3"/>
    </row>
    <row r="6178">
      <c r="A6178" s="3"/>
      <c r="B6178" s="3"/>
      <c r="C6178" s="3"/>
      <c r="D6178" s="3"/>
      <c r="E6178" s="3"/>
      <c r="F6178" s="3"/>
      <c r="G6178" s="3"/>
      <c r="H6178" s="3"/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  <c r="T6178" s="3"/>
      <c r="U6178" s="3"/>
      <c r="V6178" s="3"/>
      <c r="W6178" s="3"/>
      <c r="X6178" s="3"/>
      <c r="Y6178" s="3"/>
    </row>
    <row r="6179">
      <c r="A6179" s="3"/>
      <c r="B6179" s="3"/>
      <c r="C6179" s="3"/>
      <c r="D6179" s="3"/>
      <c r="E6179" s="3"/>
      <c r="F6179" s="3"/>
      <c r="G6179" s="3"/>
      <c r="H6179" s="3"/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  <c r="T6179" s="3"/>
      <c r="U6179" s="3"/>
      <c r="V6179" s="3"/>
      <c r="W6179" s="3"/>
      <c r="X6179" s="3"/>
      <c r="Y6179" s="3"/>
    </row>
    <row r="6180">
      <c r="A6180" s="3"/>
      <c r="B6180" s="3"/>
      <c r="C6180" s="3"/>
      <c r="D6180" s="3"/>
      <c r="E6180" s="3"/>
      <c r="F6180" s="3"/>
      <c r="G6180" s="3"/>
      <c r="H6180" s="3"/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  <c r="T6180" s="3"/>
      <c r="U6180" s="3"/>
      <c r="V6180" s="3"/>
      <c r="W6180" s="3"/>
      <c r="X6180" s="3"/>
      <c r="Y6180" s="3"/>
    </row>
    <row r="6181">
      <c r="A6181" s="3"/>
      <c r="B6181" s="3"/>
      <c r="C6181" s="3"/>
      <c r="D6181" s="3"/>
      <c r="E6181" s="3"/>
      <c r="F6181" s="3"/>
      <c r="G6181" s="3"/>
      <c r="H6181" s="3"/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  <c r="T6181" s="3"/>
      <c r="U6181" s="3"/>
      <c r="V6181" s="3"/>
      <c r="W6181" s="3"/>
      <c r="X6181" s="3"/>
      <c r="Y6181" s="3"/>
    </row>
    <row r="6182">
      <c r="A6182" s="3"/>
      <c r="B6182" s="3"/>
      <c r="C6182" s="3"/>
      <c r="D6182" s="3"/>
      <c r="E6182" s="3"/>
      <c r="F6182" s="3"/>
      <c r="G6182" s="3"/>
      <c r="H6182" s="3"/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  <c r="T6182" s="3"/>
      <c r="U6182" s="3"/>
      <c r="V6182" s="3"/>
      <c r="W6182" s="3"/>
      <c r="X6182" s="3"/>
      <c r="Y6182" s="3"/>
    </row>
    <row r="6183">
      <c r="A6183" s="3"/>
      <c r="B6183" s="3"/>
      <c r="C6183" s="3"/>
      <c r="D6183" s="3"/>
      <c r="E6183" s="3"/>
      <c r="F6183" s="3"/>
      <c r="G6183" s="3"/>
      <c r="H6183" s="3"/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  <c r="T6183" s="3"/>
      <c r="U6183" s="3"/>
      <c r="V6183" s="3"/>
      <c r="W6183" s="3"/>
      <c r="X6183" s="3"/>
      <c r="Y6183" s="3"/>
    </row>
    <row r="6184">
      <c r="A6184" s="3"/>
      <c r="B6184" s="3"/>
      <c r="C6184" s="3"/>
      <c r="D6184" s="3"/>
      <c r="E6184" s="3"/>
      <c r="F6184" s="3"/>
      <c r="G6184" s="3"/>
      <c r="H6184" s="3"/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  <c r="T6184" s="3"/>
      <c r="U6184" s="3"/>
      <c r="V6184" s="3"/>
      <c r="W6184" s="3"/>
      <c r="X6184" s="3"/>
      <c r="Y6184" s="3"/>
    </row>
    <row r="6185">
      <c r="A6185" s="3"/>
      <c r="B6185" s="3"/>
      <c r="C6185" s="3"/>
      <c r="D6185" s="3"/>
      <c r="E6185" s="3"/>
      <c r="F6185" s="3"/>
      <c r="G6185" s="3"/>
      <c r="H6185" s="3"/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  <c r="T6185" s="3"/>
      <c r="U6185" s="3"/>
      <c r="V6185" s="3"/>
      <c r="W6185" s="3"/>
      <c r="X6185" s="3"/>
      <c r="Y6185" s="3"/>
    </row>
    <row r="6186">
      <c r="A6186" s="3"/>
      <c r="B6186" s="3"/>
      <c r="C6186" s="3"/>
      <c r="D6186" s="3"/>
      <c r="E6186" s="3"/>
      <c r="F6186" s="3"/>
      <c r="G6186" s="3"/>
      <c r="H6186" s="3"/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  <c r="T6186" s="3"/>
      <c r="U6186" s="3"/>
      <c r="V6186" s="3"/>
      <c r="W6186" s="3"/>
      <c r="X6186" s="3"/>
      <c r="Y6186" s="3"/>
    </row>
    <row r="6187">
      <c r="A6187" s="3"/>
      <c r="B6187" s="3"/>
      <c r="C6187" s="3"/>
      <c r="D6187" s="3"/>
      <c r="E6187" s="3"/>
      <c r="F6187" s="3"/>
      <c r="G6187" s="3"/>
      <c r="H6187" s="3"/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  <c r="T6187" s="3"/>
      <c r="U6187" s="3"/>
      <c r="V6187" s="3"/>
      <c r="W6187" s="3"/>
      <c r="X6187" s="3"/>
      <c r="Y6187" s="3"/>
    </row>
    <row r="6188">
      <c r="A6188" s="3"/>
      <c r="B6188" s="3"/>
      <c r="C6188" s="3"/>
      <c r="D6188" s="3"/>
      <c r="E6188" s="3"/>
      <c r="F6188" s="3"/>
      <c r="G6188" s="3"/>
      <c r="H6188" s="3"/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  <c r="T6188" s="3"/>
      <c r="U6188" s="3"/>
      <c r="V6188" s="3"/>
      <c r="W6188" s="3"/>
      <c r="X6188" s="3"/>
      <c r="Y6188" s="3"/>
    </row>
    <row r="6189">
      <c r="A6189" s="3"/>
      <c r="B6189" s="3"/>
      <c r="C6189" s="3"/>
      <c r="D6189" s="3"/>
      <c r="E6189" s="3"/>
      <c r="F6189" s="3"/>
      <c r="G6189" s="3"/>
      <c r="H6189" s="3"/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  <c r="T6189" s="3"/>
      <c r="U6189" s="3"/>
      <c r="V6189" s="3"/>
      <c r="W6189" s="3"/>
      <c r="X6189" s="3"/>
      <c r="Y6189" s="3"/>
    </row>
    <row r="6190">
      <c r="A6190" s="3"/>
      <c r="B6190" s="3"/>
      <c r="C6190" s="3"/>
      <c r="D6190" s="3"/>
      <c r="E6190" s="3"/>
      <c r="F6190" s="3"/>
      <c r="G6190" s="3"/>
      <c r="H6190" s="3"/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  <c r="T6190" s="3"/>
      <c r="U6190" s="3"/>
      <c r="V6190" s="3"/>
      <c r="W6190" s="3"/>
      <c r="X6190" s="3"/>
      <c r="Y6190" s="3"/>
    </row>
    <row r="6191">
      <c r="A6191" s="3"/>
      <c r="B6191" s="3"/>
      <c r="C6191" s="3"/>
      <c r="D6191" s="3"/>
      <c r="E6191" s="3"/>
      <c r="F6191" s="3"/>
      <c r="G6191" s="3"/>
      <c r="H6191" s="3"/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  <c r="T6191" s="3"/>
      <c r="U6191" s="3"/>
      <c r="V6191" s="3"/>
      <c r="W6191" s="3"/>
      <c r="X6191" s="3"/>
      <c r="Y6191" s="3"/>
    </row>
    <row r="6192">
      <c r="A6192" s="3"/>
      <c r="B6192" s="3"/>
      <c r="C6192" s="3"/>
      <c r="D6192" s="3"/>
      <c r="E6192" s="3"/>
      <c r="F6192" s="3"/>
      <c r="G6192" s="3"/>
      <c r="H6192" s="3"/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  <c r="T6192" s="3"/>
      <c r="U6192" s="3"/>
      <c r="V6192" s="3"/>
      <c r="W6192" s="3"/>
      <c r="X6192" s="3"/>
      <c r="Y6192" s="3"/>
    </row>
    <row r="6193">
      <c r="A6193" s="3"/>
      <c r="B6193" s="3"/>
      <c r="C6193" s="3"/>
      <c r="D6193" s="3"/>
      <c r="E6193" s="3"/>
      <c r="F6193" s="3"/>
      <c r="G6193" s="3"/>
      <c r="H6193" s="3"/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  <c r="T6193" s="3"/>
      <c r="U6193" s="3"/>
      <c r="V6193" s="3"/>
      <c r="W6193" s="3"/>
      <c r="X6193" s="3"/>
      <c r="Y6193" s="3"/>
    </row>
    <row r="6194">
      <c r="A6194" s="3"/>
      <c r="B6194" s="3"/>
      <c r="C6194" s="3"/>
      <c r="D6194" s="3"/>
      <c r="E6194" s="3"/>
      <c r="F6194" s="3"/>
      <c r="G6194" s="3"/>
      <c r="H6194" s="3"/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  <c r="T6194" s="3"/>
      <c r="U6194" s="3"/>
      <c r="V6194" s="3"/>
      <c r="W6194" s="3"/>
      <c r="X6194" s="3"/>
      <c r="Y6194" s="3"/>
    </row>
    <row r="6195">
      <c r="A6195" s="3"/>
      <c r="B6195" s="3"/>
      <c r="C6195" s="3"/>
      <c r="D6195" s="3"/>
      <c r="E6195" s="3"/>
      <c r="F6195" s="3"/>
      <c r="G6195" s="3"/>
      <c r="H6195" s="3"/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  <c r="T6195" s="3"/>
      <c r="U6195" s="3"/>
      <c r="V6195" s="3"/>
      <c r="W6195" s="3"/>
      <c r="X6195" s="3"/>
      <c r="Y6195" s="3"/>
    </row>
    <row r="6196">
      <c r="A6196" s="3"/>
      <c r="B6196" s="3"/>
      <c r="C6196" s="3"/>
      <c r="D6196" s="3"/>
      <c r="E6196" s="3"/>
      <c r="F6196" s="3"/>
      <c r="G6196" s="3"/>
      <c r="H6196" s="3"/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  <c r="T6196" s="3"/>
      <c r="U6196" s="3"/>
      <c r="V6196" s="3"/>
      <c r="W6196" s="3"/>
      <c r="X6196" s="3"/>
      <c r="Y6196" s="3"/>
    </row>
    <row r="6197">
      <c r="A6197" s="3"/>
      <c r="B6197" s="3"/>
      <c r="C6197" s="3"/>
      <c r="D6197" s="3"/>
      <c r="E6197" s="3"/>
      <c r="F6197" s="3"/>
      <c r="G6197" s="3"/>
      <c r="H6197" s="3"/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  <c r="T6197" s="3"/>
      <c r="U6197" s="3"/>
      <c r="V6197" s="3"/>
      <c r="W6197" s="3"/>
      <c r="X6197" s="3"/>
      <c r="Y6197" s="3"/>
    </row>
    <row r="6198">
      <c r="A6198" s="3"/>
      <c r="B6198" s="3"/>
      <c r="C6198" s="3"/>
      <c r="D6198" s="3"/>
      <c r="E6198" s="3"/>
      <c r="F6198" s="3"/>
      <c r="G6198" s="3"/>
      <c r="H6198" s="3"/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  <c r="T6198" s="3"/>
      <c r="U6198" s="3"/>
      <c r="V6198" s="3"/>
      <c r="W6198" s="3"/>
      <c r="X6198" s="3"/>
      <c r="Y6198" s="3"/>
    </row>
    <row r="6199">
      <c r="A6199" s="3"/>
      <c r="B6199" s="3"/>
      <c r="C6199" s="3"/>
      <c r="D6199" s="3"/>
      <c r="E6199" s="3"/>
      <c r="F6199" s="3"/>
      <c r="G6199" s="3"/>
      <c r="H6199" s="3"/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  <c r="T6199" s="3"/>
      <c r="U6199" s="3"/>
      <c r="V6199" s="3"/>
      <c r="W6199" s="3"/>
      <c r="X6199" s="3"/>
      <c r="Y6199" s="3"/>
    </row>
    <row r="6200">
      <c r="A6200" s="3"/>
      <c r="B6200" s="3"/>
      <c r="C6200" s="3"/>
      <c r="D6200" s="3"/>
      <c r="E6200" s="3"/>
      <c r="F6200" s="3"/>
      <c r="G6200" s="3"/>
      <c r="H6200" s="3"/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  <c r="T6200" s="3"/>
      <c r="U6200" s="3"/>
      <c r="V6200" s="3"/>
      <c r="W6200" s="3"/>
      <c r="X6200" s="3"/>
      <c r="Y6200" s="3"/>
    </row>
    <row r="6201">
      <c r="A6201" s="3"/>
      <c r="B6201" s="3"/>
      <c r="C6201" s="3"/>
      <c r="D6201" s="3"/>
      <c r="E6201" s="3"/>
      <c r="F6201" s="3"/>
      <c r="G6201" s="3"/>
      <c r="H6201" s="3"/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  <c r="T6201" s="3"/>
      <c r="U6201" s="3"/>
      <c r="V6201" s="3"/>
      <c r="W6201" s="3"/>
      <c r="X6201" s="3"/>
      <c r="Y6201" s="3"/>
    </row>
    <row r="6202">
      <c r="A6202" s="3"/>
      <c r="B6202" s="3"/>
      <c r="C6202" s="3"/>
      <c r="D6202" s="3"/>
      <c r="E6202" s="3"/>
      <c r="F6202" s="3"/>
      <c r="G6202" s="3"/>
      <c r="H6202" s="3"/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  <c r="T6202" s="3"/>
      <c r="U6202" s="3"/>
      <c r="V6202" s="3"/>
      <c r="W6202" s="3"/>
      <c r="X6202" s="3"/>
      <c r="Y6202" s="3"/>
    </row>
    <row r="6203">
      <c r="A6203" s="3"/>
      <c r="B6203" s="3"/>
      <c r="C6203" s="3"/>
      <c r="D6203" s="3"/>
      <c r="E6203" s="3"/>
      <c r="F6203" s="3"/>
      <c r="G6203" s="3"/>
      <c r="H6203" s="3"/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  <c r="T6203" s="3"/>
      <c r="U6203" s="3"/>
      <c r="V6203" s="3"/>
      <c r="W6203" s="3"/>
      <c r="X6203" s="3"/>
      <c r="Y6203" s="3"/>
    </row>
    <row r="6204">
      <c r="A6204" s="3"/>
      <c r="B6204" s="3"/>
      <c r="C6204" s="3"/>
      <c r="D6204" s="3"/>
      <c r="E6204" s="3"/>
      <c r="F6204" s="3"/>
      <c r="G6204" s="3"/>
      <c r="H6204" s="3"/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  <c r="T6204" s="3"/>
      <c r="U6204" s="3"/>
      <c r="V6204" s="3"/>
      <c r="W6204" s="3"/>
      <c r="X6204" s="3"/>
      <c r="Y6204" s="3"/>
    </row>
    <row r="6205">
      <c r="A6205" s="3"/>
      <c r="B6205" s="3"/>
      <c r="C6205" s="3"/>
      <c r="D6205" s="3"/>
      <c r="E6205" s="3"/>
      <c r="F6205" s="3"/>
      <c r="G6205" s="3"/>
      <c r="H6205" s="3"/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  <c r="T6205" s="3"/>
      <c r="U6205" s="3"/>
      <c r="V6205" s="3"/>
      <c r="W6205" s="3"/>
      <c r="X6205" s="3"/>
      <c r="Y6205" s="3"/>
    </row>
    <row r="6206">
      <c r="A6206" s="3"/>
      <c r="B6206" s="3"/>
      <c r="C6206" s="3"/>
      <c r="D6206" s="3"/>
      <c r="E6206" s="3"/>
      <c r="F6206" s="3"/>
      <c r="G6206" s="3"/>
      <c r="H6206" s="3"/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  <c r="T6206" s="3"/>
      <c r="U6206" s="3"/>
      <c r="V6206" s="3"/>
      <c r="W6206" s="3"/>
      <c r="X6206" s="3"/>
      <c r="Y6206" s="3"/>
    </row>
    <row r="6207">
      <c r="A6207" s="3"/>
      <c r="B6207" s="3"/>
      <c r="C6207" s="3"/>
      <c r="D6207" s="3"/>
      <c r="E6207" s="3"/>
      <c r="F6207" s="3"/>
      <c r="G6207" s="3"/>
      <c r="H6207" s="3"/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  <c r="T6207" s="3"/>
      <c r="U6207" s="3"/>
      <c r="V6207" s="3"/>
      <c r="W6207" s="3"/>
      <c r="X6207" s="3"/>
      <c r="Y6207" s="3"/>
    </row>
    <row r="6208">
      <c r="A6208" s="3"/>
      <c r="B6208" s="3"/>
      <c r="C6208" s="3"/>
      <c r="D6208" s="3"/>
      <c r="E6208" s="3"/>
      <c r="F6208" s="3"/>
      <c r="G6208" s="3"/>
      <c r="H6208" s="3"/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  <c r="T6208" s="3"/>
      <c r="U6208" s="3"/>
      <c r="V6208" s="3"/>
      <c r="W6208" s="3"/>
      <c r="X6208" s="3"/>
      <c r="Y6208" s="3"/>
    </row>
    <row r="6209">
      <c r="A6209" s="3"/>
      <c r="B6209" s="3"/>
      <c r="C6209" s="3"/>
      <c r="D6209" s="3"/>
      <c r="E6209" s="3"/>
      <c r="F6209" s="3"/>
      <c r="G6209" s="3"/>
      <c r="H6209" s="3"/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  <c r="T6209" s="3"/>
      <c r="U6209" s="3"/>
      <c r="V6209" s="3"/>
      <c r="W6209" s="3"/>
      <c r="X6209" s="3"/>
      <c r="Y6209" s="3"/>
    </row>
    <row r="6210">
      <c r="A6210" s="3"/>
      <c r="B6210" s="3"/>
      <c r="C6210" s="3"/>
      <c r="D6210" s="3"/>
      <c r="E6210" s="3"/>
      <c r="F6210" s="3"/>
      <c r="G6210" s="3"/>
      <c r="H6210" s="3"/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  <c r="T6210" s="3"/>
      <c r="U6210" s="3"/>
      <c r="V6210" s="3"/>
      <c r="W6210" s="3"/>
      <c r="X6210" s="3"/>
      <c r="Y6210" s="3"/>
    </row>
    <row r="6211">
      <c r="A6211" s="3"/>
      <c r="B6211" s="3"/>
      <c r="C6211" s="3"/>
      <c r="D6211" s="3"/>
      <c r="E6211" s="3"/>
      <c r="F6211" s="3"/>
      <c r="G6211" s="3"/>
      <c r="H6211" s="3"/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  <c r="T6211" s="3"/>
      <c r="U6211" s="3"/>
      <c r="V6211" s="3"/>
      <c r="W6211" s="3"/>
      <c r="X6211" s="3"/>
      <c r="Y6211" s="3"/>
    </row>
    <row r="6212">
      <c r="A6212" s="3"/>
      <c r="B6212" s="3"/>
      <c r="C6212" s="3"/>
      <c r="D6212" s="3"/>
      <c r="E6212" s="3"/>
      <c r="F6212" s="3"/>
      <c r="G6212" s="3"/>
      <c r="H6212" s="3"/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  <c r="T6212" s="3"/>
      <c r="U6212" s="3"/>
      <c r="V6212" s="3"/>
      <c r="W6212" s="3"/>
      <c r="X6212" s="3"/>
      <c r="Y6212" s="3"/>
    </row>
    <row r="6213">
      <c r="A6213" s="3"/>
      <c r="B6213" s="3"/>
      <c r="C6213" s="3"/>
      <c r="D6213" s="3"/>
      <c r="E6213" s="3"/>
      <c r="F6213" s="3"/>
      <c r="G6213" s="3"/>
      <c r="H6213" s="3"/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  <c r="T6213" s="3"/>
      <c r="U6213" s="3"/>
      <c r="V6213" s="3"/>
      <c r="W6213" s="3"/>
      <c r="X6213" s="3"/>
      <c r="Y6213" s="3"/>
    </row>
    <row r="6214">
      <c r="A6214" s="3"/>
      <c r="B6214" s="3"/>
      <c r="C6214" s="3"/>
      <c r="D6214" s="3"/>
      <c r="E6214" s="3"/>
      <c r="F6214" s="3"/>
      <c r="G6214" s="3"/>
      <c r="H6214" s="3"/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  <c r="T6214" s="3"/>
      <c r="U6214" s="3"/>
      <c r="V6214" s="3"/>
      <c r="W6214" s="3"/>
      <c r="X6214" s="3"/>
      <c r="Y6214" s="3"/>
    </row>
    <row r="6215">
      <c r="A6215" s="3"/>
      <c r="B6215" s="3"/>
      <c r="C6215" s="3"/>
      <c r="D6215" s="3"/>
      <c r="E6215" s="3"/>
      <c r="F6215" s="3"/>
      <c r="G6215" s="3"/>
      <c r="H6215" s="3"/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  <c r="T6215" s="3"/>
      <c r="U6215" s="3"/>
      <c r="V6215" s="3"/>
      <c r="W6215" s="3"/>
      <c r="X6215" s="3"/>
      <c r="Y6215" s="3"/>
    </row>
    <row r="6216">
      <c r="A6216" s="3"/>
      <c r="B6216" s="3"/>
      <c r="C6216" s="3"/>
      <c r="D6216" s="3"/>
      <c r="E6216" s="3"/>
      <c r="F6216" s="3"/>
      <c r="G6216" s="3"/>
      <c r="H6216" s="3"/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  <c r="T6216" s="3"/>
      <c r="U6216" s="3"/>
      <c r="V6216" s="3"/>
      <c r="W6216" s="3"/>
      <c r="X6216" s="3"/>
      <c r="Y6216" s="3"/>
    </row>
    <row r="6217">
      <c r="A6217" s="3"/>
      <c r="B6217" s="3"/>
      <c r="C6217" s="3"/>
      <c r="D6217" s="3"/>
      <c r="E6217" s="3"/>
      <c r="F6217" s="3"/>
      <c r="G6217" s="3"/>
      <c r="H6217" s="3"/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  <c r="T6217" s="3"/>
      <c r="U6217" s="3"/>
      <c r="V6217" s="3"/>
      <c r="W6217" s="3"/>
      <c r="X6217" s="3"/>
      <c r="Y6217" s="3"/>
    </row>
    <row r="6218">
      <c r="A6218" s="3"/>
      <c r="B6218" s="3"/>
      <c r="C6218" s="3"/>
      <c r="D6218" s="3"/>
      <c r="E6218" s="3"/>
      <c r="F6218" s="3"/>
      <c r="G6218" s="3"/>
      <c r="H6218" s="3"/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  <c r="T6218" s="3"/>
      <c r="U6218" s="3"/>
      <c r="V6218" s="3"/>
      <c r="W6218" s="3"/>
      <c r="X6218" s="3"/>
      <c r="Y6218" s="3"/>
    </row>
    <row r="6219">
      <c r="A6219" s="3"/>
      <c r="B6219" s="3"/>
      <c r="C6219" s="3"/>
      <c r="D6219" s="3"/>
      <c r="E6219" s="3"/>
      <c r="F6219" s="3"/>
      <c r="G6219" s="3"/>
      <c r="H6219" s="3"/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  <c r="T6219" s="3"/>
      <c r="U6219" s="3"/>
      <c r="V6219" s="3"/>
      <c r="W6219" s="3"/>
      <c r="X6219" s="3"/>
      <c r="Y6219" s="3"/>
    </row>
    <row r="6220">
      <c r="A6220" s="3"/>
      <c r="B6220" s="3"/>
      <c r="C6220" s="3"/>
      <c r="D6220" s="3"/>
      <c r="E6220" s="3"/>
      <c r="F6220" s="3"/>
      <c r="G6220" s="3"/>
      <c r="H6220" s="3"/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  <c r="T6220" s="3"/>
      <c r="U6220" s="3"/>
      <c r="V6220" s="3"/>
      <c r="W6220" s="3"/>
      <c r="X6220" s="3"/>
      <c r="Y6220" s="3"/>
    </row>
    <row r="6221">
      <c r="A6221" s="3"/>
      <c r="B6221" s="3"/>
      <c r="C6221" s="3"/>
      <c r="D6221" s="3"/>
      <c r="E6221" s="3"/>
      <c r="F6221" s="3"/>
      <c r="G6221" s="3"/>
      <c r="H6221" s="3"/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  <c r="T6221" s="3"/>
      <c r="U6221" s="3"/>
      <c r="V6221" s="3"/>
      <c r="W6221" s="3"/>
      <c r="X6221" s="3"/>
      <c r="Y6221" s="3"/>
    </row>
    <row r="6222">
      <c r="A6222" s="3"/>
      <c r="B6222" s="3"/>
      <c r="C6222" s="3"/>
      <c r="D6222" s="3"/>
      <c r="E6222" s="3"/>
      <c r="F6222" s="3"/>
      <c r="G6222" s="3"/>
      <c r="H6222" s="3"/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  <c r="T6222" s="3"/>
      <c r="U6222" s="3"/>
      <c r="V6222" s="3"/>
      <c r="W6222" s="3"/>
      <c r="X6222" s="3"/>
      <c r="Y6222" s="3"/>
    </row>
    <row r="6223">
      <c r="A6223" s="3"/>
      <c r="B6223" s="3"/>
      <c r="C6223" s="3"/>
      <c r="D6223" s="3"/>
      <c r="E6223" s="3"/>
      <c r="F6223" s="3"/>
      <c r="G6223" s="3"/>
      <c r="H6223" s="3"/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  <c r="T6223" s="3"/>
      <c r="U6223" s="3"/>
      <c r="V6223" s="3"/>
      <c r="W6223" s="3"/>
      <c r="X6223" s="3"/>
      <c r="Y6223" s="3"/>
    </row>
    <row r="6224">
      <c r="A6224" s="3"/>
      <c r="B6224" s="3"/>
      <c r="C6224" s="3"/>
      <c r="D6224" s="3"/>
      <c r="E6224" s="3"/>
      <c r="F6224" s="3"/>
      <c r="G6224" s="3"/>
      <c r="H6224" s="3"/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  <c r="T6224" s="3"/>
      <c r="U6224" s="3"/>
      <c r="V6224" s="3"/>
      <c r="W6224" s="3"/>
      <c r="X6224" s="3"/>
      <c r="Y6224" s="3"/>
    </row>
    <row r="6225">
      <c r="A6225" s="3"/>
      <c r="B6225" s="3"/>
      <c r="C6225" s="3"/>
      <c r="D6225" s="3"/>
      <c r="E6225" s="3"/>
      <c r="F6225" s="3"/>
      <c r="G6225" s="3"/>
      <c r="H6225" s="3"/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  <c r="T6225" s="3"/>
      <c r="U6225" s="3"/>
      <c r="V6225" s="3"/>
      <c r="W6225" s="3"/>
      <c r="X6225" s="3"/>
      <c r="Y6225" s="3"/>
    </row>
    <row r="6226">
      <c r="A6226" s="3"/>
      <c r="B6226" s="3"/>
      <c r="C6226" s="3"/>
      <c r="D6226" s="3"/>
      <c r="E6226" s="3"/>
      <c r="F6226" s="3"/>
      <c r="G6226" s="3"/>
      <c r="H6226" s="3"/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  <c r="T6226" s="3"/>
      <c r="U6226" s="3"/>
      <c r="V6226" s="3"/>
      <c r="W6226" s="3"/>
      <c r="X6226" s="3"/>
      <c r="Y6226" s="3"/>
    </row>
    <row r="6227">
      <c r="A6227" s="3"/>
      <c r="B6227" s="3"/>
      <c r="C6227" s="3"/>
      <c r="D6227" s="3"/>
      <c r="E6227" s="3"/>
      <c r="F6227" s="3"/>
      <c r="G6227" s="3"/>
      <c r="H6227" s="3"/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  <c r="T6227" s="3"/>
      <c r="U6227" s="3"/>
      <c r="V6227" s="3"/>
      <c r="W6227" s="3"/>
      <c r="X6227" s="3"/>
      <c r="Y6227" s="3"/>
    </row>
    <row r="6228">
      <c r="A6228" s="3"/>
      <c r="B6228" s="3"/>
      <c r="C6228" s="3"/>
      <c r="D6228" s="3"/>
      <c r="E6228" s="3"/>
      <c r="F6228" s="3"/>
      <c r="G6228" s="3"/>
      <c r="H6228" s="3"/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  <c r="T6228" s="3"/>
      <c r="U6228" s="3"/>
      <c r="V6228" s="3"/>
      <c r="W6228" s="3"/>
      <c r="X6228" s="3"/>
      <c r="Y6228" s="3"/>
    </row>
    <row r="6229">
      <c r="A6229" s="3"/>
      <c r="B6229" s="3"/>
      <c r="C6229" s="3"/>
      <c r="D6229" s="3"/>
      <c r="E6229" s="3"/>
      <c r="F6229" s="3"/>
      <c r="G6229" s="3"/>
      <c r="H6229" s="3"/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  <c r="T6229" s="3"/>
      <c r="U6229" s="3"/>
      <c r="V6229" s="3"/>
      <c r="W6229" s="3"/>
      <c r="X6229" s="3"/>
      <c r="Y6229" s="3"/>
    </row>
    <row r="6230">
      <c r="A6230" s="3"/>
      <c r="B6230" s="3"/>
      <c r="C6230" s="3"/>
      <c r="D6230" s="3"/>
      <c r="E6230" s="3"/>
      <c r="F6230" s="3"/>
      <c r="G6230" s="3"/>
      <c r="H6230" s="3"/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  <c r="T6230" s="3"/>
      <c r="U6230" s="3"/>
      <c r="V6230" s="3"/>
      <c r="W6230" s="3"/>
      <c r="X6230" s="3"/>
      <c r="Y6230" s="3"/>
    </row>
    <row r="6231">
      <c r="A6231" s="3"/>
      <c r="B6231" s="3"/>
      <c r="C6231" s="3"/>
      <c r="D6231" s="3"/>
      <c r="E6231" s="3"/>
      <c r="F6231" s="3"/>
      <c r="G6231" s="3"/>
      <c r="H6231" s="3"/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  <c r="T6231" s="3"/>
      <c r="U6231" s="3"/>
      <c r="V6231" s="3"/>
      <c r="W6231" s="3"/>
      <c r="X6231" s="3"/>
      <c r="Y6231" s="3"/>
    </row>
    <row r="6232">
      <c r="A6232" s="3"/>
      <c r="B6232" s="3"/>
      <c r="C6232" s="3"/>
      <c r="D6232" s="3"/>
      <c r="E6232" s="3"/>
      <c r="F6232" s="3"/>
      <c r="G6232" s="3"/>
      <c r="H6232" s="3"/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  <c r="T6232" s="3"/>
      <c r="U6232" s="3"/>
      <c r="V6232" s="3"/>
      <c r="W6232" s="3"/>
      <c r="X6232" s="3"/>
      <c r="Y6232" s="3"/>
    </row>
    <row r="6233">
      <c r="A6233" s="3"/>
      <c r="B6233" s="3"/>
      <c r="C6233" s="3"/>
      <c r="D6233" s="3"/>
      <c r="E6233" s="3"/>
      <c r="F6233" s="3"/>
      <c r="G6233" s="3"/>
      <c r="H6233" s="3"/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  <c r="T6233" s="3"/>
      <c r="U6233" s="3"/>
      <c r="V6233" s="3"/>
      <c r="W6233" s="3"/>
      <c r="X6233" s="3"/>
      <c r="Y6233" s="3"/>
    </row>
    <row r="6234">
      <c r="A6234" s="3"/>
      <c r="B6234" s="3"/>
      <c r="C6234" s="3"/>
      <c r="D6234" s="3"/>
      <c r="E6234" s="3"/>
      <c r="F6234" s="3"/>
      <c r="G6234" s="3"/>
      <c r="H6234" s="3"/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  <c r="T6234" s="3"/>
      <c r="U6234" s="3"/>
      <c r="V6234" s="3"/>
      <c r="W6234" s="3"/>
      <c r="X6234" s="3"/>
      <c r="Y6234" s="3"/>
    </row>
    <row r="6235">
      <c r="A6235" s="3"/>
      <c r="B6235" s="3"/>
      <c r="C6235" s="3"/>
      <c r="D6235" s="3"/>
      <c r="E6235" s="3"/>
      <c r="F6235" s="3"/>
      <c r="G6235" s="3"/>
      <c r="H6235" s="3"/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  <c r="T6235" s="3"/>
      <c r="U6235" s="3"/>
      <c r="V6235" s="3"/>
      <c r="W6235" s="3"/>
      <c r="X6235" s="3"/>
      <c r="Y6235" s="3"/>
    </row>
    <row r="6236">
      <c r="A6236" s="3"/>
      <c r="B6236" s="3"/>
      <c r="C6236" s="3"/>
      <c r="D6236" s="3"/>
      <c r="E6236" s="3"/>
      <c r="F6236" s="3"/>
      <c r="G6236" s="3"/>
      <c r="H6236" s="3"/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  <c r="T6236" s="3"/>
      <c r="U6236" s="3"/>
      <c r="V6236" s="3"/>
      <c r="W6236" s="3"/>
      <c r="X6236" s="3"/>
      <c r="Y6236" s="3"/>
    </row>
    <row r="6237">
      <c r="A6237" s="3"/>
      <c r="B6237" s="3"/>
      <c r="C6237" s="3"/>
      <c r="D6237" s="3"/>
      <c r="E6237" s="3"/>
      <c r="F6237" s="3"/>
      <c r="G6237" s="3"/>
      <c r="H6237" s="3"/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  <c r="T6237" s="3"/>
      <c r="U6237" s="3"/>
      <c r="V6237" s="3"/>
      <c r="W6237" s="3"/>
      <c r="X6237" s="3"/>
      <c r="Y6237" s="3"/>
    </row>
    <row r="6238">
      <c r="A6238" s="3"/>
      <c r="B6238" s="3"/>
      <c r="C6238" s="3"/>
      <c r="D6238" s="3"/>
      <c r="E6238" s="3"/>
      <c r="F6238" s="3"/>
      <c r="G6238" s="3"/>
      <c r="H6238" s="3"/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  <c r="T6238" s="3"/>
      <c r="U6238" s="3"/>
      <c r="V6238" s="3"/>
      <c r="W6238" s="3"/>
      <c r="X6238" s="3"/>
      <c r="Y6238" s="3"/>
    </row>
    <row r="6239">
      <c r="A6239" s="3"/>
      <c r="B6239" s="3"/>
      <c r="C6239" s="3"/>
      <c r="D6239" s="3"/>
      <c r="E6239" s="3"/>
      <c r="F6239" s="3"/>
      <c r="G6239" s="3"/>
      <c r="H6239" s="3"/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  <c r="T6239" s="3"/>
      <c r="U6239" s="3"/>
      <c r="V6239" s="3"/>
      <c r="W6239" s="3"/>
      <c r="X6239" s="3"/>
      <c r="Y6239" s="3"/>
    </row>
    <row r="6240">
      <c r="A6240" s="3"/>
      <c r="B6240" s="3"/>
      <c r="C6240" s="3"/>
      <c r="D6240" s="3"/>
      <c r="E6240" s="3"/>
      <c r="F6240" s="3"/>
      <c r="G6240" s="3"/>
      <c r="H6240" s="3"/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  <c r="T6240" s="3"/>
      <c r="U6240" s="3"/>
      <c r="V6240" s="3"/>
      <c r="W6240" s="3"/>
      <c r="X6240" s="3"/>
      <c r="Y6240" s="3"/>
    </row>
    <row r="6241">
      <c r="A6241" s="3"/>
      <c r="B6241" s="3"/>
      <c r="C6241" s="3"/>
      <c r="D6241" s="3"/>
      <c r="E6241" s="3"/>
      <c r="F6241" s="3"/>
      <c r="G6241" s="3"/>
      <c r="H6241" s="3"/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  <c r="T6241" s="3"/>
      <c r="U6241" s="3"/>
      <c r="V6241" s="3"/>
      <c r="W6241" s="3"/>
      <c r="X6241" s="3"/>
      <c r="Y6241" s="3"/>
    </row>
    <row r="6242">
      <c r="A6242" s="3"/>
      <c r="B6242" s="3"/>
      <c r="C6242" s="3"/>
      <c r="D6242" s="3"/>
      <c r="E6242" s="3"/>
      <c r="F6242" s="3"/>
      <c r="G6242" s="3"/>
      <c r="H6242" s="3"/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  <c r="T6242" s="3"/>
      <c r="U6242" s="3"/>
      <c r="V6242" s="3"/>
      <c r="W6242" s="3"/>
      <c r="X6242" s="3"/>
      <c r="Y6242" s="3"/>
    </row>
    <row r="6243">
      <c r="A6243" s="3"/>
      <c r="B6243" s="3"/>
      <c r="C6243" s="3"/>
      <c r="D6243" s="3"/>
      <c r="E6243" s="3"/>
      <c r="F6243" s="3"/>
      <c r="G6243" s="3"/>
      <c r="H6243" s="3"/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  <c r="T6243" s="3"/>
      <c r="U6243" s="3"/>
      <c r="V6243" s="3"/>
      <c r="W6243" s="3"/>
      <c r="X6243" s="3"/>
      <c r="Y6243" s="3"/>
    </row>
    <row r="6244">
      <c r="A6244" s="3"/>
      <c r="B6244" s="3"/>
      <c r="C6244" s="3"/>
      <c r="D6244" s="3"/>
      <c r="E6244" s="3"/>
      <c r="F6244" s="3"/>
      <c r="G6244" s="3"/>
      <c r="H6244" s="3"/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  <c r="T6244" s="3"/>
      <c r="U6244" s="3"/>
      <c r="V6244" s="3"/>
      <c r="W6244" s="3"/>
      <c r="X6244" s="3"/>
      <c r="Y6244" s="3"/>
    </row>
    <row r="6245">
      <c r="A6245" s="3"/>
      <c r="B6245" s="3"/>
      <c r="C6245" s="3"/>
      <c r="D6245" s="3"/>
      <c r="E6245" s="3"/>
      <c r="F6245" s="3"/>
      <c r="G6245" s="3"/>
      <c r="H6245" s="3"/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  <c r="T6245" s="3"/>
      <c r="U6245" s="3"/>
      <c r="V6245" s="3"/>
      <c r="W6245" s="3"/>
      <c r="X6245" s="3"/>
      <c r="Y6245" s="3"/>
    </row>
    <row r="6246">
      <c r="A6246" s="3"/>
      <c r="B6246" s="3"/>
      <c r="C6246" s="3"/>
      <c r="D6246" s="3"/>
      <c r="E6246" s="3"/>
      <c r="F6246" s="3"/>
      <c r="G6246" s="3"/>
      <c r="H6246" s="3"/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  <c r="T6246" s="3"/>
      <c r="U6246" s="3"/>
      <c r="V6246" s="3"/>
      <c r="W6246" s="3"/>
      <c r="X6246" s="3"/>
      <c r="Y6246" s="3"/>
    </row>
    <row r="6247">
      <c r="A6247" s="3"/>
      <c r="B6247" s="3"/>
      <c r="C6247" s="3"/>
      <c r="D6247" s="3"/>
      <c r="E6247" s="3"/>
      <c r="F6247" s="3"/>
      <c r="G6247" s="3"/>
      <c r="H6247" s="3"/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  <c r="T6247" s="3"/>
      <c r="U6247" s="3"/>
      <c r="V6247" s="3"/>
      <c r="W6247" s="3"/>
      <c r="X6247" s="3"/>
      <c r="Y6247" s="3"/>
    </row>
    <row r="6248">
      <c r="A6248" s="3"/>
      <c r="B6248" s="3"/>
      <c r="C6248" s="3"/>
      <c r="D6248" s="3"/>
      <c r="E6248" s="3"/>
      <c r="F6248" s="3"/>
      <c r="G6248" s="3"/>
      <c r="H6248" s="3"/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  <c r="T6248" s="3"/>
      <c r="U6248" s="3"/>
      <c r="V6248" s="3"/>
      <c r="W6248" s="3"/>
      <c r="X6248" s="3"/>
      <c r="Y6248" s="3"/>
    </row>
    <row r="6249">
      <c r="A6249" s="3"/>
      <c r="B6249" s="3"/>
      <c r="C6249" s="3"/>
      <c r="D6249" s="3"/>
      <c r="E6249" s="3"/>
      <c r="F6249" s="3"/>
      <c r="G6249" s="3"/>
      <c r="H6249" s="3"/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  <c r="T6249" s="3"/>
      <c r="U6249" s="3"/>
      <c r="V6249" s="3"/>
      <c r="W6249" s="3"/>
      <c r="X6249" s="3"/>
      <c r="Y6249" s="3"/>
    </row>
    <row r="6250">
      <c r="A6250" s="3"/>
      <c r="B6250" s="3"/>
      <c r="C6250" s="3"/>
      <c r="D6250" s="3"/>
      <c r="E6250" s="3"/>
      <c r="F6250" s="3"/>
      <c r="G6250" s="3"/>
      <c r="H6250" s="3"/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  <c r="T6250" s="3"/>
      <c r="U6250" s="3"/>
      <c r="V6250" s="3"/>
      <c r="W6250" s="3"/>
      <c r="X6250" s="3"/>
      <c r="Y6250" s="3"/>
    </row>
    <row r="6251">
      <c r="A6251" s="3"/>
      <c r="B6251" s="3"/>
      <c r="C6251" s="3"/>
      <c r="D6251" s="3"/>
      <c r="E6251" s="3"/>
      <c r="F6251" s="3"/>
      <c r="G6251" s="3"/>
      <c r="H6251" s="3"/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  <c r="T6251" s="3"/>
      <c r="U6251" s="3"/>
      <c r="V6251" s="3"/>
      <c r="W6251" s="3"/>
      <c r="X6251" s="3"/>
      <c r="Y6251" s="3"/>
    </row>
    <row r="6252">
      <c r="A6252" s="3"/>
      <c r="B6252" s="3"/>
      <c r="C6252" s="3"/>
      <c r="D6252" s="3"/>
      <c r="E6252" s="3"/>
      <c r="F6252" s="3"/>
      <c r="G6252" s="3"/>
      <c r="H6252" s="3"/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  <c r="T6252" s="3"/>
      <c r="U6252" s="3"/>
      <c r="V6252" s="3"/>
      <c r="W6252" s="3"/>
      <c r="X6252" s="3"/>
      <c r="Y6252" s="3"/>
    </row>
    <row r="6253">
      <c r="A6253" s="3"/>
      <c r="B6253" s="3"/>
      <c r="C6253" s="3"/>
      <c r="D6253" s="3"/>
      <c r="E6253" s="3"/>
      <c r="F6253" s="3"/>
      <c r="G6253" s="3"/>
      <c r="H6253" s="3"/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  <c r="T6253" s="3"/>
      <c r="U6253" s="3"/>
      <c r="V6253" s="3"/>
      <c r="W6253" s="3"/>
      <c r="X6253" s="3"/>
      <c r="Y6253" s="3"/>
    </row>
    <row r="6254">
      <c r="A6254" s="3"/>
      <c r="B6254" s="3"/>
      <c r="C6254" s="3"/>
      <c r="D6254" s="3"/>
      <c r="E6254" s="3"/>
      <c r="F6254" s="3"/>
      <c r="G6254" s="3"/>
      <c r="H6254" s="3"/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  <c r="T6254" s="3"/>
      <c r="U6254" s="3"/>
      <c r="V6254" s="3"/>
      <c r="W6254" s="3"/>
      <c r="X6254" s="3"/>
      <c r="Y6254" s="3"/>
    </row>
    <row r="6255">
      <c r="A6255" s="3"/>
      <c r="B6255" s="3"/>
      <c r="C6255" s="3"/>
      <c r="D6255" s="3"/>
      <c r="E6255" s="3"/>
      <c r="F6255" s="3"/>
      <c r="G6255" s="3"/>
      <c r="H6255" s="3"/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  <c r="T6255" s="3"/>
      <c r="U6255" s="3"/>
      <c r="V6255" s="3"/>
      <c r="W6255" s="3"/>
      <c r="X6255" s="3"/>
      <c r="Y6255" s="3"/>
    </row>
    <row r="6256">
      <c r="A6256" s="3"/>
      <c r="B6256" s="3"/>
      <c r="C6256" s="3"/>
      <c r="D6256" s="3"/>
      <c r="E6256" s="3"/>
      <c r="F6256" s="3"/>
      <c r="G6256" s="3"/>
      <c r="H6256" s="3"/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  <c r="T6256" s="3"/>
      <c r="U6256" s="3"/>
      <c r="V6256" s="3"/>
      <c r="W6256" s="3"/>
      <c r="X6256" s="3"/>
      <c r="Y6256" s="3"/>
    </row>
    <row r="6257">
      <c r="A6257" s="3"/>
      <c r="B6257" s="3"/>
      <c r="C6257" s="3"/>
      <c r="D6257" s="3"/>
      <c r="E6257" s="3"/>
      <c r="F6257" s="3"/>
      <c r="G6257" s="3"/>
      <c r="H6257" s="3"/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  <c r="T6257" s="3"/>
      <c r="U6257" s="3"/>
      <c r="V6257" s="3"/>
      <c r="W6257" s="3"/>
      <c r="X6257" s="3"/>
      <c r="Y6257" s="3"/>
    </row>
    <row r="6258">
      <c r="A6258" s="3"/>
      <c r="B6258" s="3"/>
      <c r="C6258" s="3"/>
      <c r="D6258" s="3"/>
      <c r="E6258" s="3"/>
      <c r="F6258" s="3"/>
      <c r="G6258" s="3"/>
      <c r="H6258" s="3"/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  <c r="T6258" s="3"/>
      <c r="U6258" s="3"/>
      <c r="V6258" s="3"/>
      <c r="W6258" s="3"/>
      <c r="X6258" s="3"/>
      <c r="Y6258" s="3"/>
    </row>
    <row r="6259">
      <c r="A6259" s="3"/>
      <c r="B6259" s="3"/>
      <c r="C6259" s="3"/>
      <c r="D6259" s="3"/>
      <c r="E6259" s="3"/>
      <c r="F6259" s="3"/>
      <c r="G6259" s="3"/>
      <c r="H6259" s="3"/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  <c r="T6259" s="3"/>
      <c r="U6259" s="3"/>
      <c r="V6259" s="3"/>
      <c r="W6259" s="3"/>
      <c r="X6259" s="3"/>
      <c r="Y6259" s="3"/>
    </row>
    <row r="6260">
      <c r="A6260" s="3"/>
      <c r="B6260" s="3"/>
      <c r="C6260" s="3"/>
      <c r="D6260" s="3"/>
      <c r="E6260" s="3"/>
      <c r="F6260" s="3"/>
      <c r="G6260" s="3"/>
      <c r="H6260" s="3"/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  <c r="T6260" s="3"/>
      <c r="U6260" s="3"/>
      <c r="V6260" s="3"/>
      <c r="W6260" s="3"/>
      <c r="X6260" s="3"/>
      <c r="Y6260" s="3"/>
    </row>
    <row r="6261">
      <c r="A6261" s="3"/>
      <c r="B6261" s="3"/>
      <c r="C6261" s="3"/>
      <c r="D6261" s="3"/>
      <c r="E6261" s="3"/>
      <c r="F6261" s="3"/>
      <c r="G6261" s="3"/>
      <c r="H6261" s="3"/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  <c r="T6261" s="3"/>
      <c r="U6261" s="3"/>
      <c r="V6261" s="3"/>
      <c r="W6261" s="3"/>
      <c r="X6261" s="3"/>
      <c r="Y6261" s="3"/>
    </row>
    <row r="6262">
      <c r="A6262" s="3"/>
      <c r="B6262" s="3"/>
      <c r="C6262" s="3"/>
      <c r="D6262" s="3"/>
      <c r="E6262" s="3"/>
      <c r="F6262" s="3"/>
      <c r="G6262" s="3"/>
      <c r="H6262" s="3"/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  <c r="T6262" s="3"/>
      <c r="U6262" s="3"/>
      <c r="V6262" s="3"/>
      <c r="W6262" s="3"/>
      <c r="X6262" s="3"/>
      <c r="Y6262" s="3"/>
    </row>
    <row r="6263">
      <c r="A6263" s="3"/>
      <c r="B6263" s="3"/>
      <c r="C6263" s="3"/>
      <c r="D6263" s="3"/>
      <c r="E6263" s="3"/>
      <c r="F6263" s="3"/>
      <c r="G6263" s="3"/>
      <c r="H6263" s="3"/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  <c r="T6263" s="3"/>
      <c r="U6263" s="3"/>
      <c r="V6263" s="3"/>
      <c r="W6263" s="3"/>
      <c r="X6263" s="3"/>
      <c r="Y6263" s="3"/>
    </row>
    <row r="6264">
      <c r="A6264" s="3"/>
      <c r="B6264" s="3"/>
      <c r="C6264" s="3"/>
      <c r="D6264" s="3"/>
      <c r="E6264" s="3"/>
      <c r="F6264" s="3"/>
      <c r="G6264" s="3"/>
      <c r="H6264" s="3"/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  <c r="T6264" s="3"/>
      <c r="U6264" s="3"/>
      <c r="V6264" s="3"/>
      <c r="W6264" s="3"/>
      <c r="X6264" s="3"/>
      <c r="Y6264" s="3"/>
    </row>
    <row r="6265">
      <c r="A6265" s="3"/>
      <c r="B6265" s="3"/>
      <c r="C6265" s="3"/>
      <c r="D6265" s="3"/>
      <c r="E6265" s="3"/>
      <c r="F6265" s="3"/>
      <c r="G6265" s="3"/>
      <c r="H6265" s="3"/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  <c r="T6265" s="3"/>
      <c r="U6265" s="3"/>
      <c r="V6265" s="3"/>
      <c r="W6265" s="3"/>
      <c r="X6265" s="3"/>
      <c r="Y6265" s="3"/>
    </row>
    <row r="6266">
      <c r="A6266" s="3"/>
      <c r="B6266" s="3"/>
      <c r="C6266" s="3"/>
      <c r="D6266" s="3"/>
      <c r="E6266" s="3"/>
      <c r="F6266" s="3"/>
      <c r="G6266" s="3"/>
      <c r="H6266" s="3"/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  <c r="T6266" s="3"/>
      <c r="U6266" s="3"/>
      <c r="V6266" s="3"/>
      <c r="W6266" s="3"/>
      <c r="X6266" s="3"/>
      <c r="Y6266" s="3"/>
    </row>
    <row r="6267">
      <c r="A6267" s="3"/>
      <c r="B6267" s="3"/>
      <c r="C6267" s="3"/>
      <c r="D6267" s="3"/>
      <c r="E6267" s="3"/>
      <c r="F6267" s="3"/>
      <c r="G6267" s="3"/>
      <c r="H6267" s="3"/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  <c r="T6267" s="3"/>
      <c r="U6267" s="3"/>
      <c r="V6267" s="3"/>
      <c r="W6267" s="3"/>
      <c r="X6267" s="3"/>
      <c r="Y6267" s="3"/>
    </row>
    <row r="6268">
      <c r="A6268" s="3"/>
      <c r="B6268" s="3"/>
      <c r="C6268" s="3"/>
      <c r="D6268" s="3"/>
      <c r="E6268" s="3"/>
      <c r="F6268" s="3"/>
      <c r="G6268" s="3"/>
      <c r="H6268" s="3"/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  <c r="T6268" s="3"/>
      <c r="U6268" s="3"/>
      <c r="V6268" s="3"/>
      <c r="W6268" s="3"/>
      <c r="X6268" s="3"/>
      <c r="Y6268" s="3"/>
    </row>
    <row r="6269">
      <c r="A6269" s="3"/>
      <c r="B6269" s="3"/>
      <c r="C6269" s="3"/>
      <c r="D6269" s="3"/>
      <c r="E6269" s="3"/>
      <c r="F6269" s="3"/>
      <c r="G6269" s="3"/>
      <c r="H6269" s="3"/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  <c r="T6269" s="3"/>
      <c r="U6269" s="3"/>
      <c r="V6269" s="3"/>
      <c r="W6269" s="3"/>
      <c r="X6269" s="3"/>
      <c r="Y6269" s="3"/>
    </row>
    <row r="6270">
      <c r="A6270" s="3"/>
      <c r="B6270" s="3"/>
      <c r="C6270" s="3"/>
      <c r="D6270" s="3"/>
      <c r="E6270" s="3"/>
      <c r="F6270" s="3"/>
      <c r="G6270" s="3"/>
      <c r="H6270" s="3"/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  <c r="T6270" s="3"/>
      <c r="U6270" s="3"/>
      <c r="V6270" s="3"/>
      <c r="W6270" s="3"/>
      <c r="X6270" s="3"/>
      <c r="Y6270" s="3"/>
    </row>
    <row r="6271">
      <c r="A6271" s="3"/>
      <c r="B6271" s="3"/>
      <c r="C6271" s="3"/>
      <c r="D6271" s="3"/>
      <c r="E6271" s="3"/>
      <c r="F6271" s="3"/>
      <c r="G6271" s="3"/>
      <c r="H6271" s="3"/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  <c r="T6271" s="3"/>
      <c r="U6271" s="3"/>
      <c r="V6271" s="3"/>
      <c r="W6271" s="3"/>
      <c r="X6271" s="3"/>
      <c r="Y6271" s="3"/>
    </row>
    <row r="6272">
      <c r="A6272" s="3"/>
      <c r="B6272" s="3"/>
      <c r="C6272" s="3"/>
      <c r="D6272" s="3"/>
      <c r="E6272" s="3"/>
      <c r="F6272" s="3"/>
      <c r="G6272" s="3"/>
      <c r="H6272" s="3"/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  <c r="T6272" s="3"/>
      <c r="U6272" s="3"/>
      <c r="V6272" s="3"/>
      <c r="W6272" s="3"/>
      <c r="X6272" s="3"/>
      <c r="Y6272" s="3"/>
    </row>
    <row r="6273">
      <c r="A6273" s="3"/>
      <c r="B6273" s="3"/>
      <c r="C6273" s="3"/>
      <c r="D6273" s="3"/>
      <c r="E6273" s="3"/>
      <c r="F6273" s="3"/>
      <c r="G6273" s="3"/>
      <c r="H6273" s="3"/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  <c r="T6273" s="3"/>
      <c r="U6273" s="3"/>
      <c r="V6273" s="3"/>
      <c r="W6273" s="3"/>
      <c r="X6273" s="3"/>
      <c r="Y6273" s="3"/>
    </row>
    <row r="6274">
      <c r="A6274" s="3"/>
      <c r="B6274" s="3"/>
      <c r="C6274" s="3"/>
      <c r="D6274" s="3"/>
      <c r="E6274" s="3"/>
      <c r="F6274" s="3"/>
      <c r="G6274" s="3"/>
      <c r="H6274" s="3"/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  <c r="T6274" s="3"/>
      <c r="U6274" s="3"/>
      <c r="V6274" s="3"/>
      <c r="W6274" s="3"/>
      <c r="X6274" s="3"/>
      <c r="Y6274" s="3"/>
    </row>
    <row r="6275">
      <c r="A6275" s="3"/>
      <c r="B6275" s="3"/>
      <c r="C6275" s="3"/>
      <c r="D6275" s="3"/>
      <c r="E6275" s="3"/>
      <c r="F6275" s="3"/>
      <c r="G6275" s="3"/>
      <c r="H6275" s="3"/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  <c r="T6275" s="3"/>
      <c r="U6275" s="3"/>
      <c r="V6275" s="3"/>
      <c r="W6275" s="3"/>
      <c r="X6275" s="3"/>
      <c r="Y6275" s="3"/>
    </row>
    <row r="6276">
      <c r="A6276" s="3"/>
      <c r="B6276" s="3"/>
      <c r="C6276" s="3"/>
      <c r="D6276" s="3"/>
      <c r="E6276" s="3"/>
      <c r="F6276" s="3"/>
      <c r="G6276" s="3"/>
      <c r="H6276" s="3"/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  <c r="T6276" s="3"/>
      <c r="U6276" s="3"/>
      <c r="V6276" s="3"/>
      <c r="W6276" s="3"/>
      <c r="X6276" s="3"/>
      <c r="Y6276" s="3"/>
    </row>
    <row r="6277">
      <c r="A6277" s="3"/>
      <c r="B6277" s="3"/>
      <c r="C6277" s="3"/>
      <c r="D6277" s="3"/>
      <c r="E6277" s="3"/>
      <c r="F6277" s="3"/>
      <c r="G6277" s="3"/>
      <c r="H6277" s="3"/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  <c r="T6277" s="3"/>
      <c r="U6277" s="3"/>
      <c r="V6277" s="3"/>
      <c r="W6277" s="3"/>
      <c r="X6277" s="3"/>
      <c r="Y6277" s="3"/>
    </row>
    <row r="6278">
      <c r="A6278" s="3"/>
      <c r="B6278" s="3"/>
      <c r="C6278" s="3"/>
      <c r="D6278" s="3"/>
      <c r="E6278" s="3"/>
      <c r="F6278" s="3"/>
      <c r="G6278" s="3"/>
      <c r="H6278" s="3"/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  <c r="T6278" s="3"/>
      <c r="U6278" s="3"/>
      <c r="V6278" s="3"/>
      <c r="W6278" s="3"/>
      <c r="X6278" s="3"/>
      <c r="Y6278" s="3"/>
    </row>
    <row r="6279">
      <c r="A6279" s="3"/>
      <c r="B6279" s="3"/>
      <c r="C6279" s="3"/>
      <c r="D6279" s="3"/>
      <c r="E6279" s="3"/>
      <c r="F6279" s="3"/>
      <c r="G6279" s="3"/>
      <c r="H6279" s="3"/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  <c r="T6279" s="3"/>
      <c r="U6279" s="3"/>
      <c r="V6279" s="3"/>
      <c r="W6279" s="3"/>
      <c r="X6279" s="3"/>
      <c r="Y6279" s="3"/>
    </row>
    <row r="6280">
      <c r="A6280" s="3"/>
      <c r="B6280" s="3"/>
      <c r="C6280" s="3"/>
      <c r="D6280" s="3"/>
      <c r="E6280" s="3"/>
      <c r="F6280" s="3"/>
      <c r="G6280" s="3"/>
      <c r="H6280" s="3"/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  <c r="T6280" s="3"/>
      <c r="U6280" s="3"/>
      <c r="V6280" s="3"/>
      <c r="W6280" s="3"/>
      <c r="X6280" s="3"/>
      <c r="Y6280" s="3"/>
    </row>
    <row r="6281">
      <c r="A6281" s="3"/>
      <c r="B6281" s="3"/>
      <c r="C6281" s="3"/>
      <c r="D6281" s="3"/>
      <c r="E6281" s="3"/>
      <c r="F6281" s="3"/>
      <c r="G6281" s="3"/>
      <c r="H6281" s="3"/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  <c r="T6281" s="3"/>
      <c r="U6281" s="3"/>
      <c r="V6281" s="3"/>
      <c r="W6281" s="3"/>
      <c r="X6281" s="3"/>
      <c r="Y6281" s="3"/>
    </row>
    <row r="6282">
      <c r="A6282" s="3"/>
      <c r="B6282" s="3"/>
      <c r="C6282" s="3"/>
      <c r="D6282" s="3"/>
      <c r="E6282" s="3"/>
      <c r="F6282" s="3"/>
      <c r="G6282" s="3"/>
      <c r="H6282" s="3"/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  <c r="T6282" s="3"/>
      <c r="U6282" s="3"/>
      <c r="V6282" s="3"/>
      <c r="W6282" s="3"/>
      <c r="X6282" s="3"/>
      <c r="Y6282" s="3"/>
    </row>
    <row r="6283">
      <c r="A6283" s="3"/>
      <c r="B6283" s="3"/>
      <c r="C6283" s="3"/>
      <c r="D6283" s="3"/>
      <c r="E6283" s="3"/>
      <c r="F6283" s="3"/>
      <c r="G6283" s="3"/>
      <c r="H6283" s="3"/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  <c r="T6283" s="3"/>
      <c r="U6283" s="3"/>
      <c r="V6283" s="3"/>
      <c r="W6283" s="3"/>
      <c r="X6283" s="3"/>
      <c r="Y6283" s="3"/>
    </row>
    <row r="6284">
      <c r="A6284" s="3"/>
      <c r="B6284" s="3"/>
      <c r="C6284" s="3"/>
      <c r="D6284" s="3"/>
      <c r="E6284" s="3"/>
      <c r="F6284" s="3"/>
      <c r="G6284" s="3"/>
      <c r="H6284" s="3"/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  <c r="T6284" s="3"/>
      <c r="U6284" s="3"/>
      <c r="V6284" s="3"/>
      <c r="W6284" s="3"/>
      <c r="X6284" s="3"/>
      <c r="Y6284" s="3"/>
    </row>
    <row r="6285">
      <c r="A6285" s="3"/>
      <c r="B6285" s="3"/>
      <c r="C6285" s="3"/>
      <c r="D6285" s="3"/>
      <c r="E6285" s="3"/>
      <c r="F6285" s="3"/>
      <c r="G6285" s="3"/>
      <c r="H6285" s="3"/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  <c r="T6285" s="3"/>
      <c r="U6285" s="3"/>
      <c r="V6285" s="3"/>
      <c r="W6285" s="3"/>
      <c r="X6285" s="3"/>
      <c r="Y6285" s="3"/>
    </row>
    <row r="6286">
      <c r="A6286" s="3"/>
      <c r="B6286" s="3"/>
      <c r="C6286" s="3"/>
      <c r="D6286" s="3"/>
      <c r="E6286" s="3"/>
      <c r="F6286" s="3"/>
      <c r="G6286" s="3"/>
      <c r="H6286" s="3"/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  <c r="T6286" s="3"/>
      <c r="U6286" s="3"/>
      <c r="V6286" s="3"/>
      <c r="W6286" s="3"/>
      <c r="X6286" s="3"/>
      <c r="Y6286" s="3"/>
    </row>
    <row r="6287">
      <c r="A6287" s="3"/>
      <c r="B6287" s="3"/>
      <c r="C6287" s="3"/>
      <c r="D6287" s="3"/>
      <c r="E6287" s="3"/>
      <c r="F6287" s="3"/>
      <c r="G6287" s="3"/>
      <c r="H6287" s="3"/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  <c r="T6287" s="3"/>
      <c r="U6287" s="3"/>
      <c r="V6287" s="3"/>
      <c r="W6287" s="3"/>
      <c r="X6287" s="3"/>
      <c r="Y6287" s="3"/>
    </row>
    <row r="6288">
      <c r="A6288" s="3"/>
      <c r="B6288" s="3"/>
      <c r="C6288" s="3"/>
      <c r="D6288" s="3"/>
      <c r="E6288" s="3"/>
      <c r="F6288" s="3"/>
      <c r="G6288" s="3"/>
      <c r="H6288" s="3"/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  <c r="T6288" s="3"/>
      <c r="U6288" s="3"/>
      <c r="V6288" s="3"/>
      <c r="W6288" s="3"/>
      <c r="X6288" s="3"/>
      <c r="Y6288" s="3"/>
    </row>
    <row r="6289">
      <c r="A6289" s="3"/>
      <c r="B6289" s="3"/>
      <c r="C6289" s="3"/>
      <c r="D6289" s="3"/>
      <c r="E6289" s="3"/>
      <c r="F6289" s="3"/>
      <c r="G6289" s="3"/>
      <c r="H6289" s="3"/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  <c r="T6289" s="3"/>
      <c r="U6289" s="3"/>
      <c r="V6289" s="3"/>
      <c r="W6289" s="3"/>
      <c r="X6289" s="3"/>
      <c r="Y6289" s="3"/>
    </row>
    <row r="6290">
      <c r="A6290" s="3"/>
      <c r="B6290" s="3"/>
      <c r="C6290" s="3"/>
      <c r="D6290" s="3"/>
      <c r="E6290" s="3"/>
      <c r="F6290" s="3"/>
      <c r="G6290" s="3"/>
      <c r="H6290" s="3"/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  <c r="T6290" s="3"/>
      <c r="U6290" s="3"/>
      <c r="V6290" s="3"/>
      <c r="W6290" s="3"/>
      <c r="X6290" s="3"/>
      <c r="Y6290" s="3"/>
    </row>
    <row r="6291">
      <c r="A6291" s="3"/>
      <c r="B6291" s="3"/>
      <c r="C6291" s="3"/>
      <c r="D6291" s="3"/>
      <c r="E6291" s="3"/>
      <c r="F6291" s="3"/>
      <c r="G6291" s="3"/>
      <c r="H6291" s="3"/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  <c r="T6291" s="3"/>
      <c r="U6291" s="3"/>
      <c r="V6291" s="3"/>
      <c r="W6291" s="3"/>
      <c r="X6291" s="3"/>
      <c r="Y6291" s="3"/>
    </row>
    <row r="6292">
      <c r="A6292" s="3"/>
      <c r="B6292" s="3"/>
      <c r="C6292" s="3"/>
      <c r="D6292" s="3"/>
      <c r="E6292" s="3"/>
      <c r="F6292" s="3"/>
      <c r="G6292" s="3"/>
      <c r="H6292" s="3"/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  <c r="T6292" s="3"/>
      <c r="U6292" s="3"/>
      <c r="V6292" s="3"/>
      <c r="W6292" s="3"/>
      <c r="X6292" s="3"/>
      <c r="Y6292" s="3"/>
    </row>
    <row r="6293">
      <c r="A6293" s="3"/>
      <c r="B6293" s="3"/>
      <c r="C6293" s="3"/>
      <c r="D6293" s="3"/>
      <c r="E6293" s="3"/>
      <c r="F6293" s="3"/>
      <c r="G6293" s="3"/>
      <c r="H6293" s="3"/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  <c r="T6293" s="3"/>
      <c r="U6293" s="3"/>
      <c r="V6293" s="3"/>
      <c r="W6293" s="3"/>
      <c r="X6293" s="3"/>
      <c r="Y6293" s="3"/>
    </row>
    <row r="6294">
      <c r="A6294" s="3"/>
      <c r="B6294" s="3"/>
      <c r="C6294" s="3"/>
      <c r="D6294" s="3"/>
      <c r="E6294" s="3"/>
      <c r="F6294" s="3"/>
      <c r="G6294" s="3"/>
      <c r="H6294" s="3"/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  <c r="T6294" s="3"/>
      <c r="U6294" s="3"/>
      <c r="V6294" s="3"/>
      <c r="W6294" s="3"/>
      <c r="X6294" s="3"/>
      <c r="Y6294" s="3"/>
    </row>
    <row r="6295">
      <c r="A6295" s="3"/>
      <c r="B6295" s="3"/>
      <c r="C6295" s="3"/>
      <c r="D6295" s="3"/>
      <c r="E6295" s="3"/>
      <c r="F6295" s="3"/>
      <c r="G6295" s="3"/>
      <c r="H6295" s="3"/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  <c r="T6295" s="3"/>
      <c r="U6295" s="3"/>
      <c r="V6295" s="3"/>
      <c r="W6295" s="3"/>
      <c r="X6295" s="3"/>
      <c r="Y6295" s="3"/>
    </row>
    <row r="6296">
      <c r="A6296" s="3"/>
      <c r="B6296" s="3"/>
      <c r="C6296" s="3"/>
      <c r="D6296" s="3"/>
      <c r="E6296" s="3"/>
      <c r="F6296" s="3"/>
      <c r="G6296" s="3"/>
      <c r="H6296" s="3"/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  <c r="T6296" s="3"/>
      <c r="U6296" s="3"/>
      <c r="V6296" s="3"/>
      <c r="W6296" s="3"/>
      <c r="X6296" s="3"/>
      <c r="Y6296" s="3"/>
    </row>
    <row r="6297">
      <c r="A6297" s="3"/>
      <c r="B6297" s="3"/>
      <c r="C6297" s="3"/>
      <c r="D6297" s="3"/>
      <c r="E6297" s="3"/>
      <c r="F6297" s="3"/>
      <c r="G6297" s="3"/>
      <c r="H6297" s="3"/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  <c r="T6297" s="3"/>
      <c r="U6297" s="3"/>
      <c r="V6297" s="3"/>
      <c r="W6297" s="3"/>
      <c r="X6297" s="3"/>
      <c r="Y6297" s="3"/>
    </row>
    <row r="6298">
      <c r="A6298" s="3"/>
      <c r="B6298" s="3"/>
      <c r="C6298" s="3"/>
      <c r="D6298" s="3"/>
      <c r="E6298" s="3"/>
      <c r="F6298" s="3"/>
      <c r="G6298" s="3"/>
      <c r="H6298" s="3"/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  <c r="T6298" s="3"/>
      <c r="U6298" s="3"/>
      <c r="V6298" s="3"/>
      <c r="W6298" s="3"/>
      <c r="X6298" s="3"/>
      <c r="Y6298" s="3"/>
    </row>
    <row r="6299">
      <c r="A6299" s="3"/>
      <c r="B6299" s="3"/>
      <c r="C6299" s="3"/>
      <c r="D6299" s="3"/>
      <c r="E6299" s="3"/>
      <c r="F6299" s="3"/>
      <c r="G6299" s="3"/>
      <c r="H6299" s="3"/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  <c r="T6299" s="3"/>
      <c r="U6299" s="3"/>
      <c r="V6299" s="3"/>
      <c r="W6299" s="3"/>
      <c r="X6299" s="3"/>
      <c r="Y6299" s="3"/>
    </row>
    <row r="6300">
      <c r="A6300" s="3"/>
      <c r="B6300" s="3"/>
      <c r="C6300" s="3"/>
      <c r="D6300" s="3"/>
      <c r="E6300" s="3"/>
      <c r="F6300" s="3"/>
      <c r="G6300" s="3"/>
      <c r="H6300" s="3"/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  <c r="T6300" s="3"/>
      <c r="U6300" s="3"/>
      <c r="V6300" s="3"/>
      <c r="W6300" s="3"/>
      <c r="X6300" s="3"/>
      <c r="Y6300" s="3"/>
    </row>
    <row r="6301">
      <c r="A6301" s="3"/>
      <c r="B6301" s="3"/>
      <c r="C6301" s="3"/>
      <c r="D6301" s="3"/>
      <c r="E6301" s="3"/>
      <c r="F6301" s="3"/>
      <c r="G6301" s="3"/>
      <c r="H6301" s="3"/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  <c r="T6301" s="3"/>
      <c r="U6301" s="3"/>
      <c r="V6301" s="3"/>
      <c r="W6301" s="3"/>
      <c r="X6301" s="3"/>
      <c r="Y6301" s="3"/>
    </row>
    <row r="6302">
      <c r="A6302" s="3"/>
      <c r="B6302" s="3"/>
      <c r="C6302" s="3"/>
      <c r="D6302" s="3"/>
      <c r="E6302" s="3"/>
      <c r="F6302" s="3"/>
      <c r="G6302" s="3"/>
      <c r="H6302" s="3"/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  <c r="T6302" s="3"/>
      <c r="U6302" s="3"/>
      <c r="V6302" s="3"/>
      <c r="W6302" s="3"/>
      <c r="X6302" s="3"/>
      <c r="Y6302" s="3"/>
    </row>
    <row r="6303">
      <c r="A6303" s="3"/>
      <c r="B6303" s="3"/>
      <c r="C6303" s="3"/>
      <c r="D6303" s="3"/>
      <c r="E6303" s="3"/>
      <c r="F6303" s="3"/>
      <c r="G6303" s="3"/>
      <c r="H6303" s="3"/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  <c r="T6303" s="3"/>
      <c r="U6303" s="3"/>
      <c r="V6303" s="3"/>
      <c r="W6303" s="3"/>
      <c r="X6303" s="3"/>
      <c r="Y6303" s="3"/>
    </row>
    <row r="6304">
      <c r="A6304" s="3"/>
      <c r="B6304" s="3"/>
      <c r="C6304" s="3"/>
      <c r="D6304" s="3"/>
      <c r="E6304" s="3"/>
      <c r="F6304" s="3"/>
      <c r="G6304" s="3"/>
      <c r="H6304" s="3"/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  <c r="T6304" s="3"/>
      <c r="U6304" s="3"/>
      <c r="V6304" s="3"/>
      <c r="W6304" s="3"/>
      <c r="X6304" s="3"/>
      <c r="Y6304" s="3"/>
    </row>
    <row r="6305">
      <c r="A6305" s="3"/>
      <c r="B6305" s="3"/>
      <c r="C6305" s="3"/>
      <c r="D6305" s="3"/>
      <c r="E6305" s="3"/>
      <c r="F6305" s="3"/>
      <c r="G6305" s="3"/>
      <c r="H6305" s="3"/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  <c r="T6305" s="3"/>
      <c r="U6305" s="3"/>
      <c r="V6305" s="3"/>
      <c r="W6305" s="3"/>
      <c r="X6305" s="3"/>
      <c r="Y6305" s="3"/>
    </row>
    <row r="6306">
      <c r="A6306" s="3"/>
      <c r="B6306" s="3"/>
      <c r="C6306" s="3"/>
      <c r="D6306" s="3"/>
      <c r="E6306" s="3"/>
      <c r="F6306" s="3"/>
      <c r="G6306" s="3"/>
      <c r="H6306" s="3"/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  <c r="T6306" s="3"/>
      <c r="U6306" s="3"/>
      <c r="V6306" s="3"/>
      <c r="W6306" s="3"/>
      <c r="X6306" s="3"/>
      <c r="Y6306" s="3"/>
    </row>
    <row r="6307">
      <c r="A6307" s="3"/>
      <c r="B6307" s="3"/>
      <c r="C6307" s="3"/>
      <c r="D6307" s="3"/>
      <c r="E6307" s="3"/>
      <c r="F6307" s="3"/>
      <c r="G6307" s="3"/>
      <c r="H6307" s="3"/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  <c r="T6307" s="3"/>
      <c r="U6307" s="3"/>
      <c r="V6307" s="3"/>
      <c r="W6307" s="3"/>
      <c r="X6307" s="3"/>
      <c r="Y6307" s="3"/>
    </row>
    <row r="6308">
      <c r="A6308" s="3"/>
      <c r="B6308" s="3"/>
      <c r="C6308" s="3"/>
      <c r="D6308" s="3"/>
      <c r="E6308" s="3"/>
      <c r="F6308" s="3"/>
      <c r="G6308" s="3"/>
      <c r="H6308" s="3"/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  <c r="T6308" s="3"/>
      <c r="U6308" s="3"/>
      <c r="V6308" s="3"/>
      <c r="W6308" s="3"/>
      <c r="X6308" s="3"/>
      <c r="Y6308" s="3"/>
    </row>
    <row r="6309">
      <c r="A6309" s="3"/>
      <c r="B6309" s="3"/>
      <c r="C6309" s="3"/>
      <c r="D6309" s="3"/>
      <c r="E6309" s="3"/>
      <c r="F6309" s="3"/>
      <c r="G6309" s="3"/>
      <c r="H6309" s="3"/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  <c r="T6309" s="3"/>
      <c r="U6309" s="3"/>
      <c r="V6309" s="3"/>
      <c r="W6309" s="3"/>
      <c r="X6309" s="3"/>
      <c r="Y6309" s="3"/>
    </row>
    <row r="6310">
      <c r="A6310" s="3"/>
      <c r="B6310" s="3"/>
      <c r="C6310" s="3"/>
      <c r="D6310" s="3"/>
      <c r="E6310" s="3"/>
      <c r="F6310" s="3"/>
      <c r="G6310" s="3"/>
      <c r="H6310" s="3"/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  <c r="T6310" s="3"/>
      <c r="U6310" s="3"/>
      <c r="V6310" s="3"/>
      <c r="W6310" s="3"/>
      <c r="X6310" s="3"/>
      <c r="Y6310" s="3"/>
    </row>
    <row r="6311">
      <c r="A6311" s="3"/>
      <c r="B6311" s="3"/>
      <c r="C6311" s="3"/>
      <c r="D6311" s="3"/>
      <c r="E6311" s="3"/>
      <c r="F6311" s="3"/>
      <c r="G6311" s="3"/>
      <c r="H6311" s="3"/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  <c r="T6311" s="3"/>
      <c r="U6311" s="3"/>
      <c r="V6311" s="3"/>
      <c r="W6311" s="3"/>
      <c r="X6311" s="3"/>
      <c r="Y6311" s="3"/>
    </row>
    <row r="6312">
      <c r="A6312" s="3"/>
      <c r="B6312" s="3"/>
      <c r="C6312" s="3"/>
      <c r="D6312" s="3"/>
      <c r="E6312" s="3"/>
      <c r="F6312" s="3"/>
      <c r="G6312" s="3"/>
      <c r="H6312" s="3"/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  <c r="T6312" s="3"/>
      <c r="U6312" s="3"/>
      <c r="V6312" s="3"/>
      <c r="W6312" s="3"/>
      <c r="X6312" s="3"/>
      <c r="Y6312" s="3"/>
    </row>
    <row r="6313">
      <c r="A6313" s="3"/>
      <c r="B6313" s="3"/>
      <c r="C6313" s="3"/>
      <c r="D6313" s="3"/>
      <c r="E6313" s="3"/>
      <c r="F6313" s="3"/>
      <c r="G6313" s="3"/>
      <c r="H6313" s="3"/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  <c r="T6313" s="3"/>
      <c r="U6313" s="3"/>
      <c r="V6313" s="3"/>
      <c r="W6313" s="3"/>
      <c r="X6313" s="3"/>
      <c r="Y6313" s="3"/>
    </row>
    <row r="6314">
      <c r="A6314" s="3"/>
      <c r="B6314" s="3"/>
      <c r="C6314" s="3"/>
      <c r="D6314" s="3"/>
      <c r="E6314" s="3"/>
      <c r="F6314" s="3"/>
      <c r="G6314" s="3"/>
      <c r="H6314" s="3"/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  <c r="T6314" s="3"/>
      <c r="U6314" s="3"/>
      <c r="V6314" s="3"/>
      <c r="W6314" s="3"/>
      <c r="X6314" s="3"/>
      <c r="Y6314" s="3"/>
    </row>
    <row r="6315">
      <c r="A6315" s="3"/>
      <c r="B6315" s="3"/>
      <c r="C6315" s="3"/>
      <c r="D6315" s="3"/>
      <c r="E6315" s="3"/>
      <c r="F6315" s="3"/>
      <c r="G6315" s="3"/>
      <c r="H6315" s="3"/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  <c r="T6315" s="3"/>
      <c r="U6315" s="3"/>
      <c r="V6315" s="3"/>
      <c r="W6315" s="3"/>
      <c r="X6315" s="3"/>
      <c r="Y6315" s="3"/>
    </row>
    <row r="6316">
      <c r="A6316" s="3"/>
      <c r="B6316" s="3"/>
      <c r="C6316" s="3"/>
      <c r="D6316" s="3"/>
      <c r="E6316" s="3"/>
      <c r="F6316" s="3"/>
      <c r="G6316" s="3"/>
      <c r="H6316" s="3"/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  <c r="T6316" s="3"/>
      <c r="U6316" s="3"/>
      <c r="V6316" s="3"/>
      <c r="W6316" s="3"/>
      <c r="X6316" s="3"/>
      <c r="Y6316" s="3"/>
    </row>
    <row r="6317">
      <c r="A6317" s="3"/>
      <c r="B6317" s="3"/>
      <c r="C6317" s="3"/>
      <c r="D6317" s="3"/>
      <c r="E6317" s="3"/>
      <c r="F6317" s="3"/>
      <c r="G6317" s="3"/>
      <c r="H6317" s="3"/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  <c r="T6317" s="3"/>
      <c r="U6317" s="3"/>
      <c r="V6317" s="3"/>
      <c r="W6317" s="3"/>
      <c r="X6317" s="3"/>
      <c r="Y6317" s="3"/>
    </row>
    <row r="6318">
      <c r="A6318" s="3"/>
      <c r="B6318" s="3"/>
      <c r="C6318" s="3"/>
      <c r="D6318" s="3"/>
      <c r="E6318" s="3"/>
      <c r="F6318" s="3"/>
      <c r="G6318" s="3"/>
      <c r="H6318" s="3"/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  <c r="T6318" s="3"/>
      <c r="U6318" s="3"/>
      <c r="V6318" s="3"/>
      <c r="W6318" s="3"/>
      <c r="X6318" s="3"/>
      <c r="Y6318" s="3"/>
    </row>
    <row r="6319">
      <c r="A6319" s="3"/>
      <c r="B6319" s="3"/>
      <c r="C6319" s="3"/>
      <c r="D6319" s="3"/>
      <c r="E6319" s="3"/>
      <c r="F6319" s="3"/>
      <c r="G6319" s="3"/>
      <c r="H6319" s="3"/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  <c r="T6319" s="3"/>
      <c r="U6319" s="3"/>
      <c r="V6319" s="3"/>
      <c r="W6319" s="3"/>
      <c r="X6319" s="3"/>
      <c r="Y6319" s="3"/>
    </row>
    <row r="6320">
      <c r="A6320" s="3"/>
      <c r="B6320" s="3"/>
      <c r="C6320" s="3"/>
      <c r="D6320" s="3"/>
      <c r="E6320" s="3"/>
      <c r="F6320" s="3"/>
      <c r="G6320" s="3"/>
      <c r="H6320" s="3"/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  <c r="T6320" s="3"/>
      <c r="U6320" s="3"/>
      <c r="V6320" s="3"/>
      <c r="W6320" s="3"/>
      <c r="X6320" s="3"/>
      <c r="Y6320" s="3"/>
    </row>
    <row r="6321">
      <c r="A6321" s="3"/>
      <c r="B6321" s="3"/>
      <c r="C6321" s="3"/>
      <c r="D6321" s="3"/>
      <c r="E6321" s="3"/>
      <c r="F6321" s="3"/>
      <c r="G6321" s="3"/>
      <c r="H6321" s="3"/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  <c r="T6321" s="3"/>
      <c r="U6321" s="3"/>
      <c r="V6321" s="3"/>
      <c r="W6321" s="3"/>
      <c r="X6321" s="3"/>
      <c r="Y6321" s="3"/>
    </row>
    <row r="6322">
      <c r="A6322" s="3"/>
      <c r="B6322" s="3"/>
      <c r="C6322" s="3"/>
      <c r="D6322" s="3"/>
      <c r="E6322" s="3"/>
      <c r="F6322" s="3"/>
      <c r="G6322" s="3"/>
      <c r="H6322" s="3"/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  <c r="T6322" s="3"/>
      <c r="U6322" s="3"/>
      <c r="V6322" s="3"/>
      <c r="W6322" s="3"/>
      <c r="X6322" s="3"/>
      <c r="Y6322" s="3"/>
    </row>
    <row r="6323">
      <c r="A6323" s="3"/>
      <c r="B6323" s="3"/>
      <c r="C6323" s="3"/>
      <c r="D6323" s="3"/>
      <c r="E6323" s="3"/>
      <c r="F6323" s="3"/>
      <c r="G6323" s="3"/>
      <c r="H6323" s="3"/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  <c r="T6323" s="3"/>
      <c r="U6323" s="3"/>
      <c r="V6323" s="3"/>
      <c r="W6323" s="3"/>
      <c r="X6323" s="3"/>
      <c r="Y6323" s="3"/>
    </row>
    <row r="6324">
      <c r="A6324" s="3"/>
      <c r="B6324" s="3"/>
      <c r="C6324" s="3"/>
      <c r="D6324" s="3"/>
      <c r="E6324" s="3"/>
      <c r="F6324" s="3"/>
      <c r="G6324" s="3"/>
      <c r="H6324" s="3"/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  <c r="T6324" s="3"/>
      <c r="U6324" s="3"/>
      <c r="V6324" s="3"/>
      <c r="W6324" s="3"/>
      <c r="X6324" s="3"/>
      <c r="Y6324" s="3"/>
    </row>
    <row r="6325">
      <c r="A6325" s="3"/>
      <c r="B6325" s="3"/>
      <c r="C6325" s="3"/>
      <c r="D6325" s="3"/>
      <c r="E6325" s="3"/>
      <c r="F6325" s="3"/>
      <c r="G6325" s="3"/>
      <c r="H6325" s="3"/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  <c r="T6325" s="3"/>
      <c r="U6325" s="3"/>
      <c r="V6325" s="3"/>
      <c r="W6325" s="3"/>
      <c r="X6325" s="3"/>
      <c r="Y6325" s="3"/>
    </row>
    <row r="6326">
      <c r="A6326" s="3"/>
      <c r="B6326" s="3"/>
      <c r="C6326" s="3"/>
      <c r="D6326" s="3"/>
      <c r="E6326" s="3"/>
      <c r="F6326" s="3"/>
      <c r="G6326" s="3"/>
      <c r="H6326" s="3"/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  <c r="T6326" s="3"/>
      <c r="U6326" s="3"/>
      <c r="V6326" s="3"/>
      <c r="W6326" s="3"/>
      <c r="X6326" s="3"/>
      <c r="Y6326" s="3"/>
    </row>
    <row r="6327">
      <c r="A6327" s="3"/>
      <c r="B6327" s="3"/>
      <c r="C6327" s="3"/>
      <c r="D6327" s="3"/>
      <c r="E6327" s="3"/>
      <c r="F6327" s="3"/>
      <c r="G6327" s="3"/>
      <c r="H6327" s="3"/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  <c r="T6327" s="3"/>
      <c r="U6327" s="3"/>
      <c r="V6327" s="3"/>
      <c r="W6327" s="3"/>
      <c r="X6327" s="3"/>
      <c r="Y6327" s="3"/>
    </row>
    <row r="6328">
      <c r="A6328" s="3"/>
      <c r="B6328" s="3"/>
      <c r="C6328" s="3"/>
      <c r="D6328" s="3"/>
      <c r="E6328" s="3"/>
      <c r="F6328" s="3"/>
      <c r="G6328" s="3"/>
      <c r="H6328" s="3"/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  <c r="T6328" s="3"/>
      <c r="U6328" s="3"/>
      <c r="V6328" s="3"/>
      <c r="W6328" s="3"/>
      <c r="X6328" s="3"/>
      <c r="Y6328" s="3"/>
    </row>
    <row r="6329">
      <c r="A6329" s="3"/>
      <c r="B6329" s="3"/>
      <c r="C6329" s="3"/>
      <c r="D6329" s="3"/>
      <c r="E6329" s="3"/>
      <c r="F6329" s="3"/>
      <c r="G6329" s="3"/>
      <c r="H6329" s="3"/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  <c r="T6329" s="3"/>
      <c r="U6329" s="3"/>
      <c r="V6329" s="3"/>
      <c r="W6329" s="3"/>
      <c r="X6329" s="3"/>
      <c r="Y6329" s="3"/>
    </row>
    <row r="6330">
      <c r="A6330" s="3"/>
      <c r="B6330" s="3"/>
      <c r="C6330" s="3"/>
      <c r="D6330" s="3"/>
      <c r="E6330" s="3"/>
      <c r="F6330" s="3"/>
      <c r="G6330" s="3"/>
      <c r="H6330" s="3"/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  <c r="T6330" s="3"/>
      <c r="U6330" s="3"/>
      <c r="V6330" s="3"/>
      <c r="W6330" s="3"/>
      <c r="X6330" s="3"/>
      <c r="Y6330" s="3"/>
    </row>
    <row r="6331">
      <c r="A6331" s="3"/>
      <c r="B6331" s="3"/>
      <c r="C6331" s="3"/>
      <c r="D6331" s="3"/>
      <c r="E6331" s="3"/>
      <c r="F6331" s="3"/>
      <c r="G6331" s="3"/>
      <c r="H6331" s="3"/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  <c r="T6331" s="3"/>
      <c r="U6331" s="3"/>
      <c r="V6331" s="3"/>
      <c r="W6331" s="3"/>
      <c r="X6331" s="3"/>
      <c r="Y6331" s="3"/>
    </row>
    <row r="6332">
      <c r="A6332" s="3"/>
      <c r="B6332" s="3"/>
      <c r="C6332" s="3"/>
      <c r="D6332" s="3"/>
      <c r="E6332" s="3"/>
      <c r="F6332" s="3"/>
      <c r="G6332" s="3"/>
      <c r="H6332" s="3"/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  <c r="T6332" s="3"/>
      <c r="U6332" s="3"/>
      <c r="V6332" s="3"/>
      <c r="W6332" s="3"/>
      <c r="X6332" s="3"/>
      <c r="Y6332" s="3"/>
    </row>
    <row r="6333">
      <c r="A6333" s="3"/>
      <c r="B6333" s="3"/>
      <c r="C6333" s="3"/>
      <c r="D6333" s="3"/>
      <c r="E6333" s="3"/>
      <c r="F6333" s="3"/>
      <c r="G6333" s="3"/>
      <c r="H6333" s="3"/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  <c r="T6333" s="3"/>
      <c r="U6333" s="3"/>
      <c r="V6333" s="3"/>
      <c r="W6333" s="3"/>
      <c r="X6333" s="3"/>
      <c r="Y6333" s="3"/>
    </row>
    <row r="6334">
      <c r="A6334" s="3"/>
      <c r="B6334" s="3"/>
      <c r="C6334" s="3"/>
      <c r="D6334" s="3"/>
      <c r="E6334" s="3"/>
      <c r="F6334" s="3"/>
      <c r="G6334" s="3"/>
      <c r="H6334" s="3"/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  <c r="T6334" s="3"/>
      <c r="U6334" s="3"/>
      <c r="V6334" s="3"/>
      <c r="W6334" s="3"/>
      <c r="X6334" s="3"/>
      <c r="Y6334" s="3"/>
    </row>
    <row r="6335">
      <c r="A6335" s="3"/>
      <c r="B6335" s="3"/>
      <c r="C6335" s="3"/>
      <c r="D6335" s="3"/>
      <c r="E6335" s="3"/>
      <c r="F6335" s="3"/>
      <c r="G6335" s="3"/>
      <c r="H6335" s="3"/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  <c r="T6335" s="3"/>
      <c r="U6335" s="3"/>
      <c r="V6335" s="3"/>
      <c r="W6335" s="3"/>
      <c r="X6335" s="3"/>
      <c r="Y6335" s="3"/>
    </row>
    <row r="6336">
      <c r="A6336" s="3"/>
      <c r="B6336" s="3"/>
      <c r="C6336" s="3"/>
      <c r="D6336" s="3"/>
      <c r="E6336" s="3"/>
      <c r="F6336" s="3"/>
      <c r="G6336" s="3"/>
      <c r="H6336" s="3"/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  <c r="T6336" s="3"/>
      <c r="U6336" s="3"/>
      <c r="V6336" s="3"/>
      <c r="W6336" s="3"/>
      <c r="X6336" s="3"/>
      <c r="Y6336" s="3"/>
    </row>
    <row r="6337">
      <c r="A6337" s="3"/>
      <c r="B6337" s="3"/>
      <c r="C6337" s="3"/>
      <c r="D6337" s="3"/>
      <c r="E6337" s="3"/>
      <c r="F6337" s="3"/>
      <c r="G6337" s="3"/>
      <c r="H6337" s="3"/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  <c r="T6337" s="3"/>
      <c r="U6337" s="3"/>
      <c r="V6337" s="3"/>
      <c r="W6337" s="3"/>
      <c r="X6337" s="3"/>
      <c r="Y6337" s="3"/>
    </row>
    <row r="6338">
      <c r="A6338" s="3"/>
      <c r="B6338" s="3"/>
      <c r="C6338" s="3"/>
      <c r="D6338" s="3"/>
      <c r="E6338" s="3"/>
      <c r="F6338" s="3"/>
      <c r="G6338" s="3"/>
      <c r="H6338" s="3"/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  <c r="T6338" s="3"/>
      <c r="U6338" s="3"/>
      <c r="V6338" s="3"/>
      <c r="W6338" s="3"/>
      <c r="X6338" s="3"/>
      <c r="Y6338" s="3"/>
    </row>
    <row r="6339">
      <c r="A6339" s="3"/>
      <c r="B6339" s="3"/>
      <c r="C6339" s="3"/>
      <c r="D6339" s="3"/>
      <c r="E6339" s="3"/>
      <c r="F6339" s="3"/>
      <c r="G6339" s="3"/>
      <c r="H6339" s="3"/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  <c r="T6339" s="3"/>
      <c r="U6339" s="3"/>
      <c r="V6339" s="3"/>
      <c r="W6339" s="3"/>
      <c r="X6339" s="3"/>
      <c r="Y6339" s="3"/>
    </row>
    <row r="6340">
      <c r="A6340" s="3"/>
      <c r="B6340" s="3"/>
      <c r="C6340" s="3"/>
      <c r="D6340" s="3"/>
      <c r="E6340" s="3"/>
      <c r="F6340" s="3"/>
      <c r="G6340" s="3"/>
      <c r="H6340" s="3"/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  <c r="T6340" s="3"/>
      <c r="U6340" s="3"/>
      <c r="V6340" s="3"/>
      <c r="W6340" s="3"/>
      <c r="X6340" s="3"/>
      <c r="Y6340" s="3"/>
    </row>
    <row r="6341">
      <c r="A6341" s="3"/>
      <c r="B6341" s="3"/>
      <c r="C6341" s="3"/>
      <c r="D6341" s="3"/>
      <c r="E6341" s="3"/>
      <c r="F6341" s="3"/>
      <c r="G6341" s="3"/>
      <c r="H6341" s="3"/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  <c r="T6341" s="3"/>
      <c r="U6341" s="3"/>
      <c r="V6341" s="3"/>
      <c r="W6341" s="3"/>
      <c r="X6341" s="3"/>
      <c r="Y6341" s="3"/>
    </row>
    <row r="6342">
      <c r="A6342" s="3"/>
      <c r="B6342" s="3"/>
      <c r="C6342" s="3"/>
      <c r="D6342" s="3"/>
      <c r="E6342" s="3"/>
      <c r="F6342" s="3"/>
      <c r="G6342" s="3"/>
      <c r="H6342" s="3"/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  <c r="T6342" s="3"/>
      <c r="U6342" s="3"/>
      <c r="V6342" s="3"/>
      <c r="W6342" s="3"/>
      <c r="X6342" s="3"/>
      <c r="Y6342" s="3"/>
    </row>
    <row r="6343">
      <c r="A6343" s="3"/>
      <c r="B6343" s="3"/>
      <c r="C6343" s="3"/>
      <c r="D6343" s="3"/>
      <c r="E6343" s="3"/>
      <c r="F6343" s="3"/>
      <c r="G6343" s="3"/>
      <c r="H6343" s="3"/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  <c r="T6343" s="3"/>
      <c r="U6343" s="3"/>
      <c r="V6343" s="3"/>
      <c r="W6343" s="3"/>
      <c r="X6343" s="3"/>
      <c r="Y6343" s="3"/>
    </row>
    <row r="6344">
      <c r="A6344" s="3"/>
      <c r="B6344" s="3"/>
      <c r="C6344" s="3"/>
      <c r="D6344" s="3"/>
      <c r="E6344" s="3"/>
      <c r="F6344" s="3"/>
      <c r="G6344" s="3"/>
      <c r="H6344" s="3"/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  <c r="T6344" s="3"/>
      <c r="U6344" s="3"/>
      <c r="V6344" s="3"/>
      <c r="W6344" s="3"/>
      <c r="X6344" s="3"/>
      <c r="Y6344" s="3"/>
    </row>
    <row r="6345">
      <c r="A6345" s="3"/>
      <c r="B6345" s="3"/>
      <c r="C6345" s="3"/>
      <c r="D6345" s="3"/>
      <c r="E6345" s="3"/>
      <c r="F6345" s="3"/>
      <c r="G6345" s="3"/>
      <c r="H6345" s="3"/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  <c r="T6345" s="3"/>
      <c r="U6345" s="3"/>
      <c r="V6345" s="3"/>
      <c r="W6345" s="3"/>
      <c r="X6345" s="3"/>
      <c r="Y6345" s="3"/>
    </row>
    <row r="6346">
      <c r="A6346" s="3"/>
      <c r="B6346" s="3"/>
      <c r="C6346" s="3"/>
      <c r="D6346" s="3"/>
      <c r="E6346" s="3"/>
      <c r="F6346" s="3"/>
      <c r="G6346" s="3"/>
      <c r="H6346" s="3"/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  <c r="T6346" s="3"/>
      <c r="U6346" s="3"/>
      <c r="V6346" s="3"/>
      <c r="W6346" s="3"/>
      <c r="X6346" s="3"/>
      <c r="Y6346" s="3"/>
    </row>
    <row r="6347">
      <c r="A6347" s="3"/>
      <c r="B6347" s="3"/>
      <c r="C6347" s="3"/>
      <c r="D6347" s="3"/>
      <c r="E6347" s="3"/>
      <c r="F6347" s="3"/>
      <c r="G6347" s="3"/>
      <c r="H6347" s="3"/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  <c r="T6347" s="3"/>
      <c r="U6347" s="3"/>
      <c r="V6347" s="3"/>
      <c r="W6347" s="3"/>
      <c r="X6347" s="3"/>
      <c r="Y6347" s="3"/>
    </row>
    <row r="6348">
      <c r="A6348" s="3"/>
      <c r="B6348" s="3"/>
      <c r="C6348" s="3"/>
      <c r="D6348" s="3"/>
      <c r="E6348" s="3"/>
      <c r="F6348" s="3"/>
      <c r="G6348" s="3"/>
      <c r="H6348" s="3"/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  <c r="T6348" s="3"/>
      <c r="U6348" s="3"/>
      <c r="V6348" s="3"/>
      <c r="W6348" s="3"/>
      <c r="X6348" s="3"/>
      <c r="Y6348" s="3"/>
    </row>
    <row r="6349">
      <c r="A6349" s="3"/>
      <c r="B6349" s="3"/>
      <c r="C6349" s="3"/>
      <c r="D6349" s="3"/>
      <c r="E6349" s="3"/>
      <c r="F6349" s="3"/>
      <c r="G6349" s="3"/>
      <c r="H6349" s="3"/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  <c r="T6349" s="3"/>
      <c r="U6349" s="3"/>
      <c r="V6349" s="3"/>
      <c r="W6349" s="3"/>
      <c r="X6349" s="3"/>
      <c r="Y6349" s="3"/>
    </row>
    <row r="6350">
      <c r="A6350" s="3"/>
      <c r="B6350" s="3"/>
      <c r="C6350" s="3"/>
      <c r="D6350" s="3"/>
      <c r="E6350" s="3"/>
      <c r="F6350" s="3"/>
      <c r="G6350" s="3"/>
      <c r="H6350" s="3"/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  <c r="T6350" s="3"/>
      <c r="U6350" s="3"/>
      <c r="V6350" s="3"/>
      <c r="W6350" s="3"/>
      <c r="X6350" s="3"/>
      <c r="Y6350" s="3"/>
    </row>
    <row r="6351">
      <c r="A6351" s="3"/>
      <c r="B6351" s="3"/>
      <c r="C6351" s="3"/>
      <c r="D6351" s="3"/>
      <c r="E6351" s="3"/>
      <c r="F6351" s="3"/>
      <c r="G6351" s="3"/>
      <c r="H6351" s="3"/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  <c r="T6351" s="3"/>
      <c r="U6351" s="3"/>
      <c r="V6351" s="3"/>
      <c r="W6351" s="3"/>
      <c r="X6351" s="3"/>
      <c r="Y6351" s="3"/>
    </row>
    <row r="6352">
      <c r="A6352" s="3"/>
      <c r="B6352" s="3"/>
      <c r="C6352" s="3"/>
      <c r="D6352" s="3"/>
      <c r="E6352" s="3"/>
      <c r="F6352" s="3"/>
      <c r="G6352" s="3"/>
      <c r="H6352" s="3"/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  <c r="T6352" s="3"/>
      <c r="U6352" s="3"/>
      <c r="V6352" s="3"/>
      <c r="W6352" s="3"/>
      <c r="X6352" s="3"/>
      <c r="Y6352" s="3"/>
    </row>
    <row r="6353">
      <c r="A6353" s="3"/>
      <c r="B6353" s="3"/>
      <c r="C6353" s="3"/>
      <c r="D6353" s="3"/>
      <c r="E6353" s="3"/>
      <c r="F6353" s="3"/>
      <c r="G6353" s="3"/>
      <c r="H6353" s="3"/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  <c r="T6353" s="3"/>
      <c r="U6353" s="3"/>
      <c r="V6353" s="3"/>
      <c r="W6353" s="3"/>
      <c r="X6353" s="3"/>
      <c r="Y6353" s="3"/>
    </row>
    <row r="6354">
      <c r="A6354" s="3"/>
      <c r="B6354" s="3"/>
      <c r="C6354" s="3"/>
      <c r="D6354" s="3"/>
      <c r="E6354" s="3"/>
      <c r="F6354" s="3"/>
      <c r="G6354" s="3"/>
      <c r="H6354" s="3"/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  <c r="T6354" s="3"/>
      <c r="U6354" s="3"/>
      <c r="V6354" s="3"/>
      <c r="W6354" s="3"/>
      <c r="X6354" s="3"/>
      <c r="Y6354" s="3"/>
    </row>
    <row r="6355">
      <c r="A6355" s="3"/>
      <c r="B6355" s="3"/>
      <c r="C6355" s="3"/>
      <c r="D6355" s="3"/>
      <c r="E6355" s="3"/>
      <c r="F6355" s="3"/>
      <c r="G6355" s="3"/>
      <c r="H6355" s="3"/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  <c r="T6355" s="3"/>
      <c r="U6355" s="3"/>
      <c r="V6355" s="3"/>
      <c r="W6355" s="3"/>
      <c r="X6355" s="3"/>
      <c r="Y6355" s="3"/>
    </row>
    <row r="6356">
      <c r="A6356" s="3"/>
      <c r="B6356" s="3"/>
      <c r="C6356" s="3"/>
      <c r="D6356" s="3"/>
      <c r="E6356" s="3"/>
      <c r="F6356" s="3"/>
      <c r="G6356" s="3"/>
      <c r="H6356" s="3"/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  <c r="T6356" s="3"/>
      <c r="U6356" s="3"/>
      <c r="V6356" s="3"/>
      <c r="W6356" s="3"/>
      <c r="X6356" s="3"/>
      <c r="Y6356" s="3"/>
    </row>
    <row r="6357">
      <c r="A6357" s="3"/>
      <c r="B6357" s="3"/>
      <c r="C6357" s="3"/>
      <c r="D6357" s="3"/>
      <c r="E6357" s="3"/>
      <c r="F6357" s="3"/>
      <c r="G6357" s="3"/>
      <c r="H6357" s="3"/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  <c r="T6357" s="3"/>
      <c r="U6357" s="3"/>
      <c r="V6357" s="3"/>
      <c r="W6357" s="3"/>
      <c r="X6357" s="3"/>
      <c r="Y6357" s="3"/>
    </row>
    <row r="6358">
      <c r="A6358" s="3"/>
      <c r="B6358" s="3"/>
      <c r="C6358" s="3"/>
      <c r="D6358" s="3"/>
      <c r="E6358" s="3"/>
      <c r="F6358" s="3"/>
      <c r="G6358" s="3"/>
      <c r="H6358" s="3"/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  <c r="T6358" s="3"/>
      <c r="U6358" s="3"/>
      <c r="V6358" s="3"/>
      <c r="W6358" s="3"/>
      <c r="X6358" s="3"/>
      <c r="Y6358" s="3"/>
    </row>
    <row r="6359">
      <c r="A6359" s="3"/>
      <c r="B6359" s="3"/>
      <c r="C6359" s="3"/>
      <c r="D6359" s="3"/>
      <c r="E6359" s="3"/>
      <c r="F6359" s="3"/>
      <c r="G6359" s="3"/>
      <c r="H6359" s="3"/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  <c r="T6359" s="3"/>
      <c r="U6359" s="3"/>
      <c r="V6359" s="3"/>
      <c r="W6359" s="3"/>
      <c r="X6359" s="3"/>
      <c r="Y6359" s="3"/>
    </row>
    <row r="6360">
      <c r="A6360" s="3"/>
      <c r="B6360" s="3"/>
      <c r="C6360" s="3"/>
      <c r="D6360" s="3"/>
      <c r="E6360" s="3"/>
      <c r="F6360" s="3"/>
      <c r="G6360" s="3"/>
      <c r="H6360" s="3"/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  <c r="T6360" s="3"/>
      <c r="U6360" s="3"/>
      <c r="V6360" s="3"/>
      <c r="W6360" s="3"/>
      <c r="X6360" s="3"/>
      <c r="Y6360" s="3"/>
    </row>
    <row r="6361">
      <c r="A6361" s="3"/>
      <c r="B6361" s="3"/>
      <c r="C6361" s="3"/>
      <c r="D6361" s="3"/>
      <c r="E6361" s="3"/>
      <c r="F6361" s="3"/>
      <c r="G6361" s="3"/>
      <c r="H6361" s="3"/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  <c r="T6361" s="3"/>
      <c r="U6361" s="3"/>
      <c r="V6361" s="3"/>
      <c r="W6361" s="3"/>
      <c r="X6361" s="3"/>
      <c r="Y6361" s="3"/>
    </row>
    <row r="6362">
      <c r="A6362" s="3"/>
      <c r="B6362" s="3"/>
      <c r="C6362" s="3"/>
      <c r="D6362" s="3"/>
      <c r="E6362" s="3"/>
      <c r="F6362" s="3"/>
      <c r="G6362" s="3"/>
      <c r="H6362" s="3"/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  <c r="T6362" s="3"/>
      <c r="U6362" s="3"/>
      <c r="V6362" s="3"/>
      <c r="W6362" s="3"/>
      <c r="X6362" s="3"/>
      <c r="Y6362" s="3"/>
    </row>
    <row r="6363">
      <c r="A6363" s="3"/>
      <c r="B6363" s="3"/>
      <c r="C6363" s="3"/>
      <c r="D6363" s="3"/>
      <c r="E6363" s="3"/>
      <c r="F6363" s="3"/>
      <c r="G6363" s="3"/>
      <c r="H6363" s="3"/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  <c r="T6363" s="3"/>
      <c r="U6363" s="3"/>
      <c r="V6363" s="3"/>
      <c r="W6363" s="3"/>
      <c r="X6363" s="3"/>
      <c r="Y6363" s="3"/>
    </row>
    <row r="6364">
      <c r="A6364" s="3"/>
      <c r="B6364" s="3"/>
      <c r="C6364" s="3"/>
      <c r="D6364" s="3"/>
      <c r="E6364" s="3"/>
      <c r="F6364" s="3"/>
      <c r="G6364" s="3"/>
      <c r="H6364" s="3"/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  <c r="T6364" s="3"/>
      <c r="U6364" s="3"/>
      <c r="V6364" s="3"/>
      <c r="W6364" s="3"/>
      <c r="X6364" s="3"/>
      <c r="Y6364" s="3"/>
    </row>
    <row r="6365">
      <c r="A6365" s="3"/>
      <c r="B6365" s="3"/>
      <c r="C6365" s="3"/>
      <c r="D6365" s="3"/>
      <c r="E6365" s="3"/>
      <c r="F6365" s="3"/>
      <c r="G6365" s="3"/>
      <c r="H6365" s="3"/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  <c r="T6365" s="3"/>
      <c r="U6365" s="3"/>
      <c r="V6365" s="3"/>
      <c r="W6365" s="3"/>
      <c r="X6365" s="3"/>
      <c r="Y6365" s="3"/>
    </row>
    <row r="6366">
      <c r="A6366" s="3"/>
      <c r="B6366" s="3"/>
      <c r="C6366" s="3"/>
      <c r="D6366" s="3"/>
      <c r="E6366" s="3"/>
      <c r="F6366" s="3"/>
      <c r="G6366" s="3"/>
      <c r="H6366" s="3"/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  <c r="T6366" s="3"/>
      <c r="U6366" s="3"/>
      <c r="V6366" s="3"/>
      <c r="W6366" s="3"/>
      <c r="X6366" s="3"/>
      <c r="Y6366" s="3"/>
    </row>
    <row r="6367">
      <c r="A6367" s="3"/>
      <c r="B6367" s="3"/>
      <c r="C6367" s="3"/>
      <c r="D6367" s="3"/>
      <c r="E6367" s="3"/>
      <c r="F6367" s="3"/>
      <c r="G6367" s="3"/>
      <c r="H6367" s="3"/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  <c r="T6367" s="3"/>
      <c r="U6367" s="3"/>
      <c r="V6367" s="3"/>
      <c r="W6367" s="3"/>
      <c r="X6367" s="3"/>
      <c r="Y6367" s="3"/>
    </row>
    <row r="6368">
      <c r="A6368" s="3"/>
      <c r="B6368" s="3"/>
      <c r="C6368" s="3"/>
      <c r="D6368" s="3"/>
      <c r="E6368" s="3"/>
      <c r="F6368" s="3"/>
      <c r="G6368" s="3"/>
      <c r="H6368" s="3"/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  <c r="T6368" s="3"/>
      <c r="U6368" s="3"/>
      <c r="V6368" s="3"/>
      <c r="W6368" s="3"/>
      <c r="X6368" s="3"/>
      <c r="Y6368" s="3"/>
    </row>
    <row r="6369">
      <c r="A6369" s="3"/>
      <c r="B6369" s="3"/>
      <c r="C6369" s="3"/>
      <c r="D6369" s="3"/>
      <c r="E6369" s="3"/>
      <c r="F6369" s="3"/>
      <c r="G6369" s="3"/>
      <c r="H6369" s="3"/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  <c r="T6369" s="3"/>
      <c r="U6369" s="3"/>
      <c r="V6369" s="3"/>
      <c r="W6369" s="3"/>
      <c r="X6369" s="3"/>
      <c r="Y6369" s="3"/>
    </row>
    <row r="6370">
      <c r="A6370" s="3"/>
      <c r="B6370" s="3"/>
      <c r="C6370" s="3"/>
      <c r="D6370" s="3"/>
      <c r="E6370" s="3"/>
      <c r="F6370" s="3"/>
      <c r="G6370" s="3"/>
      <c r="H6370" s="3"/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  <c r="T6370" s="3"/>
      <c r="U6370" s="3"/>
      <c r="V6370" s="3"/>
      <c r="W6370" s="3"/>
      <c r="X6370" s="3"/>
      <c r="Y6370" s="3"/>
    </row>
    <row r="6371">
      <c r="A6371" s="3"/>
      <c r="B6371" s="3"/>
      <c r="C6371" s="3"/>
      <c r="D6371" s="3"/>
      <c r="E6371" s="3"/>
      <c r="F6371" s="3"/>
      <c r="G6371" s="3"/>
      <c r="H6371" s="3"/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  <c r="T6371" s="3"/>
      <c r="U6371" s="3"/>
      <c r="V6371" s="3"/>
      <c r="W6371" s="3"/>
      <c r="X6371" s="3"/>
      <c r="Y6371" s="3"/>
    </row>
    <row r="6372">
      <c r="A6372" s="3"/>
      <c r="B6372" s="3"/>
      <c r="C6372" s="3"/>
      <c r="D6372" s="3"/>
      <c r="E6372" s="3"/>
      <c r="F6372" s="3"/>
      <c r="G6372" s="3"/>
      <c r="H6372" s="3"/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  <c r="T6372" s="3"/>
      <c r="U6372" s="3"/>
      <c r="V6372" s="3"/>
      <c r="W6372" s="3"/>
      <c r="X6372" s="3"/>
      <c r="Y6372" s="3"/>
    </row>
    <row r="6373">
      <c r="A6373" s="3"/>
      <c r="B6373" s="3"/>
      <c r="C6373" s="3"/>
      <c r="D6373" s="3"/>
      <c r="E6373" s="3"/>
      <c r="F6373" s="3"/>
      <c r="G6373" s="3"/>
      <c r="H6373" s="3"/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  <c r="T6373" s="3"/>
      <c r="U6373" s="3"/>
      <c r="V6373" s="3"/>
      <c r="W6373" s="3"/>
      <c r="X6373" s="3"/>
      <c r="Y6373" s="3"/>
    </row>
    <row r="6374">
      <c r="A6374" s="3"/>
      <c r="B6374" s="3"/>
      <c r="C6374" s="3"/>
      <c r="D6374" s="3"/>
      <c r="E6374" s="3"/>
      <c r="F6374" s="3"/>
      <c r="G6374" s="3"/>
      <c r="H6374" s="3"/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  <c r="T6374" s="3"/>
      <c r="U6374" s="3"/>
      <c r="V6374" s="3"/>
      <c r="W6374" s="3"/>
      <c r="X6374" s="3"/>
      <c r="Y6374" s="3"/>
    </row>
    <row r="6375">
      <c r="A6375" s="3"/>
      <c r="B6375" s="3"/>
      <c r="C6375" s="3"/>
      <c r="D6375" s="3"/>
      <c r="E6375" s="3"/>
      <c r="F6375" s="3"/>
      <c r="G6375" s="3"/>
      <c r="H6375" s="3"/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  <c r="T6375" s="3"/>
      <c r="U6375" s="3"/>
      <c r="V6375" s="3"/>
      <c r="W6375" s="3"/>
      <c r="X6375" s="3"/>
      <c r="Y6375" s="3"/>
    </row>
    <row r="6376">
      <c r="A6376" s="3"/>
      <c r="B6376" s="3"/>
      <c r="C6376" s="3"/>
      <c r="D6376" s="3"/>
      <c r="E6376" s="3"/>
      <c r="F6376" s="3"/>
      <c r="G6376" s="3"/>
      <c r="H6376" s="3"/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  <c r="T6376" s="3"/>
      <c r="U6376" s="3"/>
      <c r="V6376" s="3"/>
      <c r="W6376" s="3"/>
      <c r="X6376" s="3"/>
      <c r="Y6376" s="3"/>
    </row>
    <row r="6377">
      <c r="A6377" s="3"/>
      <c r="B6377" s="3"/>
      <c r="C6377" s="3"/>
      <c r="D6377" s="3"/>
      <c r="E6377" s="3"/>
      <c r="F6377" s="3"/>
      <c r="G6377" s="3"/>
      <c r="H6377" s="3"/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  <c r="T6377" s="3"/>
      <c r="U6377" s="3"/>
      <c r="V6377" s="3"/>
      <c r="W6377" s="3"/>
      <c r="X6377" s="3"/>
      <c r="Y6377" s="3"/>
    </row>
    <row r="6378">
      <c r="A6378" s="3"/>
      <c r="B6378" s="3"/>
      <c r="C6378" s="3"/>
      <c r="D6378" s="3"/>
      <c r="E6378" s="3"/>
      <c r="F6378" s="3"/>
      <c r="G6378" s="3"/>
      <c r="H6378" s="3"/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  <c r="T6378" s="3"/>
      <c r="U6378" s="3"/>
      <c r="V6378" s="3"/>
      <c r="W6378" s="3"/>
      <c r="X6378" s="3"/>
      <c r="Y6378" s="3"/>
    </row>
    <row r="6379">
      <c r="A6379" s="3"/>
      <c r="B6379" s="3"/>
      <c r="C6379" s="3"/>
      <c r="D6379" s="3"/>
      <c r="E6379" s="3"/>
      <c r="F6379" s="3"/>
      <c r="G6379" s="3"/>
      <c r="H6379" s="3"/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  <c r="T6379" s="3"/>
      <c r="U6379" s="3"/>
      <c r="V6379" s="3"/>
      <c r="W6379" s="3"/>
      <c r="X6379" s="3"/>
      <c r="Y6379" s="3"/>
    </row>
    <row r="6380">
      <c r="A6380" s="3"/>
      <c r="B6380" s="3"/>
      <c r="C6380" s="3"/>
      <c r="D6380" s="3"/>
      <c r="E6380" s="3"/>
      <c r="F6380" s="3"/>
      <c r="G6380" s="3"/>
      <c r="H6380" s="3"/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  <c r="T6380" s="3"/>
      <c r="U6380" s="3"/>
      <c r="V6380" s="3"/>
      <c r="W6380" s="3"/>
      <c r="X6380" s="3"/>
      <c r="Y6380" s="3"/>
    </row>
    <row r="6381">
      <c r="A6381" s="3"/>
      <c r="B6381" s="3"/>
      <c r="C6381" s="3"/>
      <c r="D6381" s="3"/>
      <c r="E6381" s="3"/>
      <c r="F6381" s="3"/>
      <c r="G6381" s="3"/>
      <c r="H6381" s="3"/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  <c r="T6381" s="3"/>
      <c r="U6381" s="3"/>
      <c r="V6381" s="3"/>
      <c r="W6381" s="3"/>
      <c r="X6381" s="3"/>
      <c r="Y6381" s="3"/>
    </row>
    <row r="6382">
      <c r="A6382" s="3"/>
      <c r="B6382" s="3"/>
      <c r="C6382" s="3"/>
      <c r="D6382" s="3"/>
      <c r="E6382" s="3"/>
      <c r="F6382" s="3"/>
      <c r="G6382" s="3"/>
      <c r="H6382" s="3"/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  <c r="T6382" s="3"/>
      <c r="U6382" s="3"/>
      <c r="V6382" s="3"/>
      <c r="W6382" s="3"/>
      <c r="X6382" s="3"/>
      <c r="Y6382" s="3"/>
    </row>
    <row r="6383">
      <c r="A6383" s="3"/>
      <c r="B6383" s="3"/>
      <c r="C6383" s="3"/>
      <c r="D6383" s="3"/>
      <c r="E6383" s="3"/>
      <c r="F6383" s="3"/>
      <c r="G6383" s="3"/>
      <c r="H6383" s="3"/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  <c r="T6383" s="3"/>
      <c r="U6383" s="3"/>
      <c r="V6383" s="3"/>
      <c r="W6383" s="3"/>
      <c r="X6383" s="3"/>
      <c r="Y6383" s="3"/>
    </row>
    <row r="6384">
      <c r="A6384" s="3"/>
      <c r="B6384" s="3"/>
      <c r="C6384" s="3"/>
      <c r="D6384" s="3"/>
      <c r="E6384" s="3"/>
      <c r="F6384" s="3"/>
      <c r="G6384" s="3"/>
      <c r="H6384" s="3"/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  <c r="T6384" s="3"/>
      <c r="U6384" s="3"/>
      <c r="V6384" s="3"/>
      <c r="W6384" s="3"/>
      <c r="X6384" s="3"/>
      <c r="Y6384" s="3"/>
    </row>
    <row r="6385">
      <c r="A6385" s="3"/>
      <c r="B6385" s="3"/>
      <c r="C6385" s="3"/>
      <c r="D6385" s="3"/>
      <c r="E6385" s="3"/>
      <c r="F6385" s="3"/>
      <c r="G6385" s="3"/>
      <c r="H6385" s="3"/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  <c r="T6385" s="3"/>
      <c r="U6385" s="3"/>
      <c r="V6385" s="3"/>
      <c r="W6385" s="3"/>
      <c r="X6385" s="3"/>
      <c r="Y6385" s="3"/>
    </row>
    <row r="6386">
      <c r="A6386" s="3"/>
      <c r="B6386" s="3"/>
      <c r="C6386" s="3"/>
      <c r="D6386" s="3"/>
      <c r="E6386" s="3"/>
      <c r="F6386" s="3"/>
      <c r="G6386" s="3"/>
      <c r="H6386" s="3"/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  <c r="T6386" s="3"/>
      <c r="U6386" s="3"/>
      <c r="V6386" s="3"/>
      <c r="W6386" s="3"/>
      <c r="X6386" s="3"/>
      <c r="Y6386" s="3"/>
    </row>
    <row r="6387">
      <c r="A6387" s="3"/>
      <c r="B6387" s="3"/>
      <c r="C6387" s="3"/>
      <c r="D6387" s="3"/>
      <c r="E6387" s="3"/>
      <c r="F6387" s="3"/>
      <c r="G6387" s="3"/>
      <c r="H6387" s="3"/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  <c r="T6387" s="3"/>
      <c r="U6387" s="3"/>
      <c r="V6387" s="3"/>
      <c r="W6387" s="3"/>
      <c r="X6387" s="3"/>
      <c r="Y6387" s="3"/>
    </row>
    <row r="6388">
      <c r="A6388" s="3"/>
      <c r="B6388" s="3"/>
      <c r="C6388" s="3"/>
      <c r="D6388" s="3"/>
      <c r="E6388" s="3"/>
      <c r="F6388" s="3"/>
      <c r="G6388" s="3"/>
      <c r="H6388" s="3"/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  <c r="T6388" s="3"/>
      <c r="U6388" s="3"/>
      <c r="V6388" s="3"/>
      <c r="W6388" s="3"/>
      <c r="X6388" s="3"/>
      <c r="Y6388" s="3"/>
    </row>
    <row r="6389">
      <c r="A6389" s="3"/>
      <c r="B6389" s="3"/>
      <c r="C6389" s="3"/>
      <c r="D6389" s="3"/>
      <c r="E6389" s="3"/>
      <c r="F6389" s="3"/>
      <c r="G6389" s="3"/>
      <c r="H6389" s="3"/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  <c r="T6389" s="3"/>
      <c r="U6389" s="3"/>
      <c r="V6389" s="3"/>
      <c r="W6389" s="3"/>
      <c r="X6389" s="3"/>
      <c r="Y6389" s="3"/>
    </row>
    <row r="6390">
      <c r="A6390" s="3"/>
      <c r="B6390" s="3"/>
      <c r="C6390" s="3"/>
      <c r="D6390" s="3"/>
      <c r="E6390" s="3"/>
      <c r="F6390" s="3"/>
      <c r="G6390" s="3"/>
      <c r="H6390" s="3"/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  <c r="T6390" s="3"/>
      <c r="U6390" s="3"/>
      <c r="V6390" s="3"/>
      <c r="W6390" s="3"/>
      <c r="X6390" s="3"/>
      <c r="Y6390" s="3"/>
    </row>
    <row r="6391">
      <c r="A6391" s="3"/>
      <c r="B6391" s="3"/>
      <c r="C6391" s="3"/>
      <c r="D6391" s="3"/>
      <c r="E6391" s="3"/>
      <c r="F6391" s="3"/>
      <c r="G6391" s="3"/>
      <c r="H6391" s="3"/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  <c r="T6391" s="3"/>
      <c r="U6391" s="3"/>
      <c r="V6391" s="3"/>
      <c r="W6391" s="3"/>
      <c r="X6391" s="3"/>
      <c r="Y6391" s="3"/>
    </row>
    <row r="6392">
      <c r="A6392" s="3"/>
      <c r="B6392" s="3"/>
      <c r="C6392" s="3"/>
      <c r="D6392" s="3"/>
      <c r="E6392" s="3"/>
      <c r="F6392" s="3"/>
      <c r="G6392" s="3"/>
      <c r="H6392" s="3"/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  <c r="T6392" s="3"/>
      <c r="U6392" s="3"/>
      <c r="V6392" s="3"/>
      <c r="W6392" s="3"/>
      <c r="X6392" s="3"/>
      <c r="Y6392" s="3"/>
    </row>
    <row r="6393">
      <c r="A6393" s="3"/>
      <c r="B6393" s="3"/>
      <c r="C6393" s="3"/>
      <c r="D6393" s="3"/>
      <c r="E6393" s="3"/>
      <c r="F6393" s="3"/>
      <c r="G6393" s="3"/>
      <c r="H6393" s="3"/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  <c r="T6393" s="3"/>
      <c r="U6393" s="3"/>
      <c r="V6393" s="3"/>
      <c r="W6393" s="3"/>
      <c r="X6393" s="3"/>
      <c r="Y6393" s="3"/>
    </row>
    <row r="6394">
      <c r="A6394" s="3"/>
      <c r="B6394" s="3"/>
      <c r="C6394" s="3"/>
      <c r="D6394" s="3"/>
      <c r="E6394" s="3"/>
      <c r="F6394" s="3"/>
      <c r="G6394" s="3"/>
      <c r="H6394" s="3"/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  <c r="T6394" s="3"/>
      <c r="U6394" s="3"/>
      <c r="V6394" s="3"/>
      <c r="W6394" s="3"/>
      <c r="X6394" s="3"/>
      <c r="Y6394" s="3"/>
    </row>
    <row r="6395">
      <c r="A6395" s="3"/>
      <c r="B6395" s="3"/>
      <c r="C6395" s="3"/>
      <c r="D6395" s="3"/>
      <c r="E6395" s="3"/>
      <c r="F6395" s="3"/>
      <c r="G6395" s="3"/>
      <c r="H6395" s="3"/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  <c r="T6395" s="3"/>
      <c r="U6395" s="3"/>
      <c r="V6395" s="3"/>
      <c r="W6395" s="3"/>
      <c r="X6395" s="3"/>
      <c r="Y6395" s="3"/>
    </row>
    <row r="6396">
      <c r="A6396" s="3"/>
      <c r="B6396" s="3"/>
      <c r="C6396" s="3"/>
      <c r="D6396" s="3"/>
      <c r="E6396" s="3"/>
      <c r="F6396" s="3"/>
      <c r="G6396" s="3"/>
      <c r="H6396" s="3"/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  <c r="T6396" s="3"/>
      <c r="U6396" s="3"/>
      <c r="V6396" s="3"/>
      <c r="W6396" s="3"/>
      <c r="X6396" s="3"/>
      <c r="Y6396" s="3"/>
    </row>
    <row r="6397">
      <c r="A6397" s="3"/>
      <c r="B6397" s="3"/>
      <c r="C6397" s="3"/>
      <c r="D6397" s="3"/>
      <c r="E6397" s="3"/>
      <c r="F6397" s="3"/>
      <c r="G6397" s="3"/>
      <c r="H6397" s="3"/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  <c r="T6397" s="3"/>
      <c r="U6397" s="3"/>
      <c r="V6397" s="3"/>
      <c r="W6397" s="3"/>
      <c r="X6397" s="3"/>
      <c r="Y6397" s="3"/>
    </row>
    <row r="6398">
      <c r="A6398" s="3"/>
      <c r="B6398" s="3"/>
      <c r="C6398" s="3"/>
      <c r="D6398" s="3"/>
      <c r="E6398" s="3"/>
      <c r="F6398" s="3"/>
      <c r="G6398" s="3"/>
      <c r="H6398" s="3"/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  <c r="T6398" s="3"/>
      <c r="U6398" s="3"/>
      <c r="V6398" s="3"/>
      <c r="W6398" s="3"/>
      <c r="X6398" s="3"/>
      <c r="Y6398" s="3"/>
    </row>
    <row r="6399">
      <c r="A6399" s="3"/>
      <c r="B6399" s="3"/>
      <c r="C6399" s="3"/>
      <c r="D6399" s="3"/>
      <c r="E6399" s="3"/>
      <c r="F6399" s="3"/>
      <c r="G6399" s="3"/>
      <c r="H6399" s="3"/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  <c r="T6399" s="3"/>
      <c r="U6399" s="3"/>
      <c r="V6399" s="3"/>
      <c r="W6399" s="3"/>
      <c r="X6399" s="3"/>
      <c r="Y6399" s="3"/>
    </row>
    <row r="6400">
      <c r="A6400" s="3"/>
      <c r="B6400" s="3"/>
      <c r="C6400" s="3"/>
      <c r="D6400" s="3"/>
      <c r="E6400" s="3"/>
      <c r="F6400" s="3"/>
      <c r="G6400" s="3"/>
      <c r="H6400" s="3"/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  <c r="T6400" s="3"/>
      <c r="U6400" s="3"/>
      <c r="V6400" s="3"/>
      <c r="W6400" s="3"/>
      <c r="X6400" s="3"/>
      <c r="Y6400" s="3"/>
    </row>
    <row r="6401">
      <c r="A6401" s="3"/>
      <c r="B6401" s="3"/>
      <c r="C6401" s="3"/>
      <c r="D6401" s="3"/>
      <c r="E6401" s="3"/>
      <c r="F6401" s="3"/>
      <c r="G6401" s="3"/>
      <c r="H6401" s="3"/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  <c r="T6401" s="3"/>
      <c r="U6401" s="3"/>
      <c r="V6401" s="3"/>
      <c r="W6401" s="3"/>
      <c r="X6401" s="3"/>
      <c r="Y6401" s="3"/>
    </row>
    <row r="6402">
      <c r="A6402" s="3"/>
      <c r="B6402" s="3"/>
      <c r="C6402" s="3"/>
      <c r="D6402" s="3"/>
      <c r="E6402" s="3"/>
      <c r="F6402" s="3"/>
      <c r="G6402" s="3"/>
      <c r="H6402" s="3"/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  <c r="T6402" s="3"/>
      <c r="U6402" s="3"/>
      <c r="V6402" s="3"/>
      <c r="W6402" s="3"/>
      <c r="X6402" s="3"/>
      <c r="Y6402" s="3"/>
    </row>
    <row r="6403">
      <c r="A6403" s="3"/>
      <c r="B6403" s="3"/>
      <c r="C6403" s="3"/>
      <c r="D6403" s="3"/>
      <c r="E6403" s="3"/>
      <c r="F6403" s="3"/>
      <c r="G6403" s="3"/>
      <c r="H6403" s="3"/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  <c r="T6403" s="3"/>
      <c r="U6403" s="3"/>
      <c r="V6403" s="3"/>
      <c r="W6403" s="3"/>
      <c r="X6403" s="3"/>
      <c r="Y6403" s="3"/>
    </row>
    <row r="6404">
      <c r="A6404" s="3"/>
      <c r="B6404" s="3"/>
      <c r="C6404" s="3"/>
      <c r="D6404" s="3"/>
      <c r="E6404" s="3"/>
      <c r="F6404" s="3"/>
      <c r="G6404" s="3"/>
      <c r="H6404" s="3"/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  <c r="T6404" s="3"/>
      <c r="U6404" s="3"/>
      <c r="V6404" s="3"/>
      <c r="W6404" s="3"/>
      <c r="X6404" s="3"/>
      <c r="Y6404" s="3"/>
    </row>
    <row r="6405">
      <c r="A6405" s="3"/>
      <c r="B6405" s="3"/>
      <c r="C6405" s="3"/>
      <c r="D6405" s="3"/>
      <c r="E6405" s="3"/>
      <c r="F6405" s="3"/>
      <c r="G6405" s="3"/>
      <c r="H6405" s="3"/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  <c r="T6405" s="3"/>
      <c r="U6405" s="3"/>
      <c r="V6405" s="3"/>
      <c r="W6405" s="3"/>
      <c r="X6405" s="3"/>
      <c r="Y6405" s="3"/>
    </row>
    <row r="6406">
      <c r="A6406" s="3"/>
      <c r="B6406" s="3"/>
      <c r="C6406" s="3"/>
      <c r="D6406" s="3"/>
      <c r="E6406" s="3"/>
      <c r="F6406" s="3"/>
      <c r="G6406" s="3"/>
      <c r="H6406" s="3"/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  <c r="T6406" s="3"/>
      <c r="U6406" s="3"/>
      <c r="V6406" s="3"/>
      <c r="W6406" s="3"/>
      <c r="X6406" s="3"/>
      <c r="Y6406" s="3"/>
    </row>
    <row r="6407">
      <c r="A6407" s="3"/>
      <c r="B6407" s="3"/>
      <c r="C6407" s="3"/>
      <c r="D6407" s="3"/>
      <c r="E6407" s="3"/>
      <c r="F6407" s="3"/>
      <c r="G6407" s="3"/>
      <c r="H6407" s="3"/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  <c r="T6407" s="3"/>
      <c r="U6407" s="3"/>
      <c r="V6407" s="3"/>
      <c r="W6407" s="3"/>
      <c r="X6407" s="3"/>
      <c r="Y6407" s="3"/>
    </row>
    <row r="6408">
      <c r="A6408" s="3"/>
      <c r="B6408" s="3"/>
      <c r="C6408" s="3"/>
      <c r="D6408" s="3"/>
      <c r="E6408" s="3"/>
      <c r="F6408" s="3"/>
      <c r="G6408" s="3"/>
      <c r="H6408" s="3"/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  <c r="T6408" s="3"/>
      <c r="U6408" s="3"/>
      <c r="V6408" s="3"/>
      <c r="W6408" s="3"/>
      <c r="X6408" s="3"/>
      <c r="Y6408" s="3"/>
    </row>
    <row r="6409">
      <c r="A6409" s="3"/>
      <c r="B6409" s="3"/>
      <c r="C6409" s="3"/>
      <c r="D6409" s="3"/>
      <c r="E6409" s="3"/>
      <c r="F6409" s="3"/>
      <c r="G6409" s="3"/>
      <c r="H6409" s="3"/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  <c r="T6409" s="3"/>
      <c r="U6409" s="3"/>
      <c r="V6409" s="3"/>
      <c r="W6409" s="3"/>
      <c r="X6409" s="3"/>
      <c r="Y6409" s="3"/>
    </row>
    <row r="6410">
      <c r="A6410" s="3"/>
      <c r="B6410" s="3"/>
      <c r="C6410" s="3"/>
      <c r="D6410" s="3"/>
      <c r="E6410" s="3"/>
      <c r="F6410" s="3"/>
      <c r="G6410" s="3"/>
      <c r="H6410" s="3"/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  <c r="T6410" s="3"/>
      <c r="U6410" s="3"/>
      <c r="V6410" s="3"/>
      <c r="W6410" s="3"/>
      <c r="X6410" s="3"/>
      <c r="Y6410" s="3"/>
    </row>
    <row r="6411">
      <c r="A6411" s="3"/>
      <c r="B6411" s="3"/>
      <c r="C6411" s="3"/>
      <c r="D6411" s="3"/>
      <c r="E6411" s="3"/>
      <c r="F6411" s="3"/>
      <c r="G6411" s="3"/>
      <c r="H6411" s="3"/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  <c r="T6411" s="3"/>
      <c r="U6411" s="3"/>
      <c r="V6411" s="3"/>
      <c r="W6411" s="3"/>
      <c r="X6411" s="3"/>
      <c r="Y6411" s="3"/>
    </row>
    <row r="6412">
      <c r="A6412" s="3"/>
      <c r="B6412" s="3"/>
      <c r="C6412" s="3"/>
      <c r="D6412" s="3"/>
      <c r="E6412" s="3"/>
      <c r="F6412" s="3"/>
      <c r="G6412" s="3"/>
      <c r="H6412" s="3"/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  <c r="T6412" s="3"/>
      <c r="U6412" s="3"/>
      <c r="V6412" s="3"/>
      <c r="W6412" s="3"/>
      <c r="X6412" s="3"/>
      <c r="Y6412" s="3"/>
    </row>
    <row r="6413">
      <c r="A6413" s="3"/>
      <c r="B6413" s="3"/>
      <c r="C6413" s="3"/>
      <c r="D6413" s="3"/>
      <c r="E6413" s="3"/>
      <c r="F6413" s="3"/>
      <c r="G6413" s="3"/>
      <c r="H6413" s="3"/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  <c r="T6413" s="3"/>
      <c r="U6413" s="3"/>
      <c r="V6413" s="3"/>
      <c r="W6413" s="3"/>
      <c r="X6413" s="3"/>
      <c r="Y6413" s="3"/>
    </row>
    <row r="6414">
      <c r="A6414" s="3"/>
      <c r="B6414" s="3"/>
      <c r="C6414" s="3"/>
      <c r="D6414" s="3"/>
      <c r="E6414" s="3"/>
      <c r="F6414" s="3"/>
      <c r="G6414" s="3"/>
      <c r="H6414" s="3"/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  <c r="T6414" s="3"/>
      <c r="U6414" s="3"/>
      <c r="V6414" s="3"/>
      <c r="W6414" s="3"/>
      <c r="X6414" s="3"/>
      <c r="Y6414" s="3"/>
    </row>
    <row r="6415">
      <c r="A6415" s="3"/>
      <c r="B6415" s="3"/>
      <c r="C6415" s="3"/>
      <c r="D6415" s="3"/>
      <c r="E6415" s="3"/>
      <c r="F6415" s="3"/>
      <c r="G6415" s="3"/>
      <c r="H6415" s="3"/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  <c r="T6415" s="3"/>
      <c r="U6415" s="3"/>
      <c r="V6415" s="3"/>
      <c r="W6415" s="3"/>
      <c r="X6415" s="3"/>
      <c r="Y6415" s="3"/>
    </row>
    <row r="6416">
      <c r="A6416" s="3"/>
      <c r="B6416" s="3"/>
      <c r="C6416" s="3"/>
      <c r="D6416" s="3"/>
      <c r="E6416" s="3"/>
      <c r="F6416" s="3"/>
      <c r="G6416" s="3"/>
      <c r="H6416" s="3"/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  <c r="T6416" s="3"/>
      <c r="U6416" s="3"/>
      <c r="V6416" s="3"/>
      <c r="W6416" s="3"/>
      <c r="X6416" s="3"/>
      <c r="Y6416" s="3"/>
    </row>
    <row r="6417">
      <c r="A6417" s="3"/>
      <c r="B6417" s="3"/>
      <c r="C6417" s="3"/>
      <c r="D6417" s="3"/>
      <c r="E6417" s="3"/>
      <c r="F6417" s="3"/>
      <c r="G6417" s="3"/>
      <c r="H6417" s="3"/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  <c r="T6417" s="3"/>
      <c r="U6417" s="3"/>
      <c r="V6417" s="3"/>
      <c r="W6417" s="3"/>
      <c r="X6417" s="3"/>
      <c r="Y6417" s="3"/>
    </row>
    <row r="6418">
      <c r="A6418" s="3"/>
      <c r="B6418" s="3"/>
      <c r="C6418" s="3"/>
      <c r="D6418" s="3"/>
      <c r="E6418" s="3"/>
      <c r="F6418" s="3"/>
      <c r="G6418" s="3"/>
      <c r="H6418" s="3"/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  <c r="T6418" s="3"/>
      <c r="U6418" s="3"/>
      <c r="V6418" s="3"/>
      <c r="W6418" s="3"/>
      <c r="X6418" s="3"/>
      <c r="Y6418" s="3"/>
    </row>
    <row r="6419">
      <c r="A6419" s="3"/>
      <c r="B6419" s="3"/>
      <c r="C6419" s="3"/>
      <c r="D6419" s="3"/>
      <c r="E6419" s="3"/>
      <c r="F6419" s="3"/>
      <c r="G6419" s="3"/>
      <c r="H6419" s="3"/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  <c r="T6419" s="3"/>
      <c r="U6419" s="3"/>
      <c r="V6419" s="3"/>
      <c r="W6419" s="3"/>
      <c r="X6419" s="3"/>
      <c r="Y6419" s="3"/>
    </row>
    <row r="6420">
      <c r="A6420" s="3"/>
      <c r="B6420" s="3"/>
      <c r="C6420" s="3"/>
      <c r="D6420" s="3"/>
      <c r="E6420" s="3"/>
      <c r="F6420" s="3"/>
      <c r="G6420" s="3"/>
      <c r="H6420" s="3"/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  <c r="T6420" s="3"/>
      <c r="U6420" s="3"/>
      <c r="V6420" s="3"/>
      <c r="W6420" s="3"/>
      <c r="X6420" s="3"/>
      <c r="Y6420" s="3"/>
    </row>
    <row r="6421">
      <c r="A6421" s="3"/>
      <c r="B6421" s="3"/>
      <c r="C6421" s="3"/>
      <c r="D6421" s="3"/>
      <c r="E6421" s="3"/>
      <c r="F6421" s="3"/>
      <c r="G6421" s="3"/>
      <c r="H6421" s="3"/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  <c r="T6421" s="3"/>
      <c r="U6421" s="3"/>
      <c r="V6421" s="3"/>
      <c r="W6421" s="3"/>
      <c r="X6421" s="3"/>
      <c r="Y6421" s="3"/>
    </row>
    <row r="6422">
      <c r="A6422" s="3"/>
      <c r="B6422" s="3"/>
      <c r="C6422" s="3"/>
      <c r="D6422" s="3"/>
      <c r="E6422" s="3"/>
      <c r="F6422" s="3"/>
      <c r="G6422" s="3"/>
      <c r="H6422" s="3"/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  <c r="T6422" s="3"/>
      <c r="U6422" s="3"/>
      <c r="V6422" s="3"/>
      <c r="W6422" s="3"/>
      <c r="X6422" s="3"/>
      <c r="Y6422" s="3"/>
    </row>
    <row r="6423">
      <c r="A6423" s="3"/>
      <c r="B6423" s="3"/>
      <c r="C6423" s="3"/>
      <c r="D6423" s="3"/>
      <c r="E6423" s="3"/>
      <c r="F6423" s="3"/>
      <c r="G6423" s="3"/>
      <c r="H6423" s="3"/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  <c r="T6423" s="3"/>
      <c r="U6423" s="3"/>
      <c r="V6423" s="3"/>
      <c r="W6423" s="3"/>
      <c r="X6423" s="3"/>
      <c r="Y6423" s="3"/>
    </row>
    <row r="6424">
      <c r="A6424" s="3"/>
      <c r="B6424" s="3"/>
      <c r="C6424" s="3"/>
      <c r="D6424" s="3"/>
      <c r="E6424" s="3"/>
      <c r="F6424" s="3"/>
      <c r="G6424" s="3"/>
      <c r="H6424" s="3"/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  <c r="T6424" s="3"/>
      <c r="U6424" s="3"/>
      <c r="V6424" s="3"/>
      <c r="W6424" s="3"/>
      <c r="X6424" s="3"/>
      <c r="Y6424" s="3"/>
    </row>
    <row r="6425">
      <c r="A6425" s="3"/>
      <c r="B6425" s="3"/>
      <c r="C6425" s="3"/>
      <c r="D6425" s="3"/>
      <c r="E6425" s="3"/>
      <c r="F6425" s="3"/>
      <c r="G6425" s="3"/>
      <c r="H6425" s="3"/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  <c r="T6425" s="3"/>
      <c r="U6425" s="3"/>
      <c r="V6425" s="3"/>
      <c r="W6425" s="3"/>
      <c r="X6425" s="3"/>
      <c r="Y6425" s="3"/>
    </row>
    <row r="6426">
      <c r="A6426" s="3"/>
      <c r="B6426" s="3"/>
      <c r="C6426" s="3"/>
      <c r="D6426" s="3"/>
      <c r="E6426" s="3"/>
      <c r="F6426" s="3"/>
      <c r="G6426" s="3"/>
      <c r="H6426" s="3"/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  <c r="T6426" s="3"/>
      <c r="U6426" s="3"/>
      <c r="V6426" s="3"/>
      <c r="W6426" s="3"/>
      <c r="X6426" s="3"/>
      <c r="Y6426" s="3"/>
    </row>
    <row r="6427">
      <c r="A6427" s="3"/>
      <c r="B6427" s="3"/>
      <c r="C6427" s="3"/>
      <c r="D6427" s="3"/>
      <c r="E6427" s="3"/>
      <c r="F6427" s="3"/>
      <c r="G6427" s="3"/>
      <c r="H6427" s="3"/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  <c r="T6427" s="3"/>
      <c r="U6427" s="3"/>
      <c r="V6427" s="3"/>
      <c r="W6427" s="3"/>
      <c r="X6427" s="3"/>
      <c r="Y6427" s="3"/>
    </row>
    <row r="6428">
      <c r="A6428" s="3"/>
      <c r="B6428" s="3"/>
      <c r="C6428" s="3"/>
      <c r="D6428" s="3"/>
      <c r="E6428" s="3"/>
      <c r="F6428" s="3"/>
      <c r="G6428" s="3"/>
      <c r="H6428" s="3"/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  <c r="T6428" s="3"/>
      <c r="U6428" s="3"/>
      <c r="V6428" s="3"/>
      <c r="W6428" s="3"/>
      <c r="X6428" s="3"/>
      <c r="Y6428" s="3"/>
    </row>
    <row r="6429">
      <c r="A6429" s="3"/>
      <c r="B6429" s="3"/>
      <c r="C6429" s="3"/>
      <c r="D6429" s="3"/>
      <c r="E6429" s="3"/>
      <c r="F6429" s="3"/>
      <c r="G6429" s="3"/>
      <c r="H6429" s="3"/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  <c r="T6429" s="3"/>
      <c r="U6429" s="3"/>
      <c r="V6429" s="3"/>
      <c r="W6429" s="3"/>
      <c r="X6429" s="3"/>
      <c r="Y6429" s="3"/>
    </row>
    <row r="6430">
      <c r="A6430" s="3"/>
      <c r="B6430" s="3"/>
      <c r="C6430" s="3"/>
      <c r="D6430" s="3"/>
      <c r="E6430" s="3"/>
      <c r="F6430" s="3"/>
      <c r="G6430" s="3"/>
      <c r="H6430" s="3"/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  <c r="T6430" s="3"/>
      <c r="U6430" s="3"/>
      <c r="V6430" s="3"/>
      <c r="W6430" s="3"/>
      <c r="X6430" s="3"/>
      <c r="Y6430" s="3"/>
    </row>
    <row r="6431">
      <c r="A6431" s="3"/>
      <c r="B6431" s="3"/>
      <c r="C6431" s="3"/>
      <c r="D6431" s="3"/>
      <c r="E6431" s="3"/>
      <c r="F6431" s="3"/>
      <c r="G6431" s="3"/>
      <c r="H6431" s="3"/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  <c r="T6431" s="3"/>
      <c r="U6431" s="3"/>
      <c r="V6431" s="3"/>
      <c r="W6431" s="3"/>
      <c r="X6431" s="3"/>
      <c r="Y6431" s="3"/>
    </row>
    <row r="6432">
      <c r="A6432" s="3"/>
      <c r="B6432" s="3"/>
      <c r="C6432" s="3"/>
      <c r="D6432" s="3"/>
      <c r="E6432" s="3"/>
      <c r="F6432" s="3"/>
      <c r="G6432" s="3"/>
      <c r="H6432" s="3"/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  <c r="T6432" s="3"/>
      <c r="U6432" s="3"/>
      <c r="V6432" s="3"/>
      <c r="W6432" s="3"/>
      <c r="X6432" s="3"/>
      <c r="Y6432" s="3"/>
    </row>
    <row r="6433">
      <c r="A6433" s="3"/>
      <c r="B6433" s="3"/>
      <c r="C6433" s="3"/>
      <c r="D6433" s="3"/>
      <c r="E6433" s="3"/>
      <c r="F6433" s="3"/>
      <c r="G6433" s="3"/>
      <c r="H6433" s="3"/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  <c r="T6433" s="3"/>
      <c r="U6433" s="3"/>
      <c r="V6433" s="3"/>
      <c r="W6433" s="3"/>
      <c r="X6433" s="3"/>
      <c r="Y6433" s="3"/>
    </row>
    <row r="6434">
      <c r="A6434" s="3"/>
      <c r="B6434" s="3"/>
      <c r="C6434" s="3"/>
      <c r="D6434" s="3"/>
      <c r="E6434" s="3"/>
      <c r="F6434" s="3"/>
      <c r="G6434" s="3"/>
      <c r="H6434" s="3"/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  <c r="T6434" s="3"/>
      <c r="U6434" s="3"/>
      <c r="V6434" s="3"/>
      <c r="W6434" s="3"/>
      <c r="X6434" s="3"/>
      <c r="Y6434" s="3"/>
    </row>
    <row r="6435">
      <c r="A6435" s="3"/>
      <c r="B6435" s="3"/>
      <c r="C6435" s="3"/>
      <c r="D6435" s="3"/>
      <c r="E6435" s="3"/>
      <c r="F6435" s="3"/>
      <c r="G6435" s="3"/>
      <c r="H6435" s="3"/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  <c r="T6435" s="3"/>
      <c r="U6435" s="3"/>
      <c r="V6435" s="3"/>
      <c r="W6435" s="3"/>
      <c r="X6435" s="3"/>
      <c r="Y6435" s="3"/>
    </row>
    <row r="6436">
      <c r="A6436" s="3"/>
      <c r="B6436" s="3"/>
      <c r="C6436" s="3"/>
      <c r="D6436" s="3"/>
      <c r="E6436" s="3"/>
      <c r="F6436" s="3"/>
      <c r="G6436" s="3"/>
      <c r="H6436" s="3"/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  <c r="T6436" s="3"/>
      <c r="U6436" s="3"/>
      <c r="V6436" s="3"/>
      <c r="W6436" s="3"/>
      <c r="X6436" s="3"/>
      <c r="Y6436" s="3"/>
    </row>
    <row r="6437">
      <c r="A6437" s="3"/>
      <c r="B6437" s="3"/>
      <c r="C6437" s="3"/>
      <c r="D6437" s="3"/>
      <c r="E6437" s="3"/>
      <c r="F6437" s="3"/>
      <c r="G6437" s="3"/>
      <c r="H6437" s="3"/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  <c r="T6437" s="3"/>
      <c r="U6437" s="3"/>
      <c r="V6437" s="3"/>
      <c r="W6437" s="3"/>
      <c r="X6437" s="3"/>
      <c r="Y6437" s="3"/>
    </row>
    <row r="6438">
      <c r="A6438" s="3"/>
      <c r="B6438" s="3"/>
      <c r="C6438" s="3"/>
      <c r="D6438" s="3"/>
      <c r="E6438" s="3"/>
      <c r="F6438" s="3"/>
      <c r="G6438" s="3"/>
      <c r="H6438" s="3"/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  <c r="T6438" s="3"/>
      <c r="U6438" s="3"/>
      <c r="V6438" s="3"/>
      <c r="W6438" s="3"/>
      <c r="X6438" s="3"/>
      <c r="Y6438" s="3"/>
    </row>
    <row r="6439">
      <c r="A6439" s="3"/>
      <c r="B6439" s="3"/>
      <c r="C6439" s="3"/>
      <c r="D6439" s="3"/>
      <c r="E6439" s="3"/>
      <c r="F6439" s="3"/>
      <c r="G6439" s="3"/>
      <c r="H6439" s="3"/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  <c r="T6439" s="3"/>
      <c r="U6439" s="3"/>
      <c r="V6439" s="3"/>
      <c r="W6439" s="3"/>
      <c r="X6439" s="3"/>
      <c r="Y6439" s="3"/>
    </row>
    <row r="6440">
      <c r="A6440" s="3"/>
      <c r="B6440" s="3"/>
      <c r="C6440" s="3"/>
      <c r="D6440" s="3"/>
      <c r="E6440" s="3"/>
      <c r="F6440" s="3"/>
      <c r="G6440" s="3"/>
      <c r="H6440" s="3"/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  <c r="T6440" s="3"/>
      <c r="U6440" s="3"/>
      <c r="V6440" s="3"/>
      <c r="W6440" s="3"/>
      <c r="X6440" s="3"/>
      <c r="Y6440" s="3"/>
    </row>
    <row r="6441">
      <c r="A6441" s="3"/>
      <c r="B6441" s="3"/>
      <c r="C6441" s="3"/>
      <c r="D6441" s="3"/>
      <c r="E6441" s="3"/>
      <c r="F6441" s="3"/>
      <c r="G6441" s="3"/>
      <c r="H6441" s="3"/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  <c r="T6441" s="3"/>
      <c r="U6441" s="3"/>
      <c r="V6441" s="3"/>
      <c r="W6441" s="3"/>
      <c r="X6441" s="3"/>
      <c r="Y6441" s="3"/>
    </row>
    <row r="6442">
      <c r="A6442" s="3"/>
      <c r="B6442" s="3"/>
      <c r="C6442" s="3"/>
      <c r="D6442" s="3"/>
      <c r="E6442" s="3"/>
      <c r="F6442" s="3"/>
      <c r="G6442" s="3"/>
      <c r="H6442" s="3"/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  <c r="T6442" s="3"/>
      <c r="U6442" s="3"/>
      <c r="V6442" s="3"/>
      <c r="W6442" s="3"/>
      <c r="X6442" s="3"/>
      <c r="Y6442" s="3"/>
    </row>
    <row r="6443">
      <c r="A6443" s="3"/>
      <c r="B6443" s="3"/>
      <c r="C6443" s="3"/>
      <c r="D6443" s="3"/>
      <c r="E6443" s="3"/>
      <c r="F6443" s="3"/>
      <c r="G6443" s="3"/>
      <c r="H6443" s="3"/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  <c r="T6443" s="3"/>
      <c r="U6443" s="3"/>
      <c r="V6443" s="3"/>
      <c r="W6443" s="3"/>
      <c r="X6443" s="3"/>
      <c r="Y6443" s="3"/>
    </row>
    <row r="6444">
      <c r="A6444" s="3"/>
      <c r="B6444" s="3"/>
      <c r="C6444" s="3"/>
      <c r="D6444" s="3"/>
      <c r="E6444" s="3"/>
      <c r="F6444" s="3"/>
      <c r="G6444" s="3"/>
      <c r="H6444" s="3"/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  <c r="T6444" s="3"/>
      <c r="U6444" s="3"/>
      <c r="V6444" s="3"/>
      <c r="W6444" s="3"/>
      <c r="X6444" s="3"/>
      <c r="Y6444" s="3"/>
    </row>
    <row r="6445">
      <c r="A6445" s="3"/>
      <c r="B6445" s="3"/>
      <c r="C6445" s="3"/>
      <c r="D6445" s="3"/>
      <c r="E6445" s="3"/>
      <c r="F6445" s="3"/>
      <c r="G6445" s="3"/>
      <c r="H6445" s="3"/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  <c r="T6445" s="3"/>
      <c r="U6445" s="3"/>
      <c r="V6445" s="3"/>
      <c r="W6445" s="3"/>
      <c r="X6445" s="3"/>
      <c r="Y6445" s="3"/>
    </row>
    <row r="6446">
      <c r="A6446" s="3"/>
      <c r="B6446" s="3"/>
      <c r="C6446" s="3"/>
      <c r="D6446" s="3"/>
      <c r="E6446" s="3"/>
      <c r="F6446" s="3"/>
      <c r="G6446" s="3"/>
      <c r="H6446" s="3"/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  <c r="T6446" s="3"/>
      <c r="U6446" s="3"/>
      <c r="V6446" s="3"/>
      <c r="W6446" s="3"/>
      <c r="X6446" s="3"/>
      <c r="Y6446" s="3"/>
    </row>
    <row r="6447">
      <c r="A6447" s="3"/>
      <c r="B6447" s="3"/>
      <c r="C6447" s="3"/>
      <c r="D6447" s="3"/>
      <c r="E6447" s="3"/>
      <c r="F6447" s="3"/>
      <c r="G6447" s="3"/>
      <c r="H6447" s="3"/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  <c r="T6447" s="3"/>
      <c r="U6447" s="3"/>
      <c r="V6447" s="3"/>
      <c r="W6447" s="3"/>
      <c r="X6447" s="3"/>
      <c r="Y6447" s="3"/>
    </row>
    <row r="6448">
      <c r="A6448" s="3"/>
      <c r="B6448" s="3"/>
      <c r="C6448" s="3"/>
      <c r="D6448" s="3"/>
      <c r="E6448" s="3"/>
      <c r="F6448" s="3"/>
      <c r="G6448" s="3"/>
      <c r="H6448" s="3"/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  <c r="T6448" s="3"/>
      <c r="U6448" s="3"/>
      <c r="V6448" s="3"/>
      <c r="W6448" s="3"/>
      <c r="X6448" s="3"/>
      <c r="Y6448" s="3"/>
    </row>
    <row r="6449">
      <c r="A6449" s="3"/>
      <c r="B6449" s="3"/>
      <c r="C6449" s="3"/>
      <c r="D6449" s="3"/>
      <c r="E6449" s="3"/>
      <c r="F6449" s="3"/>
      <c r="G6449" s="3"/>
      <c r="H6449" s="3"/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  <c r="T6449" s="3"/>
      <c r="U6449" s="3"/>
      <c r="V6449" s="3"/>
      <c r="W6449" s="3"/>
      <c r="X6449" s="3"/>
      <c r="Y6449" s="3"/>
    </row>
    <row r="6450">
      <c r="A6450" s="3"/>
      <c r="B6450" s="3"/>
      <c r="C6450" s="3"/>
      <c r="D6450" s="3"/>
      <c r="E6450" s="3"/>
      <c r="F6450" s="3"/>
      <c r="G6450" s="3"/>
      <c r="H6450" s="3"/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  <c r="T6450" s="3"/>
      <c r="U6450" s="3"/>
      <c r="V6450" s="3"/>
      <c r="W6450" s="3"/>
      <c r="X6450" s="3"/>
      <c r="Y6450" s="3"/>
    </row>
    <row r="6451">
      <c r="A6451" s="3"/>
      <c r="B6451" s="3"/>
      <c r="C6451" s="3"/>
      <c r="D6451" s="3"/>
      <c r="E6451" s="3"/>
      <c r="F6451" s="3"/>
      <c r="G6451" s="3"/>
      <c r="H6451" s="3"/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  <c r="T6451" s="3"/>
      <c r="U6451" s="3"/>
      <c r="V6451" s="3"/>
      <c r="W6451" s="3"/>
      <c r="X6451" s="3"/>
      <c r="Y6451" s="3"/>
    </row>
    <row r="6452">
      <c r="A6452" s="3"/>
      <c r="B6452" s="3"/>
      <c r="C6452" s="3"/>
      <c r="D6452" s="3"/>
      <c r="E6452" s="3"/>
      <c r="F6452" s="3"/>
      <c r="G6452" s="3"/>
      <c r="H6452" s="3"/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  <c r="T6452" s="3"/>
      <c r="U6452" s="3"/>
      <c r="V6452" s="3"/>
      <c r="W6452" s="3"/>
      <c r="X6452" s="3"/>
      <c r="Y6452" s="3"/>
    </row>
    <row r="6453">
      <c r="A6453" s="3"/>
      <c r="B6453" s="3"/>
      <c r="C6453" s="3"/>
      <c r="D6453" s="3"/>
      <c r="E6453" s="3"/>
      <c r="F6453" s="3"/>
      <c r="G6453" s="3"/>
      <c r="H6453" s="3"/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  <c r="T6453" s="3"/>
      <c r="U6453" s="3"/>
      <c r="V6453" s="3"/>
      <c r="W6453" s="3"/>
      <c r="X6453" s="3"/>
      <c r="Y6453" s="3"/>
    </row>
    <row r="6454">
      <c r="A6454" s="3"/>
      <c r="B6454" s="3"/>
      <c r="C6454" s="3"/>
      <c r="D6454" s="3"/>
      <c r="E6454" s="3"/>
      <c r="F6454" s="3"/>
      <c r="G6454" s="3"/>
      <c r="H6454" s="3"/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  <c r="T6454" s="3"/>
      <c r="U6454" s="3"/>
      <c r="V6454" s="3"/>
      <c r="W6454" s="3"/>
      <c r="X6454" s="3"/>
      <c r="Y6454" s="3"/>
    </row>
    <row r="6455">
      <c r="A6455" s="3"/>
      <c r="B6455" s="3"/>
      <c r="C6455" s="3"/>
      <c r="D6455" s="3"/>
      <c r="E6455" s="3"/>
      <c r="F6455" s="3"/>
      <c r="G6455" s="3"/>
      <c r="H6455" s="3"/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  <c r="T6455" s="3"/>
      <c r="U6455" s="3"/>
      <c r="V6455" s="3"/>
      <c r="W6455" s="3"/>
      <c r="X6455" s="3"/>
      <c r="Y6455" s="3"/>
    </row>
    <row r="6456">
      <c r="A6456" s="3"/>
      <c r="B6456" s="3"/>
      <c r="C6456" s="3"/>
      <c r="D6456" s="3"/>
      <c r="E6456" s="3"/>
      <c r="F6456" s="3"/>
      <c r="G6456" s="3"/>
      <c r="H6456" s="3"/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  <c r="T6456" s="3"/>
      <c r="U6456" s="3"/>
      <c r="V6456" s="3"/>
      <c r="W6456" s="3"/>
      <c r="X6456" s="3"/>
      <c r="Y6456" s="3"/>
    </row>
    <row r="6457">
      <c r="A6457" s="3"/>
      <c r="B6457" s="3"/>
      <c r="C6457" s="3"/>
      <c r="D6457" s="3"/>
      <c r="E6457" s="3"/>
      <c r="F6457" s="3"/>
      <c r="G6457" s="3"/>
      <c r="H6457" s="3"/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  <c r="T6457" s="3"/>
      <c r="U6457" s="3"/>
      <c r="V6457" s="3"/>
      <c r="W6457" s="3"/>
      <c r="X6457" s="3"/>
      <c r="Y6457" s="3"/>
    </row>
    <row r="6458">
      <c r="A6458" s="3"/>
      <c r="B6458" s="3"/>
      <c r="C6458" s="3"/>
      <c r="D6458" s="3"/>
      <c r="E6458" s="3"/>
      <c r="F6458" s="3"/>
      <c r="G6458" s="3"/>
      <c r="H6458" s="3"/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  <c r="T6458" s="3"/>
      <c r="U6458" s="3"/>
      <c r="V6458" s="3"/>
      <c r="W6458" s="3"/>
      <c r="X6458" s="3"/>
      <c r="Y6458" s="3"/>
    </row>
    <row r="6459">
      <c r="A6459" s="3"/>
      <c r="B6459" s="3"/>
      <c r="C6459" s="3"/>
      <c r="D6459" s="3"/>
      <c r="E6459" s="3"/>
      <c r="F6459" s="3"/>
      <c r="G6459" s="3"/>
      <c r="H6459" s="3"/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  <c r="T6459" s="3"/>
      <c r="U6459" s="3"/>
      <c r="V6459" s="3"/>
      <c r="W6459" s="3"/>
      <c r="X6459" s="3"/>
      <c r="Y6459" s="3"/>
    </row>
    <row r="6460">
      <c r="A6460" s="3"/>
      <c r="B6460" s="3"/>
      <c r="C6460" s="3"/>
      <c r="D6460" s="3"/>
      <c r="E6460" s="3"/>
      <c r="F6460" s="3"/>
      <c r="G6460" s="3"/>
      <c r="H6460" s="3"/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  <c r="T6460" s="3"/>
      <c r="U6460" s="3"/>
      <c r="V6460" s="3"/>
      <c r="W6460" s="3"/>
      <c r="X6460" s="3"/>
      <c r="Y6460" s="3"/>
    </row>
    <row r="6461">
      <c r="A6461" s="3"/>
      <c r="B6461" s="3"/>
      <c r="C6461" s="3"/>
      <c r="D6461" s="3"/>
      <c r="E6461" s="3"/>
      <c r="F6461" s="3"/>
      <c r="G6461" s="3"/>
      <c r="H6461" s="3"/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  <c r="T6461" s="3"/>
      <c r="U6461" s="3"/>
      <c r="V6461" s="3"/>
      <c r="W6461" s="3"/>
      <c r="X6461" s="3"/>
      <c r="Y6461" s="3"/>
    </row>
    <row r="6462">
      <c r="A6462" s="3"/>
      <c r="B6462" s="3"/>
      <c r="C6462" s="3"/>
      <c r="D6462" s="3"/>
      <c r="E6462" s="3"/>
      <c r="F6462" s="3"/>
      <c r="G6462" s="3"/>
      <c r="H6462" s="3"/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  <c r="T6462" s="3"/>
      <c r="U6462" s="3"/>
      <c r="V6462" s="3"/>
      <c r="W6462" s="3"/>
      <c r="X6462" s="3"/>
      <c r="Y6462" s="3"/>
    </row>
    <row r="6463">
      <c r="A6463" s="3"/>
      <c r="B6463" s="3"/>
      <c r="C6463" s="3"/>
      <c r="D6463" s="3"/>
      <c r="E6463" s="3"/>
      <c r="F6463" s="3"/>
      <c r="G6463" s="3"/>
      <c r="H6463" s="3"/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  <c r="T6463" s="3"/>
      <c r="U6463" s="3"/>
      <c r="V6463" s="3"/>
      <c r="W6463" s="3"/>
      <c r="X6463" s="3"/>
      <c r="Y6463" s="3"/>
    </row>
    <row r="6464">
      <c r="A6464" s="3"/>
      <c r="B6464" s="3"/>
      <c r="C6464" s="3"/>
      <c r="D6464" s="3"/>
      <c r="E6464" s="3"/>
      <c r="F6464" s="3"/>
      <c r="G6464" s="3"/>
      <c r="H6464" s="3"/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  <c r="T6464" s="3"/>
      <c r="U6464" s="3"/>
      <c r="V6464" s="3"/>
      <c r="W6464" s="3"/>
      <c r="X6464" s="3"/>
      <c r="Y6464" s="3"/>
    </row>
    <row r="6465">
      <c r="A6465" s="3"/>
      <c r="B6465" s="3"/>
      <c r="C6465" s="3"/>
      <c r="D6465" s="3"/>
      <c r="E6465" s="3"/>
      <c r="F6465" s="3"/>
      <c r="G6465" s="3"/>
      <c r="H6465" s="3"/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  <c r="T6465" s="3"/>
      <c r="U6465" s="3"/>
      <c r="V6465" s="3"/>
      <c r="W6465" s="3"/>
      <c r="X6465" s="3"/>
      <c r="Y6465" s="3"/>
    </row>
    <row r="6466">
      <c r="A6466" s="3"/>
      <c r="B6466" s="3"/>
      <c r="C6466" s="3"/>
      <c r="D6466" s="3"/>
      <c r="E6466" s="3"/>
      <c r="F6466" s="3"/>
      <c r="G6466" s="3"/>
      <c r="H6466" s="3"/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  <c r="T6466" s="3"/>
      <c r="U6466" s="3"/>
      <c r="V6466" s="3"/>
      <c r="W6466" s="3"/>
      <c r="X6466" s="3"/>
      <c r="Y6466" s="3"/>
    </row>
    <row r="6467">
      <c r="A6467" s="3"/>
      <c r="B6467" s="3"/>
      <c r="C6467" s="3"/>
      <c r="D6467" s="3"/>
      <c r="E6467" s="3"/>
      <c r="F6467" s="3"/>
      <c r="G6467" s="3"/>
      <c r="H6467" s="3"/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  <c r="T6467" s="3"/>
      <c r="U6467" s="3"/>
      <c r="V6467" s="3"/>
      <c r="W6467" s="3"/>
      <c r="X6467" s="3"/>
      <c r="Y6467" s="3"/>
    </row>
    <row r="6468">
      <c r="A6468" s="3"/>
      <c r="B6468" s="3"/>
      <c r="C6468" s="3"/>
      <c r="D6468" s="3"/>
      <c r="E6468" s="3"/>
      <c r="F6468" s="3"/>
      <c r="G6468" s="3"/>
      <c r="H6468" s="3"/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  <c r="T6468" s="3"/>
      <c r="U6468" s="3"/>
      <c r="V6468" s="3"/>
      <c r="W6468" s="3"/>
      <c r="X6468" s="3"/>
      <c r="Y6468" s="3"/>
    </row>
    <row r="6469">
      <c r="A6469" s="3"/>
      <c r="B6469" s="3"/>
      <c r="C6469" s="3"/>
      <c r="D6469" s="3"/>
      <c r="E6469" s="3"/>
      <c r="F6469" s="3"/>
      <c r="G6469" s="3"/>
      <c r="H6469" s="3"/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  <c r="T6469" s="3"/>
      <c r="U6469" s="3"/>
      <c r="V6469" s="3"/>
      <c r="W6469" s="3"/>
      <c r="X6469" s="3"/>
      <c r="Y6469" s="3"/>
    </row>
    <row r="6470">
      <c r="A6470" s="3"/>
      <c r="B6470" s="3"/>
      <c r="C6470" s="3"/>
      <c r="D6470" s="3"/>
      <c r="E6470" s="3"/>
      <c r="F6470" s="3"/>
      <c r="G6470" s="3"/>
      <c r="H6470" s="3"/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  <c r="T6470" s="3"/>
      <c r="U6470" s="3"/>
      <c r="V6470" s="3"/>
      <c r="W6470" s="3"/>
      <c r="X6470" s="3"/>
      <c r="Y6470" s="3"/>
    </row>
    <row r="6471">
      <c r="A6471" s="3"/>
      <c r="B6471" s="3"/>
      <c r="C6471" s="3"/>
      <c r="D6471" s="3"/>
      <c r="E6471" s="3"/>
      <c r="F6471" s="3"/>
      <c r="G6471" s="3"/>
      <c r="H6471" s="3"/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  <c r="T6471" s="3"/>
      <c r="U6471" s="3"/>
      <c r="V6471" s="3"/>
      <c r="W6471" s="3"/>
      <c r="X6471" s="3"/>
      <c r="Y6471" s="3"/>
    </row>
    <row r="6472">
      <c r="A6472" s="3"/>
      <c r="B6472" s="3"/>
      <c r="C6472" s="3"/>
      <c r="D6472" s="3"/>
      <c r="E6472" s="3"/>
      <c r="F6472" s="3"/>
      <c r="G6472" s="3"/>
      <c r="H6472" s="3"/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  <c r="T6472" s="3"/>
      <c r="U6472" s="3"/>
      <c r="V6472" s="3"/>
      <c r="W6472" s="3"/>
      <c r="X6472" s="3"/>
      <c r="Y6472" s="3"/>
    </row>
    <row r="6473">
      <c r="A6473" s="3"/>
      <c r="B6473" s="3"/>
      <c r="C6473" s="3"/>
      <c r="D6473" s="3"/>
      <c r="E6473" s="3"/>
      <c r="F6473" s="3"/>
      <c r="G6473" s="3"/>
      <c r="H6473" s="3"/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  <c r="T6473" s="3"/>
      <c r="U6473" s="3"/>
      <c r="V6473" s="3"/>
      <c r="W6473" s="3"/>
      <c r="X6473" s="3"/>
      <c r="Y6473" s="3"/>
    </row>
    <row r="6474">
      <c r="A6474" s="3"/>
      <c r="B6474" s="3"/>
      <c r="C6474" s="3"/>
      <c r="D6474" s="3"/>
      <c r="E6474" s="3"/>
      <c r="F6474" s="3"/>
      <c r="G6474" s="3"/>
      <c r="H6474" s="3"/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  <c r="T6474" s="3"/>
      <c r="U6474" s="3"/>
      <c r="V6474" s="3"/>
      <c r="W6474" s="3"/>
      <c r="X6474" s="3"/>
      <c r="Y6474" s="3"/>
    </row>
    <row r="6475">
      <c r="A6475" s="3"/>
      <c r="B6475" s="3"/>
      <c r="C6475" s="3"/>
      <c r="D6475" s="3"/>
      <c r="E6475" s="3"/>
      <c r="F6475" s="3"/>
      <c r="G6475" s="3"/>
      <c r="H6475" s="3"/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  <c r="T6475" s="3"/>
      <c r="U6475" s="3"/>
      <c r="V6475" s="3"/>
      <c r="W6475" s="3"/>
      <c r="X6475" s="3"/>
      <c r="Y6475" s="3"/>
    </row>
    <row r="6476">
      <c r="A6476" s="3"/>
      <c r="B6476" s="3"/>
      <c r="C6476" s="3"/>
      <c r="D6476" s="3"/>
      <c r="E6476" s="3"/>
      <c r="F6476" s="3"/>
      <c r="G6476" s="3"/>
      <c r="H6476" s="3"/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  <c r="T6476" s="3"/>
      <c r="U6476" s="3"/>
      <c r="V6476" s="3"/>
      <c r="W6476" s="3"/>
      <c r="X6476" s="3"/>
      <c r="Y6476" s="3"/>
    </row>
    <row r="6477">
      <c r="A6477" s="3"/>
      <c r="B6477" s="3"/>
      <c r="C6477" s="3"/>
      <c r="D6477" s="3"/>
      <c r="E6477" s="3"/>
      <c r="F6477" s="3"/>
      <c r="G6477" s="3"/>
      <c r="H6477" s="3"/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  <c r="T6477" s="3"/>
      <c r="U6477" s="3"/>
      <c r="V6477" s="3"/>
      <c r="W6477" s="3"/>
      <c r="X6477" s="3"/>
      <c r="Y6477" s="3"/>
    </row>
    <row r="6478">
      <c r="A6478" s="3"/>
      <c r="B6478" s="3"/>
      <c r="C6478" s="3"/>
      <c r="D6478" s="3"/>
      <c r="E6478" s="3"/>
      <c r="F6478" s="3"/>
      <c r="G6478" s="3"/>
      <c r="H6478" s="3"/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  <c r="T6478" s="3"/>
      <c r="U6478" s="3"/>
      <c r="V6478" s="3"/>
      <c r="W6478" s="3"/>
      <c r="X6478" s="3"/>
      <c r="Y6478" s="3"/>
    </row>
    <row r="6479">
      <c r="A6479" s="3"/>
      <c r="B6479" s="3"/>
      <c r="C6479" s="3"/>
      <c r="D6479" s="3"/>
      <c r="E6479" s="3"/>
      <c r="F6479" s="3"/>
      <c r="G6479" s="3"/>
      <c r="H6479" s="3"/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  <c r="T6479" s="3"/>
      <c r="U6479" s="3"/>
      <c r="V6479" s="3"/>
      <c r="W6479" s="3"/>
      <c r="X6479" s="3"/>
      <c r="Y6479" s="3"/>
    </row>
    <row r="6480">
      <c r="A6480" s="3"/>
      <c r="B6480" s="3"/>
      <c r="C6480" s="3"/>
      <c r="D6480" s="3"/>
      <c r="E6480" s="3"/>
      <c r="F6480" s="3"/>
      <c r="G6480" s="3"/>
      <c r="H6480" s="3"/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  <c r="T6480" s="3"/>
      <c r="U6480" s="3"/>
      <c r="V6480" s="3"/>
      <c r="W6480" s="3"/>
      <c r="X6480" s="3"/>
      <c r="Y6480" s="3"/>
    </row>
    <row r="6481">
      <c r="A6481" s="3"/>
      <c r="B6481" s="3"/>
      <c r="C6481" s="3"/>
      <c r="D6481" s="3"/>
      <c r="E6481" s="3"/>
      <c r="F6481" s="3"/>
      <c r="G6481" s="3"/>
      <c r="H6481" s="3"/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  <c r="T6481" s="3"/>
      <c r="U6481" s="3"/>
      <c r="V6481" s="3"/>
      <c r="W6481" s="3"/>
      <c r="X6481" s="3"/>
      <c r="Y6481" s="3"/>
    </row>
    <row r="6482">
      <c r="A6482" s="3"/>
      <c r="B6482" s="3"/>
      <c r="C6482" s="3"/>
      <c r="D6482" s="3"/>
      <c r="E6482" s="3"/>
      <c r="F6482" s="3"/>
      <c r="G6482" s="3"/>
      <c r="H6482" s="3"/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  <c r="T6482" s="3"/>
      <c r="U6482" s="3"/>
      <c r="V6482" s="3"/>
      <c r="W6482" s="3"/>
      <c r="X6482" s="3"/>
      <c r="Y6482" s="3"/>
    </row>
    <row r="6483">
      <c r="A6483" s="3"/>
      <c r="B6483" s="3"/>
      <c r="C6483" s="3"/>
      <c r="D6483" s="3"/>
      <c r="E6483" s="3"/>
      <c r="F6483" s="3"/>
      <c r="G6483" s="3"/>
      <c r="H6483" s="3"/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  <c r="T6483" s="3"/>
      <c r="U6483" s="3"/>
      <c r="V6483" s="3"/>
      <c r="W6483" s="3"/>
      <c r="X6483" s="3"/>
      <c r="Y6483" s="3"/>
    </row>
    <row r="6484">
      <c r="A6484" s="3"/>
      <c r="B6484" s="3"/>
      <c r="C6484" s="3"/>
      <c r="D6484" s="3"/>
      <c r="E6484" s="3"/>
      <c r="F6484" s="3"/>
      <c r="G6484" s="3"/>
      <c r="H6484" s="3"/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  <c r="T6484" s="3"/>
      <c r="U6484" s="3"/>
      <c r="V6484" s="3"/>
      <c r="W6484" s="3"/>
      <c r="X6484" s="3"/>
      <c r="Y6484" s="3"/>
    </row>
    <row r="6485">
      <c r="A6485" s="3"/>
      <c r="B6485" s="3"/>
      <c r="C6485" s="3"/>
      <c r="D6485" s="3"/>
      <c r="E6485" s="3"/>
      <c r="F6485" s="3"/>
      <c r="G6485" s="3"/>
      <c r="H6485" s="3"/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  <c r="T6485" s="3"/>
      <c r="U6485" s="3"/>
      <c r="V6485" s="3"/>
      <c r="W6485" s="3"/>
      <c r="X6485" s="3"/>
      <c r="Y6485" s="3"/>
    </row>
    <row r="6486">
      <c r="A6486" s="3"/>
      <c r="B6486" s="3"/>
      <c r="C6486" s="3"/>
      <c r="D6486" s="3"/>
      <c r="E6486" s="3"/>
      <c r="F6486" s="3"/>
      <c r="G6486" s="3"/>
      <c r="H6486" s="3"/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  <c r="T6486" s="3"/>
      <c r="U6486" s="3"/>
      <c r="V6486" s="3"/>
      <c r="W6486" s="3"/>
      <c r="X6486" s="3"/>
      <c r="Y6486" s="3"/>
    </row>
    <row r="6487">
      <c r="A6487" s="3"/>
      <c r="B6487" s="3"/>
      <c r="C6487" s="3"/>
      <c r="D6487" s="3"/>
      <c r="E6487" s="3"/>
      <c r="F6487" s="3"/>
      <c r="G6487" s="3"/>
      <c r="H6487" s="3"/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  <c r="T6487" s="3"/>
      <c r="U6487" s="3"/>
      <c r="V6487" s="3"/>
      <c r="W6487" s="3"/>
      <c r="X6487" s="3"/>
      <c r="Y6487" s="3"/>
    </row>
    <row r="6488">
      <c r="A6488" s="3"/>
      <c r="B6488" s="3"/>
      <c r="C6488" s="3"/>
      <c r="D6488" s="3"/>
      <c r="E6488" s="3"/>
      <c r="F6488" s="3"/>
      <c r="G6488" s="3"/>
      <c r="H6488" s="3"/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  <c r="T6488" s="3"/>
      <c r="U6488" s="3"/>
      <c r="V6488" s="3"/>
      <c r="W6488" s="3"/>
      <c r="X6488" s="3"/>
      <c r="Y6488" s="3"/>
    </row>
    <row r="6489">
      <c r="A6489" s="3"/>
      <c r="B6489" s="3"/>
      <c r="C6489" s="3"/>
      <c r="D6489" s="3"/>
      <c r="E6489" s="3"/>
      <c r="F6489" s="3"/>
      <c r="G6489" s="3"/>
      <c r="H6489" s="3"/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  <c r="T6489" s="3"/>
      <c r="U6489" s="3"/>
      <c r="V6489" s="3"/>
      <c r="W6489" s="3"/>
      <c r="X6489" s="3"/>
      <c r="Y6489" s="3"/>
    </row>
    <row r="6490">
      <c r="A6490" s="3"/>
      <c r="B6490" s="3"/>
      <c r="C6490" s="3"/>
      <c r="D6490" s="3"/>
      <c r="E6490" s="3"/>
      <c r="F6490" s="3"/>
      <c r="G6490" s="3"/>
      <c r="H6490" s="3"/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  <c r="T6490" s="3"/>
      <c r="U6490" s="3"/>
      <c r="V6490" s="3"/>
      <c r="W6490" s="3"/>
      <c r="X6490" s="3"/>
      <c r="Y6490" s="3"/>
    </row>
    <row r="6491">
      <c r="A6491" s="3"/>
      <c r="B6491" s="3"/>
      <c r="C6491" s="3"/>
      <c r="D6491" s="3"/>
      <c r="E6491" s="3"/>
      <c r="F6491" s="3"/>
      <c r="G6491" s="3"/>
      <c r="H6491" s="3"/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  <c r="T6491" s="3"/>
      <c r="U6491" s="3"/>
      <c r="V6491" s="3"/>
      <c r="W6491" s="3"/>
      <c r="X6491" s="3"/>
      <c r="Y6491" s="3"/>
    </row>
    <row r="6492">
      <c r="A6492" s="3"/>
      <c r="B6492" s="3"/>
      <c r="C6492" s="3"/>
      <c r="D6492" s="3"/>
      <c r="E6492" s="3"/>
      <c r="F6492" s="3"/>
      <c r="G6492" s="3"/>
      <c r="H6492" s="3"/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  <c r="T6492" s="3"/>
      <c r="U6492" s="3"/>
      <c r="V6492" s="3"/>
      <c r="W6492" s="3"/>
      <c r="X6492" s="3"/>
      <c r="Y6492" s="3"/>
    </row>
    <row r="6493">
      <c r="A6493" s="3"/>
      <c r="B6493" s="3"/>
      <c r="C6493" s="3"/>
      <c r="D6493" s="3"/>
      <c r="E6493" s="3"/>
      <c r="F6493" s="3"/>
      <c r="G6493" s="3"/>
      <c r="H6493" s="3"/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  <c r="T6493" s="3"/>
      <c r="U6493" s="3"/>
      <c r="V6493" s="3"/>
      <c r="W6493" s="3"/>
      <c r="X6493" s="3"/>
      <c r="Y6493" s="3"/>
    </row>
    <row r="6494">
      <c r="A6494" s="3"/>
      <c r="B6494" s="3"/>
      <c r="C6494" s="3"/>
      <c r="D6494" s="3"/>
      <c r="E6494" s="3"/>
      <c r="F6494" s="3"/>
      <c r="G6494" s="3"/>
      <c r="H6494" s="3"/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  <c r="T6494" s="3"/>
      <c r="U6494" s="3"/>
      <c r="V6494" s="3"/>
      <c r="W6494" s="3"/>
      <c r="X6494" s="3"/>
      <c r="Y6494" s="3"/>
    </row>
    <row r="6495">
      <c r="A6495" s="3"/>
      <c r="B6495" s="3"/>
      <c r="C6495" s="3"/>
      <c r="D6495" s="3"/>
      <c r="E6495" s="3"/>
      <c r="F6495" s="3"/>
      <c r="G6495" s="3"/>
      <c r="H6495" s="3"/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  <c r="T6495" s="3"/>
      <c r="U6495" s="3"/>
      <c r="V6495" s="3"/>
      <c r="W6495" s="3"/>
      <c r="X6495" s="3"/>
      <c r="Y6495" s="3"/>
    </row>
    <row r="6496">
      <c r="A6496" s="3"/>
      <c r="B6496" s="3"/>
      <c r="C6496" s="3"/>
      <c r="D6496" s="3"/>
      <c r="E6496" s="3"/>
      <c r="F6496" s="3"/>
      <c r="G6496" s="3"/>
      <c r="H6496" s="3"/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  <c r="T6496" s="3"/>
      <c r="U6496" s="3"/>
      <c r="V6496" s="3"/>
      <c r="W6496" s="3"/>
      <c r="X6496" s="3"/>
      <c r="Y6496" s="3"/>
    </row>
    <row r="6497">
      <c r="A6497" s="3"/>
      <c r="B6497" s="3"/>
      <c r="C6497" s="3"/>
      <c r="D6497" s="3"/>
      <c r="E6497" s="3"/>
      <c r="F6497" s="3"/>
      <c r="G6497" s="3"/>
      <c r="H6497" s="3"/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  <c r="T6497" s="3"/>
      <c r="U6497" s="3"/>
      <c r="V6497" s="3"/>
      <c r="W6497" s="3"/>
      <c r="X6497" s="3"/>
      <c r="Y6497" s="3"/>
    </row>
    <row r="6498">
      <c r="A6498" s="3"/>
      <c r="B6498" s="3"/>
      <c r="C6498" s="3"/>
      <c r="D6498" s="3"/>
      <c r="E6498" s="3"/>
      <c r="F6498" s="3"/>
      <c r="G6498" s="3"/>
      <c r="H6498" s="3"/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  <c r="T6498" s="3"/>
      <c r="U6498" s="3"/>
      <c r="V6498" s="3"/>
      <c r="W6498" s="3"/>
      <c r="X6498" s="3"/>
      <c r="Y6498" s="3"/>
    </row>
    <row r="6499">
      <c r="A6499" s="3"/>
      <c r="B6499" s="3"/>
      <c r="C6499" s="3"/>
      <c r="D6499" s="3"/>
      <c r="E6499" s="3"/>
      <c r="F6499" s="3"/>
      <c r="G6499" s="3"/>
      <c r="H6499" s="3"/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  <c r="T6499" s="3"/>
      <c r="U6499" s="3"/>
      <c r="V6499" s="3"/>
      <c r="W6499" s="3"/>
      <c r="X6499" s="3"/>
      <c r="Y6499" s="3"/>
    </row>
    <row r="6500">
      <c r="A6500" s="3"/>
      <c r="B6500" s="3"/>
      <c r="C6500" s="3"/>
      <c r="D6500" s="3"/>
      <c r="E6500" s="3"/>
      <c r="F6500" s="3"/>
      <c r="G6500" s="3"/>
      <c r="H6500" s="3"/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  <c r="T6500" s="3"/>
      <c r="U6500" s="3"/>
      <c r="V6500" s="3"/>
      <c r="W6500" s="3"/>
      <c r="X6500" s="3"/>
      <c r="Y6500" s="3"/>
    </row>
    <row r="6501">
      <c r="A6501" s="3"/>
      <c r="B6501" s="3"/>
      <c r="C6501" s="3"/>
      <c r="D6501" s="3"/>
      <c r="E6501" s="3"/>
      <c r="F6501" s="3"/>
      <c r="G6501" s="3"/>
      <c r="H6501" s="3"/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  <c r="T6501" s="3"/>
      <c r="U6501" s="3"/>
      <c r="V6501" s="3"/>
      <c r="W6501" s="3"/>
      <c r="X6501" s="3"/>
      <c r="Y6501" s="3"/>
    </row>
    <row r="6502">
      <c r="A6502" s="3"/>
      <c r="B6502" s="3"/>
      <c r="C6502" s="3"/>
      <c r="D6502" s="3"/>
      <c r="E6502" s="3"/>
      <c r="F6502" s="3"/>
      <c r="G6502" s="3"/>
      <c r="H6502" s="3"/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  <c r="T6502" s="3"/>
      <c r="U6502" s="3"/>
      <c r="V6502" s="3"/>
      <c r="W6502" s="3"/>
      <c r="X6502" s="3"/>
      <c r="Y6502" s="3"/>
    </row>
    <row r="6503">
      <c r="A6503" s="3"/>
      <c r="B6503" s="3"/>
      <c r="C6503" s="3"/>
      <c r="D6503" s="3"/>
      <c r="E6503" s="3"/>
      <c r="F6503" s="3"/>
      <c r="G6503" s="3"/>
      <c r="H6503" s="3"/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  <c r="T6503" s="3"/>
      <c r="U6503" s="3"/>
      <c r="V6503" s="3"/>
      <c r="W6503" s="3"/>
      <c r="X6503" s="3"/>
      <c r="Y6503" s="3"/>
    </row>
    <row r="6504">
      <c r="A6504" s="3"/>
      <c r="B6504" s="3"/>
      <c r="C6504" s="3"/>
      <c r="D6504" s="3"/>
      <c r="E6504" s="3"/>
      <c r="F6504" s="3"/>
      <c r="G6504" s="3"/>
      <c r="H6504" s="3"/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  <c r="T6504" s="3"/>
      <c r="U6504" s="3"/>
      <c r="V6504" s="3"/>
      <c r="W6504" s="3"/>
      <c r="X6504" s="3"/>
      <c r="Y6504" s="3"/>
    </row>
    <row r="6505">
      <c r="A6505" s="3"/>
      <c r="B6505" s="3"/>
      <c r="C6505" s="3"/>
      <c r="D6505" s="3"/>
      <c r="E6505" s="3"/>
      <c r="F6505" s="3"/>
      <c r="G6505" s="3"/>
      <c r="H6505" s="3"/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  <c r="T6505" s="3"/>
      <c r="U6505" s="3"/>
      <c r="V6505" s="3"/>
      <c r="W6505" s="3"/>
      <c r="X6505" s="3"/>
      <c r="Y6505" s="3"/>
    </row>
    <row r="6506">
      <c r="A6506" s="3"/>
      <c r="B6506" s="3"/>
      <c r="C6506" s="3"/>
      <c r="D6506" s="3"/>
      <c r="E6506" s="3"/>
      <c r="F6506" s="3"/>
      <c r="G6506" s="3"/>
      <c r="H6506" s="3"/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  <c r="T6506" s="3"/>
      <c r="U6506" s="3"/>
      <c r="V6506" s="3"/>
      <c r="W6506" s="3"/>
      <c r="X6506" s="3"/>
      <c r="Y6506" s="3"/>
    </row>
    <row r="6507">
      <c r="A6507" s="3"/>
      <c r="B6507" s="3"/>
      <c r="C6507" s="3"/>
      <c r="D6507" s="3"/>
      <c r="E6507" s="3"/>
      <c r="F6507" s="3"/>
      <c r="G6507" s="3"/>
      <c r="H6507" s="3"/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  <c r="T6507" s="3"/>
      <c r="U6507" s="3"/>
      <c r="V6507" s="3"/>
      <c r="W6507" s="3"/>
      <c r="X6507" s="3"/>
      <c r="Y6507" s="3"/>
    </row>
    <row r="6508">
      <c r="A6508" s="3"/>
      <c r="B6508" s="3"/>
      <c r="C6508" s="3"/>
      <c r="D6508" s="3"/>
      <c r="E6508" s="3"/>
      <c r="F6508" s="3"/>
      <c r="G6508" s="3"/>
      <c r="H6508" s="3"/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  <c r="T6508" s="3"/>
      <c r="U6508" s="3"/>
      <c r="V6508" s="3"/>
      <c r="W6508" s="3"/>
      <c r="X6508" s="3"/>
      <c r="Y6508" s="3"/>
    </row>
    <row r="6509">
      <c r="A6509" s="3"/>
      <c r="B6509" s="3"/>
      <c r="C6509" s="3"/>
      <c r="D6509" s="3"/>
      <c r="E6509" s="3"/>
      <c r="F6509" s="3"/>
      <c r="G6509" s="3"/>
      <c r="H6509" s="3"/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  <c r="T6509" s="3"/>
      <c r="U6509" s="3"/>
      <c r="V6509" s="3"/>
      <c r="W6509" s="3"/>
      <c r="X6509" s="3"/>
      <c r="Y6509" s="3"/>
    </row>
    <row r="6510">
      <c r="A6510" s="3"/>
      <c r="B6510" s="3"/>
      <c r="C6510" s="3"/>
      <c r="D6510" s="3"/>
      <c r="E6510" s="3"/>
      <c r="F6510" s="3"/>
      <c r="G6510" s="3"/>
      <c r="H6510" s="3"/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  <c r="T6510" s="3"/>
      <c r="U6510" s="3"/>
      <c r="V6510" s="3"/>
      <c r="W6510" s="3"/>
      <c r="X6510" s="3"/>
      <c r="Y6510" s="3"/>
    </row>
    <row r="6511">
      <c r="A6511" s="3"/>
      <c r="B6511" s="3"/>
      <c r="C6511" s="3"/>
      <c r="D6511" s="3"/>
      <c r="E6511" s="3"/>
      <c r="F6511" s="3"/>
      <c r="G6511" s="3"/>
      <c r="H6511" s="3"/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  <c r="T6511" s="3"/>
      <c r="U6511" s="3"/>
      <c r="V6511" s="3"/>
      <c r="W6511" s="3"/>
      <c r="X6511" s="3"/>
      <c r="Y6511" s="3"/>
    </row>
    <row r="6512">
      <c r="A6512" s="3"/>
      <c r="B6512" s="3"/>
      <c r="C6512" s="3"/>
      <c r="D6512" s="3"/>
      <c r="E6512" s="3"/>
      <c r="F6512" s="3"/>
      <c r="G6512" s="3"/>
      <c r="H6512" s="3"/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  <c r="T6512" s="3"/>
      <c r="U6512" s="3"/>
      <c r="V6512" s="3"/>
      <c r="W6512" s="3"/>
      <c r="X6512" s="3"/>
      <c r="Y6512" s="3"/>
    </row>
    <row r="6513">
      <c r="A6513" s="3"/>
      <c r="B6513" s="3"/>
      <c r="C6513" s="3"/>
      <c r="D6513" s="3"/>
      <c r="E6513" s="3"/>
      <c r="F6513" s="3"/>
      <c r="G6513" s="3"/>
      <c r="H6513" s="3"/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  <c r="T6513" s="3"/>
      <c r="U6513" s="3"/>
      <c r="V6513" s="3"/>
      <c r="W6513" s="3"/>
      <c r="X6513" s="3"/>
      <c r="Y6513" s="3"/>
    </row>
    <row r="6514">
      <c r="A6514" s="3"/>
      <c r="B6514" s="3"/>
      <c r="C6514" s="3"/>
      <c r="D6514" s="3"/>
      <c r="E6514" s="3"/>
      <c r="F6514" s="3"/>
      <c r="G6514" s="3"/>
      <c r="H6514" s="3"/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  <c r="T6514" s="3"/>
      <c r="U6514" s="3"/>
      <c r="V6514" s="3"/>
      <c r="W6514" s="3"/>
      <c r="X6514" s="3"/>
      <c r="Y6514" s="3"/>
    </row>
    <row r="6515">
      <c r="A6515" s="3"/>
      <c r="B6515" s="3"/>
      <c r="C6515" s="3"/>
      <c r="D6515" s="3"/>
      <c r="E6515" s="3"/>
      <c r="F6515" s="3"/>
      <c r="G6515" s="3"/>
      <c r="H6515" s="3"/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  <c r="T6515" s="3"/>
      <c r="U6515" s="3"/>
      <c r="V6515" s="3"/>
      <c r="W6515" s="3"/>
      <c r="X6515" s="3"/>
      <c r="Y6515" s="3"/>
    </row>
    <row r="6516">
      <c r="A6516" s="3"/>
      <c r="B6516" s="3"/>
      <c r="C6516" s="3"/>
      <c r="D6516" s="3"/>
      <c r="E6516" s="3"/>
      <c r="F6516" s="3"/>
      <c r="G6516" s="3"/>
      <c r="H6516" s="3"/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  <c r="T6516" s="3"/>
      <c r="U6516" s="3"/>
      <c r="V6516" s="3"/>
      <c r="W6516" s="3"/>
      <c r="X6516" s="3"/>
      <c r="Y6516" s="3"/>
    </row>
    <row r="6517">
      <c r="A6517" s="3"/>
      <c r="B6517" s="3"/>
      <c r="C6517" s="3"/>
      <c r="D6517" s="3"/>
      <c r="E6517" s="3"/>
      <c r="F6517" s="3"/>
      <c r="G6517" s="3"/>
      <c r="H6517" s="3"/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  <c r="T6517" s="3"/>
      <c r="U6517" s="3"/>
      <c r="V6517" s="3"/>
      <c r="W6517" s="3"/>
      <c r="X6517" s="3"/>
      <c r="Y6517" s="3"/>
    </row>
    <row r="6518">
      <c r="A6518" s="3"/>
      <c r="B6518" s="3"/>
      <c r="C6518" s="3"/>
      <c r="D6518" s="3"/>
      <c r="E6518" s="3"/>
      <c r="F6518" s="3"/>
      <c r="G6518" s="3"/>
      <c r="H6518" s="3"/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  <c r="T6518" s="3"/>
      <c r="U6518" s="3"/>
      <c r="V6518" s="3"/>
      <c r="W6518" s="3"/>
      <c r="X6518" s="3"/>
      <c r="Y6518" s="3"/>
    </row>
    <row r="6519">
      <c r="A6519" s="3"/>
      <c r="B6519" s="3"/>
      <c r="C6519" s="3"/>
      <c r="D6519" s="3"/>
      <c r="E6519" s="3"/>
      <c r="F6519" s="3"/>
      <c r="G6519" s="3"/>
      <c r="H6519" s="3"/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  <c r="T6519" s="3"/>
      <c r="U6519" s="3"/>
      <c r="V6519" s="3"/>
      <c r="W6519" s="3"/>
      <c r="X6519" s="3"/>
      <c r="Y6519" s="3"/>
    </row>
    <row r="6520">
      <c r="A6520" s="3"/>
      <c r="B6520" s="3"/>
      <c r="C6520" s="3"/>
      <c r="D6520" s="3"/>
      <c r="E6520" s="3"/>
      <c r="F6520" s="3"/>
      <c r="G6520" s="3"/>
      <c r="H6520" s="3"/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  <c r="T6520" s="3"/>
      <c r="U6520" s="3"/>
      <c r="V6520" s="3"/>
      <c r="W6520" s="3"/>
      <c r="X6520" s="3"/>
      <c r="Y6520" s="3"/>
    </row>
    <row r="6521">
      <c r="A6521" s="3"/>
      <c r="B6521" s="3"/>
      <c r="C6521" s="3"/>
      <c r="D6521" s="3"/>
      <c r="E6521" s="3"/>
      <c r="F6521" s="3"/>
      <c r="G6521" s="3"/>
      <c r="H6521" s="3"/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  <c r="T6521" s="3"/>
      <c r="U6521" s="3"/>
      <c r="V6521" s="3"/>
      <c r="W6521" s="3"/>
      <c r="X6521" s="3"/>
      <c r="Y6521" s="3"/>
    </row>
    <row r="6522">
      <c r="A6522" s="3"/>
      <c r="B6522" s="3"/>
      <c r="C6522" s="3"/>
      <c r="D6522" s="3"/>
      <c r="E6522" s="3"/>
      <c r="F6522" s="3"/>
      <c r="G6522" s="3"/>
      <c r="H6522" s="3"/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  <c r="T6522" s="3"/>
      <c r="U6522" s="3"/>
      <c r="V6522" s="3"/>
      <c r="W6522" s="3"/>
      <c r="X6522" s="3"/>
      <c r="Y6522" s="3"/>
    </row>
    <row r="6523">
      <c r="A6523" s="3"/>
      <c r="B6523" s="3"/>
      <c r="C6523" s="3"/>
      <c r="D6523" s="3"/>
      <c r="E6523" s="3"/>
      <c r="F6523" s="3"/>
      <c r="G6523" s="3"/>
      <c r="H6523" s="3"/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  <c r="T6523" s="3"/>
      <c r="U6523" s="3"/>
      <c r="V6523" s="3"/>
      <c r="W6523" s="3"/>
      <c r="X6523" s="3"/>
      <c r="Y6523" s="3"/>
    </row>
    <row r="6524">
      <c r="A6524" s="3"/>
      <c r="B6524" s="3"/>
      <c r="C6524" s="3"/>
      <c r="D6524" s="3"/>
      <c r="E6524" s="3"/>
      <c r="F6524" s="3"/>
      <c r="G6524" s="3"/>
      <c r="H6524" s="3"/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  <c r="T6524" s="3"/>
      <c r="U6524" s="3"/>
      <c r="V6524" s="3"/>
      <c r="W6524" s="3"/>
      <c r="X6524" s="3"/>
      <c r="Y6524" s="3"/>
    </row>
    <row r="6525">
      <c r="A6525" s="3"/>
      <c r="B6525" s="3"/>
      <c r="C6525" s="3"/>
      <c r="D6525" s="3"/>
      <c r="E6525" s="3"/>
      <c r="F6525" s="3"/>
      <c r="G6525" s="3"/>
      <c r="H6525" s="3"/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  <c r="T6525" s="3"/>
      <c r="U6525" s="3"/>
      <c r="V6525" s="3"/>
      <c r="W6525" s="3"/>
      <c r="X6525" s="3"/>
      <c r="Y6525" s="3"/>
    </row>
    <row r="6526">
      <c r="A6526" s="3"/>
      <c r="B6526" s="3"/>
      <c r="C6526" s="3"/>
      <c r="D6526" s="3"/>
      <c r="E6526" s="3"/>
      <c r="F6526" s="3"/>
      <c r="G6526" s="3"/>
      <c r="H6526" s="3"/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  <c r="T6526" s="3"/>
      <c r="U6526" s="3"/>
      <c r="V6526" s="3"/>
      <c r="W6526" s="3"/>
      <c r="X6526" s="3"/>
      <c r="Y6526" s="3"/>
    </row>
    <row r="6527">
      <c r="A6527" s="3"/>
      <c r="B6527" s="3"/>
      <c r="C6527" s="3"/>
      <c r="D6527" s="3"/>
      <c r="E6527" s="3"/>
      <c r="F6527" s="3"/>
      <c r="G6527" s="3"/>
      <c r="H6527" s="3"/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  <c r="T6527" s="3"/>
      <c r="U6527" s="3"/>
      <c r="V6527" s="3"/>
      <c r="W6527" s="3"/>
      <c r="X6527" s="3"/>
      <c r="Y6527" s="3"/>
    </row>
    <row r="6528">
      <c r="A6528" s="3"/>
      <c r="B6528" s="3"/>
      <c r="C6528" s="3"/>
      <c r="D6528" s="3"/>
      <c r="E6528" s="3"/>
      <c r="F6528" s="3"/>
      <c r="G6528" s="3"/>
      <c r="H6528" s="3"/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  <c r="T6528" s="3"/>
      <c r="U6528" s="3"/>
      <c r="V6528" s="3"/>
      <c r="W6528" s="3"/>
      <c r="X6528" s="3"/>
      <c r="Y6528" s="3"/>
    </row>
    <row r="6529">
      <c r="A6529" s="3"/>
      <c r="B6529" s="3"/>
      <c r="C6529" s="3"/>
      <c r="D6529" s="3"/>
      <c r="E6529" s="3"/>
      <c r="F6529" s="3"/>
      <c r="G6529" s="3"/>
      <c r="H6529" s="3"/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  <c r="T6529" s="3"/>
      <c r="U6529" s="3"/>
      <c r="V6529" s="3"/>
      <c r="W6529" s="3"/>
      <c r="X6529" s="3"/>
      <c r="Y6529" s="3"/>
    </row>
    <row r="6530">
      <c r="A6530" s="3"/>
      <c r="B6530" s="3"/>
      <c r="C6530" s="3"/>
      <c r="D6530" s="3"/>
      <c r="E6530" s="3"/>
      <c r="F6530" s="3"/>
      <c r="G6530" s="3"/>
      <c r="H6530" s="3"/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  <c r="T6530" s="3"/>
      <c r="U6530" s="3"/>
      <c r="V6530" s="3"/>
      <c r="W6530" s="3"/>
      <c r="X6530" s="3"/>
      <c r="Y6530" s="3"/>
    </row>
    <row r="6531">
      <c r="A6531" s="3"/>
      <c r="B6531" s="3"/>
      <c r="C6531" s="3"/>
      <c r="D6531" s="3"/>
      <c r="E6531" s="3"/>
      <c r="F6531" s="3"/>
      <c r="G6531" s="3"/>
      <c r="H6531" s="3"/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  <c r="T6531" s="3"/>
      <c r="U6531" s="3"/>
      <c r="V6531" s="3"/>
      <c r="W6531" s="3"/>
      <c r="X6531" s="3"/>
      <c r="Y6531" s="3"/>
    </row>
    <row r="6532">
      <c r="A6532" s="3"/>
      <c r="B6532" s="3"/>
      <c r="C6532" s="3"/>
      <c r="D6532" s="3"/>
      <c r="E6532" s="3"/>
      <c r="F6532" s="3"/>
      <c r="G6532" s="3"/>
      <c r="H6532" s="3"/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  <c r="T6532" s="3"/>
      <c r="U6532" s="3"/>
      <c r="V6532" s="3"/>
      <c r="W6532" s="3"/>
      <c r="X6532" s="3"/>
      <c r="Y6532" s="3"/>
    </row>
    <row r="6533">
      <c r="A6533" s="3"/>
      <c r="B6533" s="3"/>
      <c r="C6533" s="3"/>
      <c r="D6533" s="3"/>
      <c r="E6533" s="3"/>
      <c r="F6533" s="3"/>
      <c r="G6533" s="3"/>
      <c r="H6533" s="3"/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  <c r="T6533" s="3"/>
      <c r="U6533" s="3"/>
      <c r="V6533" s="3"/>
      <c r="W6533" s="3"/>
      <c r="X6533" s="3"/>
      <c r="Y6533" s="3"/>
    </row>
    <row r="6534">
      <c r="A6534" s="3"/>
      <c r="B6534" s="3"/>
      <c r="C6534" s="3"/>
      <c r="D6534" s="3"/>
      <c r="E6534" s="3"/>
      <c r="F6534" s="3"/>
      <c r="G6534" s="3"/>
      <c r="H6534" s="3"/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  <c r="T6534" s="3"/>
      <c r="U6534" s="3"/>
      <c r="V6534" s="3"/>
      <c r="W6534" s="3"/>
      <c r="X6534" s="3"/>
      <c r="Y6534" s="3"/>
    </row>
    <row r="6535">
      <c r="A6535" s="3"/>
      <c r="B6535" s="3"/>
      <c r="C6535" s="3"/>
      <c r="D6535" s="3"/>
      <c r="E6535" s="3"/>
      <c r="F6535" s="3"/>
      <c r="G6535" s="3"/>
      <c r="H6535" s="3"/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  <c r="T6535" s="3"/>
      <c r="U6535" s="3"/>
      <c r="V6535" s="3"/>
      <c r="W6535" s="3"/>
      <c r="X6535" s="3"/>
      <c r="Y6535" s="3"/>
    </row>
    <row r="6536">
      <c r="A6536" s="3"/>
      <c r="B6536" s="3"/>
      <c r="C6536" s="3"/>
      <c r="D6536" s="3"/>
      <c r="E6536" s="3"/>
      <c r="F6536" s="3"/>
      <c r="G6536" s="3"/>
      <c r="H6536" s="3"/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  <c r="T6536" s="3"/>
      <c r="U6536" s="3"/>
      <c r="V6536" s="3"/>
      <c r="W6536" s="3"/>
      <c r="X6536" s="3"/>
      <c r="Y6536" s="3"/>
    </row>
    <row r="6537">
      <c r="A6537" s="3"/>
      <c r="B6537" s="3"/>
      <c r="C6537" s="3"/>
      <c r="D6537" s="3"/>
      <c r="E6537" s="3"/>
      <c r="F6537" s="3"/>
      <c r="G6537" s="3"/>
      <c r="H6537" s="3"/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  <c r="T6537" s="3"/>
      <c r="U6537" s="3"/>
      <c r="V6537" s="3"/>
      <c r="W6537" s="3"/>
      <c r="X6537" s="3"/>
      <c r="Y6537" s="3"/>
    </row>
    <row r="6538">
      <c r="A6538" s="3"/>
      <c r="B6538" s="3"/>
      <c r="C6538" s="3"/>
      <c r="D6538" s="3"/>
      <c r="E6538" s="3"/>
      <c r="F6538" s="3"/>
      <c r="G6538" s="3"/>
      <c r="H6538" s="3"/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  <c r="T6538" s="3"/>
      <c r="U6538" s="3"/>
      <c r="V6538" s="3"/>
      <c r="W6538" s="3"/>
      <c r="X6538" s="3"/>
      <c r="Y6538" s="3"/>
    </row>
    <row r="6539">
      <c r="A6539" s="3"/>
      <c r="B6539" s="3"/>
      <c r="C6539" s="3"/>
      <c r="D6539" s="3"/>
      <c r="E6539" s="3"/>
      <c r="F6539" s="3"/>
      <c r="G6539" s="3"/>
      <c r="H6539" s="3"/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  <c r="T6539" s="3"/>
      <c r="U6539" s="3"/>
      <c r="V6539" s="3"/>
      <c r="W6539" s="3"/>
      <c r="X6539" s="3"/>
      <c r="Y6539" s="3"/>
    </row>
    <row r="6540">
      <c r="A6540" s="3"/>
      <c r="B6540" s="3"/>
      <c r="C6540" s="3"/>
      <c r="D6540" s="3"/>
      <c r="E6540" s="3"/>
      <c r="F6540" s="3"/>
      <c r="G6540" s="3"/>
      <c r="H6540" s="3"/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  <c r="T6540" s="3"/>
      <c r="U6540" s="3"/>
      <c r="V6540" s="3"/>
      <c r="W6540" s="3"/>
      <c r="X6540" s="3"/>
      <c r="Y6540" s="3"/>
    </row>
    <row r="6541">
      <c r="A6541" s="3"/>
      <c r="B6541" s="3"/>
      <c r="C6541" s="3"/>
      <c r="D6541" s="3"/>
      <c r="E6541" s="3"/>
      <c r="F6541" s="3"/>
      <c r="G6541" s="3"/>
      <c r="H6541" s="3"/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  <c r="T6541" s="3"/>
      <c r="U6541" s="3"/>
      <c r="V6541" s="3"/>
      <c r="W6541" s="3"/>
      <c r="X6541" s="3"/>
      <c r="Y6541" s="3"/>
    </row>
    <row r="6542">
      <c r="A6542" s="3"/>
      <c r="B6542" s="3"/>
      <c r="C6542" s="3"/>
      <c r="D6542" s="3"/>
      <c r="E6542" s="3"/>
      <c r="F6542" s="3"/>
      <c r="G6542" s="3"/>
      <c r="H6542" s="3"/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  <c r="T6542" s="3"/>
      <c r="U6542" s="3"/>
      <c r="V6542" s="3"/>
      <c r="W6542" s="3"/>
      <c r="X6542" s="3"/>
      <c r="Y6542" s="3"/>
    </row>
    <row r="6543">
      <c r="A6543" s="3"/>
      <c r="B6543" s="3"/>
      <c r="C6543" s="3"/>
      <c r="D6543" s="3"/>
      <c r="E6543" s="3"/>
      <c r="F6543" s="3"/>
      <c r="G6543" s="3"/>
      <c r="H6543" s="3"/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  <c r="T6543" s="3"/>
      <c r="U6543" s="3"/>
      <c r="V6543" s="3"/>
      <c r="W6543" s="3"/>
      <c r="X6543" s="3"/>
      <c r="Y6543" s="3"/>
    </row>
    <row r="6544">
      <c r="A6544" s="3"/>
      <c r="B6544" s="3"/>
      <c r="C6544" s="3"/>
      <c r="D6544" s="3"/>
      <c r="E6544" s="3"/>
      <c r="F6544" s="3"/>
      <c r="G6544" s="3"/>
      <c r="H6544" s="3"/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  <c r="T6544" s="3"/>
      <c r="U6544" s="3"/>
      <c r="V6544" s="3"/>
      <c r="W6544" s="3"/>
      <c r="X6544" s="3"/>
      <c r="Y6544" s="3"/>
    </row>
    <row r="6545">
      <c r="A6545" s="3"/>
      <c r="B6545" s="3"/>
      <c r="C6545" s="3"/>
      <c r="D6545" s="3"/>
      <c r="E6545" s="3"/>
      <c r="F6545" s="3"/>
      <c r="G6545" s="3"/>
      <c r="H6545" s="3"/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  <c r="T6545" s="3"/>
      <c r="U6545" s="3"/>
      <c r="V6545" s="3"/>
      <c r="W6545" s="3"/>
      <c r="X6545" s="3"/>
      <c r="Y6545" s="3"/>
    </row>
    <row r="6546">
      <c r="A6546" s="3"/>
      <c r="B6546" s="3"/>
      <c r="C6546" s="3"/>
      <c r="D6546" s="3"/>
      <c r="E6546" s="3"/>
      <c r="F6546" s="3"/>
      <c r="G6546" s="3"/>
      <c r="H6546" s="3"/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  <c r="T6546" s="3"/>
      <c r="U6546" s="3"/>
      <c r="V6546" s="3"/>
      <c r="W6546" s="3"/>
      <c r="X6546" s="3"/>
      <c r="Y6546" s="3"/>
    </row>
    <row r="6547">
      <c r="A6547" s="3"/>
      <c r="B6547" s="3"/>
      <c r="C6547" s="3"/>
      <c r="D6547" s="3"/>
      <c r="E6547" s="3"/>
      <c r="F6547" s="3"/>
      <c r="G6547" s="3"/>
      <c r="H6547" s="3"/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  <c r="T6547" s="3"/>
      <c r="U6547" s="3"/>
      <c r="V6547" s="3"/>
      <c r="W6547" s="3"/>
      <c r="X6547" s="3"/>
      <c r="Y6547" s="3"/>
    </row>
    <row r="6548">
      <c r="A6548" s="3"/>
      <c r="B6548" s="3"/>
      <c r="C6548" s="3"/>
      <c r="D6548" s="3"/>
      <c r="E6548" s="3"/>
      <c r="F6548" s="3"/>
      <c r="G6548" s="3"/>
      <c r="H6548" s="3"/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  <c r="T6548" s="3"/>
      <c r="U6548" s="3"/>
      <c r="V6548" s="3"/>
      <c r="W6548" s="3"/>
      <c r="X6548" s="3"/>
      <c r="Y6548" s="3"/>
    </row>
    <row r="6549">
      <c r="A6549" s="3"/>
      <c r="B6549" s="3"/>
      <c r="C6549" s="3"/>
      <c r="D6549" s="3"/>
      <c r="E6549" s="3"/>
      <c r="F6549" s="3"/>
      <c r="G6549" s="3"/>
      <c r="H6549" s="3"/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  <c r="T6549" s="3"/>
      <c r="U6549" s="3"/>
      <c r="V6549" s="3"/>
      <c r="W6549" s="3"/>
      <c r="X6549" s="3"/>
      <c r="Y6549" s="3"/>
    </row>
    <row r="6550">
      <c r="A6550" s="3"/>
      <c r="B6550" s="3"/>
      <c r="C6550" s="3"/>
      <c r="D6550" s="3"/>
      <c r="E6550" s="3"/>
      <c r="F6550" s="3"/>
      <c r="G6550" s="3"/>
      <c r="H6550" s="3"/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  <c r="T6550" s="3"/>
      <c r="U6550" s="3"/>
      <c r="V6550" s="3"/>
      <c r="W6550" s="3"/>
      <c r="X6550" s="3"/>
      <c r="Y6550" s="3"/>
    </row>
    <row r="6551">
      <c r="A6551" s="3"/>
      <c r="B6551" s="3"/>
      <c r="C6551" s="3"/>
      <c r="D6551" s="3"/>
      <c r="E6551" s="3"/>
      <c r="F6551" s="3"/>
      <c r="G6551" s="3"/>
      <c r="H6551" s="3"/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  <c r="T6551" s="3"/>
      <c r="U6551" s="3"/>
      <c r="V6551" s="3"/>
      <c r="W6551" s="3"/>
      <c r="X6551" s="3"/>
      <c r="Y6551" s="3"/>
    </row>
    <row r="6552">
      <c r="A6552" s="3"/>
      <c r="B6552" s="3"/>
      <c r="C6552" s="3"/>
      <c r="D6552" s="3"/>
      <c r="E6552" s="3"/>
      <c r="F6552" s="3"/>
      <c r="G6552" s="3"/>
      <c r="H6552" s="3"/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  <c r="T6552" s="3"/>
      <c r="U6552" s="3"/>
      <c r="V6552" s="3"/>
      <c r="W6552" s="3"/>
      <c r="X6552" s="3"/>
      <c r="Y6552" s="3"/>
    </row>
    <row r="6553">
      <c r="A6553" s="3"/>
      <c r="B6553" s="3"/>
      <c r="C6553" s="3"/>
      <c r="D6553" s="3"/>
      <c r="E6553" s="3"/>
      <c r="F6553" s="3"/>
      <c r="G6553" s="3"/>
      <c r="H6553" s="3"/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  <c r="T6553" s="3"/>
      <c r="U6553" s="3"/>
      <c r="V6553" s="3"/>
      <c r="W6553" s="3"/>
      <c r="X6553" s="3"/>
      <c r="Y6553" s="3"/>
    </row>
    <row r="6554">
      <c r="A6554" s="3"/>
      <c r="B6554" s="3"/>
      <c r="C6554" s="3"/>
      <c r="D6554" s="3"/>
      <c r="E6554" s="3"/>
      <c r="F6554" s="3"/>
      <c r="G6554" s="3"/>
      <c r="H6554" s="3"/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  <c r="T6554" s="3"/>
      <c r="U6554" s="3"/>
      <c r="V6554" s="3"/>
      <c r="W6554" s="3"/>
      <c r="X6554" s="3"/>
      <c r="Y6554" s="3"/>
    </row>
    <row r="6555">
      <c r="A6555" s="3"/>
      <c r="B6555" s="3"/>
      <c r="C6555" s="3"/>
      <c r="D6555" s="3"/>
      <c r="E6555" s="3"/>
      <c r="F6555" s="3"/>
      <c r="G6555" s="3"/>
      <c r="H6555" s="3"/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  <c r="T6555" s="3"/>
      <c r="U6555" s="3"/>
      <c r="V6555" s="3"/>
      <c r="W6555" s="3"/>
      <c r="X6555" s="3"/>
      <c r="Y6555" s="3"/>
    </row>
    <row r="6556">
      <c r="A6556" s="3"/>
      <c r="B6556" s="3"/>
      <c r="C6556" s="3"/>
      <c r="D6556" s="3"/>
      <c r="E6556" s="3"/>
      <c r="F6556" s="3"/>
      <c r="G6556" s="3"/>
      <c r="H6556" s="3"/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  <c r="T6556" s="3"/>
      <c r="U6556" s="3"/>
      <c r="V6556" s="3"/>
      <c r="W6556" s="3"/>
      <c r="X6556" s="3"/>
      <c r="Y6556" s="3"/>
    </row>
    <row r="6557">
      <c r="A6557" s="3"/>
      <c r="B6557" s="3"/>
      <c r="C6557" s="3"/>
      <c r="D6557" s="3"/>
      <c r="E6557" s="3"/>
      <c r="F6557" s="3"/>
      <c r="G6557" s="3"/>
      <c r="H6557" s="3"/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  <c r="T6557" s="3"/>
      <c r="U6557" s="3"/>
      <c r="V6557" s="3"/>
      <c r="W6557" s="3"/>
      <c r="X6557" s="3"/>
      <c r="Y6557" s="3"/>
    </row>
    <row r="6558">
      <c r="A6558" s="3"/>
      <c r="B6558" s="3"/>
      <c r="C6558" s="3"/>
      <c r="D6558" s="3"/>
      <c r="E6558" s="3"/>
      <c r="F6558" s="3"/>
      <c r="G6558" s="3"/>
      <c r="H6558" s="3"/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  <c r="T6558" s="3"/>
      <c r="U6558" s="3"/>
      <c r="V6558" s="3"/>
      <c r="W6558" s="3"/>
      <c r="X6558" s="3"/>
      <c r="Y6558" s="3"/>
    </row>
    <row r="6559">
      <c r="A6559" s="3"/>
      <c r="B6559" s="3"/>
      <c r="C6559" s="3"/>
      <c r="D6559" s="3"/>
      <c r="E6559" s="3"/>
      <c r="F6559" s="3"/>
      <c r="G6559" s="3"/>
      <c r="H6559" s="3"/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  <c r="T6559" s="3"/>
      <c r="U6559" s="3"/>
      <c r="V6559" s="3"/>
      <c r="W6559" s="3"/>
      <c r="X6559" s="3"/>
      <c r="Y6559" s="3"/>
    </row>
    <row r="6560">
      <c r="A6560" s="3"/>
      <c r="B6560" s="3"/>
      <c r="C6560" s="3"/>
      <c r="D6560" s="3"/>
      <c r="E6560" s="3"/>
      <c r="F6560" s="3"/>
      <c r="G6560" s="3"/>
      <c r="H6560" s="3"/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  <c r="T6560" s="3"/>
      <c r="U6560" s="3"/>
      <c r="V6560" s="3"/>
      <c r="W6560" s="3"/>
      <c r="X6560" s="3"/>
      <c r="Y6560" s="3"/>
    </row>
    <row r="6561">
      <c r="A6561" s="3"/>
      <c r="B6561" s="3"/>
      <c r="C6561" s="3"/>
      <c r="D6561" s="3"/>
      <c r="E6561" s="3"/>
      <c r="F6561" s="3"/>
      <c r="G6561" s="3"/>
      <c r="H6561" s="3"/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  <c r="T6561" s="3"/>
      <c r="U6561" s="3"/>
      <c r="V6561" s="3"/>
      <c r="W6561" s="3"/>
      <c r="X6561" s="3"/>
      <c r="Y6561" s="3"/>
    </row>
    <row r="6562">
      <c r="A6562" s="3"/>
      <c r="B6562" s="3"/>
      <c r="C6562" s="3"/>
      <c r="D6562" s="3"/>
      <c r="E6562" s="3"/>
      <c r="F6562" s="3"/>
      <c r="G6562" s="3"/>
      <c r="H6562" s="3"/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  <c r="T6562" s="3"/>
      <c r="U6562" s="3"/>
      <c r="V6562" s="3"/>
      <c r="W6562" s="3"/>
      <c r="X6562" s="3"/>
      <c r="Y6562" s="3"/>
    </row>
    <row r="6563">
      <c r="A6563" s="3"/>
      <c r="B6563" s="3"/>
      <c r="C6563" s="3"/>
      <c r="D6563" s="3"/>
      <c r="E6563" s="3"/>
      <c r="F6563" s="3"/>
      <c r="G6563" s="3"/>
      <c r="H6563" s="3"/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  <c r="T6563" s="3"/>
      <c r="U6563" s="3"/>
      <c r="V6563" s="3"/>
      <c r="W6563" s="3"/>
      <c r="X6563" s="3"/>
      <c r="Y6563" s="3"/>
    </row>
    <row r="6564">
      <c r="A6564" s="3"/>
      <c r="B6564" s="3"/>
      <c r="C6564" s="3"/>
      <c r="D6564" s="3"/>
      <c r="E6564" s="3"/>
      <c r="F6564" s="3"/>
      <c r="G6564" s="3"/>
      <c r="H6564" s="3"/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  <c r="T6564" s="3"/>
      <c r="U6564" s="3"/>
      <c r="V6564" s="3"/>
      <c r="W6564" s="3"/>
      <c r="X6564" s="3"/>
      <c r="Y6564" s="3"/>
    </row>
    <row r="6565">
      <c r="A6565" s="3"/>
      <c r="B6565" s="3"/>
      <c r="C6565" s="3"/>
      <c r="D6565" s="3"/>
      <c r="E6565" s="3"/>
      <c r="F6565" s="3"/>
      <c r="G6565" s="3"/>
      <c r="H6565" s="3"/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  <c r="T6565" s="3"/>
      <c r="U6565" s="3"/>
      <c r="V6565" s="3"/>
      <c r="W6565" s="3"/>
      <c r="X6565" s="3"/>
      <c r="Y6565" s="3"/>
    </row>
    <row r="6566">
      <c r="A6566" s="3"/>
      <c r="B6566" s="3"/>
      <c r="C6566" s="3"/>
      <c r="D6566" s="3"/>
      <c r="E6566" s="3"/>
      <c r="F6566" s="3"/>
      <c r="G6566" s="3"/>
      <c r="H6566" s="3"/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  <c r="T6566" s="3"/>
      <c r="U6566" s="3"/>
      <c r="V6566" s="3"/>
      <c r="W6566" s="3"/>
      <c r="X6566" s="3"/>
      <c r="Y6566" s="3"/>
    </row>
    <row r="6567">
      <c r="A6567" s="3"/>
      <c r="B6567" s="3"/>
      <c r="C6567" s="3"/>
      <c r="D6567" s="3"/>
      <c r="E6567" s="3"/>
      <c r="F6567" s="3"/>
      <c r="G6567" s="3"/>
      <c r="H6567" s="3"/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  <c r="T6567" s="3"/>
      <c r="U6567" s="3"/>
      <c r="V6567" s="3"/>
      <c r="W6567" s="3"/>
      <c r="X6567" s="3"/>
      <c r="Y6567" s="3"/>
    </row>
    <row r="6568">
      <c r="A6568" s="3"/>
      <c r="B6568" s="3"/>
      <c r="C6568" s="3"/>
      <c r="D6568" s="3"/>
      <c r="E6568" s="3"/>
      <c r="F6568" s="3"/>
      <c r="G6568" s="3"/>
      <c r="H6568" s="3"/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  <c r="T6568" s="3"/>
      <c r="U6568" s="3"/>
      <c r="V6568" s="3"/>
      <c r="W6568" s="3"/>
      <c r="X6568" s="3"/>
      <c r="Y6568" s="3"/>
    </row>
    <row r="6569">
      <c r="A6569" s="3"/>
      <c r="B6569" s="3"/>
      <c r="C6569" s="3"/>
      <c r="D6569" s="3"/>
      <c r="E6569" s="3"/>
      <c r="F6569" s="3"/>
      <c r="G6569" s="3"/>
      <c r="H6569" s="3"/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  <c r="T6569" s="3"/>
      <c r="U6569" s="3"/>
      <c r="V6569" s="3"/>
      <c r="W6569" s="3"/>
      <c r="X6569" s="3"/>
      <c r="Y6569" s="3"/>
    </row>
    <row r="6570">
      <c r="A6570" s="3"/>
      <c r="B6570" s="3"/>
      <c r="C6570" s="3"/>
      <c r="D6570" s="3"/>
      <c r="E6570" s="3"/>
      <c r="F6570" s="3"/>
      <c r="G6570" s="3"/>
      <c r="H6570" s="3"/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  <c r="T6570" s="3"/>
      <c r="U6570" s="3"/>
      <c r="V6570" s="3"/>
      <c r="W6570" s="3"/>
      <c r="X6570" s="3"/>
      <c r="Y6570" s="3"/>
    </row>
    <row r="6571">
      <c r="A6571" s="3"/>
      <c r="B6571" s="3"/>
      <c r="C6571" s="3"/>
      <c r="D6571" s="3"/>
      <c r="E6571" s="3"/>
      <c r="F6571" s="3"/>
      <c r="G6571" s="3"/>
      <c r="H6571" s="3"/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  <c r="T6571" s="3"/>
      <c r="U6571" s="3"/>
      <c r="V6571" s="3"/>
      <c r="W6571" s="3"/>
      <c r="X6571" s="3"/>
      <c r="Y6571" s="3"/>
    </row>
    <row r="6572">
      <c r="A6572" s="3"/>
      <c r="B6572" s="3"/>
      <c r="C6572" s="3"/>
      <c r="D6572" s="3"/>
      <c r="E6572" s="3"/>
      <c r="F6572" s="3"/>
      <c r="G6572" s="3"/>
      <c r="H6572" s="3"/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  <c r="T6572" s="3"/>
      <c r="U6572" s="3"/>
      <c r="V6572" s="3"/>
      <c r="W6572" s="3"/>
      <c r="X6572" s="3"/>
      <c r="Y6572" s="3"/>
    </row>
    <row r="6573">
      <c r="A6573" s="3"/>
      <c r="B6573" s="3"/>
      <c r="C6573" s="3"/>
      <c r="D6573" s="3"/>
      <c r="E6573" s="3"/>
      <c r="F6573" s="3"/>
      <c r="G6573" s="3"/>
      <c r="H6573" s="3"/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  <c r="T6573" s="3"/>
      <c r="U6573" s="3"/>
      <c r="V6573" s="3"/>
      <c r="W6573" s="3"/>
      <c r="X6573" s="3"/>
      <c r="Y6573" s="3"/>
    </row>
    <row r="6574">
      <c r="A6574" s="3"/>
      <c r="B6574" s="3"/>
      <c r="C6574" s="3"/>
      <c r="D6574" s="3"/>
      <c r="E6574" s="3"/>
      <c r="F6574" s="3"/>
      <c r="G6574" s="3"/>
      <c r="H6574" s="3"/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  <c r="T6574" s="3"/>
      <c r="U6574" s="3"/>
      <c r="V6574" s="3"/>
      <c r="W6574" s="3"/>
      <c r="X6574" s="3"/>
      <c r="Y6574" s="3"/>
    </row>
    <row r="6575">
      <c r="A6575" s="3"/>
      <c r="B6575" s="3"/>
      <c r="C6575" s="3"/>
      <c r="D6575" s="3"/>
      <c r="E6575" s="3"/>
      <c r="F6575" s="3"/>
      <c r="G6575" s="3"/>
      <c r="H6575" s="3"/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  <c r="T6575" s="3"/>
      <c r="U6575" s="3"/>
      <c r="V6575" s="3"/>
      <c r="W6575" s="3"/>
      <c r="X6575" s="3"/>
      <c r="Y6575" s="3"/>
    </row>
    <row r="6576">
      <c r="A6576" s="3"/>
      <c r="B6576" s="3"/>
      <c r="C6576" s="3"/>
      <c r="D6576" s="3"/>
      <c r="E6576" s="3"/>
      <c r="F6576" s="3"/>
      <c r="G6576" s="3"/>
      <c r="H6576" s="3"/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  <c r="T6576" s="3"/>
      <c r="U6576" s="3"/>
      <c r="V6576" s="3"/>
      <c r="W6576" s="3"/>
      <c r="X6576" s="3"/>
      <c r="Y6576" s="3"/>
    </row>
    <row r="6577">
      <c r="A6577" s="3"/>
      <c r="B6577" s="3"/>
      <c r="C6577" s="3"/>
      <c r="D6577" s="3"/>
      <c r="E6577" s="3"/>
      <c r="F6577" s="3"/>
      <c r="G6577" s="3"/>
      <c r="H6577" s="3"/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  <c r="T6577" s="3"/>
      <c r="U6577" s="3"/>
      <c r="V6577" s="3"/>
      <c r="W6577" s="3"/>
      <c r="X6577" s="3"/>
      <c r="Y6577" s="3"/>
    </row>
    <row r="6578">
      <c r="A6578" s="3"/>
      <c r="B6578" s="3"/>
      <c r="C6578" s="3"/>
      <c r="D6578" s="3"/>
      <c r="E6578" s="3"/>
      <c r="F6578" s="3"/>
      <c r="G6578" s="3"/>
      <c r="H6578" s="3"/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  <c r="T6578" s="3"/>
      <c r="U6578" s="3"/>
      <c r="V6578" s="3"/>
      <c r="W6578" s="3"/>
      <c r="X6578" s="3"/>
      <c r="Y6578" s="3"/>
    </row>
    <row r="6579">
      <c r="A6579" s="3"/>
      <c r="B6579" s="3"/>
      <c r="C6579" s="3"/>
      <c r="D6579" s="3"/>
      <c r="E6579" s="3"/>
      <c r="F6579" s="3"/>
      <c r="G6579" s="3"/>
      <c r="H6579" s="3"/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  <c r="T6579" s="3"/>
      <c r="U6579" s="3"/>
      <c r="V6579" s="3"/>
      <c r="W6579" s="3"/>
      <c r="X6579" s="3"/>
      <c r="Y6579" s="3"/>
    </row>
    <row r="6580">
      <c r="A6580" s="3"/>
      <c r="B6580" s="3"/>
      <c r="C6580" s="3"/>
      <c r="D6580" s="3"/>
      <c r="E6580" s="3"/>
      <c r="F6580" s="3"/>
      <c r="G6580" s="3"/>
      <c r="H6580" s="3"/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  <c r="T6580" s="3"/>
      <c r="U6580" s="3"/>
      <c r="V6580" s="3"/>
      <c r="W6580" s="3"/>
      <c r="X6580" s="3"/>
      <c r="Y6580" s="3"/>
    </row>
    <row r="6581">
      <c r="A6581" s="3"/>
      <c r="B6581" s="3"/>
      <c r="C6581" s="3"/>
      <c r="D6581" s="3"/>
      <c r="E6581" s="3"/>
      <c r="F6581" s="3"/>
      <c r="G6581" s="3"/>
      <c r="H6581" s="3"/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  <c r="T6581" s="3"/>
      <c r="U6581" s="3"/>
      <c r="V6581" s="3"/>
      <c r="W6581" s="3"/>
      <c r="X6581" s="3"/>
      <c r="Y6581" s="3"/>
    </row>
    <row r="6582">
      <c r="A6582" s="3"/>
      <c r="B6582" s="3"/>
      <c r="C6582" s="3"/>
      <c r="D6582" s="3"/>
      <c r="E6582" s="3"/>
      <c r="F6582" s="3"/>
      <c r="G6582" s="3"/>
      <c r="H6582" s="3"/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  <c r="T6582" s="3"/>
      <c r="U6582" s="3"/>
      <c r="V6582" s="3"/>
      <c r="W6582" s="3"/>
      <c r="X6582" s="3"/>
      <c r="Y6582" s="3"/>
    </row>
    <row r="6583">
      <c r="A6583" s="3"/>
      <c r="B6583" s="3"/>
      <c r="C6583" s="3"/>
      <c r="D6583" s="3"/>
      <c r="E6583" s="3"/>
      <c r="F6583" s="3"/>
      <c r="G6583" s="3"/>
      <c r="H6583" s="3"/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  <c r="T6583" s="3"/>
      <c r="U6583" s="3"/>
      <c r="V6583" s="3"/>
      <c r="W6583" s="3"/>
      <c r="X6583" s="3"/>
      <c r="Y6583" s="3"/>
    </row>
    <row r="6584">
      <c r="A6584" s="3"/>
      <c r="B6584" s="3"/>
      <c r="C6584" s="3"/>
      <c r="D6584" s="3"/>
      <c r="E6584" s="3"/>
      <c r="F6584" s="3"/>
      <c r="G6584" s="3"/>
      <c r="H6584" s="3"/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  <c r="T6584" s="3"/>
      <c r="U6584" s="3"/>
      <c r="V6584" s="3"/>
      <c r="W6584" s="3"/>
      <c r="X6584" s="3"/>
      <c r="Y6584" s="3"/>
    </row>
    <row r="6585">
      <c r="A6585" s="3"/>
      <c r="B6585" s="3"/>
      <c r="C6585" s="3"/>
      <c r="D6585" s="3"/>
      <c r="E6585" s="3"/>
      <c r="F6585" s="3"/>
      <c r="G6585" s="3"/>
      <c r="H6585" s="3"/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  <c r="T6585" s="3"/>
      <c r="U6585" s="3"/>
      <c r="V6585" s="3"/>
      <c r="W6585" s="3"/>
      <c r="X6585" s="3"/>
      <c r="Y6585" s="3"/>
    </row>
    <row r="6586">
      <c r="A6586" s="3"/>
      <c r="B6586" s="3"/>
      <c r="C6586" s="3"/>
      <c r="D6586" s="3"/>
      <c r="E6586" s="3"/>
      <c r="F6586" s="3"/>
      <c r="G6586" s="3"/>
      <c r="H6586" s="3"/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  <c r="T6586" s="3"/>
      <c r="U6586" s="3"/>
      <c r="V6586" s="3"/>
      <c r="W6586" s="3"/>
      <c r="X6586" s="3"/>
      <c r="Y6586" s="3"/>
    </row>
    <row r="6587">
      <c r="A6587" s="3"/>
      <c r="B6587" s="3"/>
      <c r="C6587" s="3"/>
      <c r="D6587" s="3"/>
      <c r="E6587" s="3"/>
      <c r="F6587" s="3"/>
      <c r="G6587" s="3"/>
      <c r="H6587" s="3"/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  <c r="T6587" s="3"/>
      <c r="U6587" s="3"/>
      <c r="V6587" s="3"/>
      <c r="W6587" s="3"/>
      <c r="X6587" s="3"/>
      <c r="Y6587" s="3"/>
    </row>
    <row r="6588">
      <c r="A6588" s="3"/>
      <c r="B6588" s="3"/>
      <c r="C6588" s="3"/>
      <c r="D6588" s="3"/>
      <c r="E6588" s="3"/>
      <c r="F6588" s="3"/>
      <c r="G6588" s="3"/>
      <c r="H6588" s="3"/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  <c r="T6588" s="3"/>
      <c r="U6588" s="3"/>
      <c r="V6588" s="3"/>
      <c r="W6588" s="3"/>
      <c r="X6588" s="3"/>
      <c r="Y6588" s="3"/>
    </row>
    <row r="6589">
      <c r="A6589" s="3"/>
      <c r="B6589" s="3"/>
      <c r="C6589" s="3"/>
      <c r="D6589" s="3"/>
      <c r="E6589" s="3"/>
      <c r="F6589" s="3"/>
      <c r="G6589" s="3"/>
      <c r="H6589" s="3"/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  <c r="T6589" s="3"/>
      <c r="U6589" s="3"/>
      <c r="V6589" s="3"/>
      <c r="W6589" s="3"/>
      <c r="X6589" s="3"/>
      <c r="Y6589" s="3"/>
    </row>
    <row r="6590">
      <c r="A6590" s="3"/>
      <c r="B6590" s="3"/>
      <c r="C6590" s="3"/>
      <c r="D6590" s="3"/>
      <c r="E6590" s="3"/>
      <c r="F6590" s="3"/>
      <c r="G6590" s="3"/>
      <c r="H6590" s="3"/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  <c r="T6590" s="3"/>
      <c r="U6590" s="3"/>
      <c r="V6590" s="3"/>
      <c r="W6590" s="3"/>
      <c r="X6590" s="3"/>
      <c r="Y6590" s="3"/>
    </row>
    <row r="6591">
      <c r="A6591" s="3"/>
      <c r="B6591" s="3"/>
      <c r="C6591" s="3"/>
      <c r="D6591" s="3"/>
      <c r="E6591" s="3"/>
      <c r="F6591" s="3"/>
      <c r="G6591" s="3"/>
      <c r="H6591" s="3"/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  <c r="T6591" s="3"/>
      <c r="U6591" s="3"/>
      <c r="V6591" s="3"/>
      <c r="W6591" s="3"/>
      <c r="X6591" s="3"/>
      <c r="Y6591" s="3"/>
    </row>
    <row r="6592">
      <c r="A6592" s="3"/>
      <c r="B6592" s="3"/>
      <c r="C6592" s="3"/>
      <c r="D6592" s="3"/>
      <c r="E6592" s="3"/>
      <c r="F6592" s="3"/>
      <c r="G6592" s="3"/>
      <c r="H6592" s="3"/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  <c r="T6592" s="3"/>
      <c r="U6592" s="3"/>
      <c r="V6592" s="3"/>
      <c r="W6592" s="3"/>
      <c r="X6592" s="3"/>
      <c r="Y6592" s="3"/>
    </row>
    <row r="6593">
      <c r="A6593" s="3"/>
      <c r="B6593" s="3"/>
      <c r="C6593" s="3"/>
      <c r="D6593" s="3"/>
      <c r="E6593" s="3"/>
      <c r="F6593" s="3"/>
      <c r="G6593" s="3"/>
      <c r="H6593" s="3"/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  <c r="T6593" s="3"/>
      <c r="U6593" s="3"/>
      <c r="V6593" s="3"/>
      <c r="W6593" s="3"/>
      <c r="X6593" s="3"/>
      <c r="Y6593" s="3"/>
    </row>
    <row r="6594">
      <c r="A6594" s="3"/>
      <c r="B6594" s="3"/>
      <c r="C6594" s="3"/>
      <c r="D6594" s="3"/>
      <c r="E6594" s="3"/>
      <c r="F6594" s="3"/>
      <c r="G6594" s="3"/>
      <c r="H6594" s="3"/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  <c r="T6594" s="3"/>
      <c r="U6594" s="3"/>
      <c r="V6594" s="3"/>
      <c r="W6594" s="3"/>
      <c r="X6594" s="3"/>
      <c r="Y6594" s="3"/>
    </row>
    <row r="6595">
      <c r="A6595" s="3"/>
      <c r="B6595" s="3"/>
      <c r="C6595" s="3"/>
      <c r="D6595" s="3"/>
      <c r="E6595" s="3"/>
      <c r="F6595" s="3"/>
      <c r="G6595" s="3"/>
      <c r="H6595" s="3"/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  <c r="T6595" s="3"/>
      <c r="U6595" s="3"/>
      <c r="V6595" s="3"/>
      <c r="W6595" s="3"/>
      <c r="X6595" s="3"/>
      <c r="Y6595" s="3"/>
    </row>
    <row r="6596">
      <c r="A6596" s="3"/>
      <c r="B6596" s="3"/>
      <c r="C6596" s="3"/>
      <c r="D6596" s="3"/>
      <c r="E6596" s="3"/>
      <c r="F6596" s="3"/>
      <c r="G6596" s="3"/>
      <c r="H6596" s="3"/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  <c r="T6596" s="3"/>
      <c r="U6596" s="3"/>
      <c r="V6596" s="3"/>
      <c r="W6596" s="3"/>
      <c r="X6596" s="3"/>
      <c r="Y6596" s="3"/>
    </row>
    <row r="6597">
      <c r="A6597" s="3"/>
      <c r="B6597" s="3"/>
      <c r="C6597" s="3"/>
      <c r="D6597" s="3"/>
      <c r="E6597" s="3"/>
      <c r="F6597" s="3"/>
      <c r="G6597" s="3"/>
      <c r="H6597" s="3"/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  <c r="T6597" s="3"/>
      <c r="U6597" s="3"/>
      <c r="V6597" s="3"/>
      <c r="W6597" s="3"/>
      <c r="X6597" s="3"/>
      <c r="Y6597" s="3"/>
    </row>
    <row r="6598">
      <c r="A6598" s="3"/>
      <c r="B6598" s="3"/>
      <c r="C6598" s="3"/>
      <c r="D6598" s="3"/>
      <c r="E6598" s="3"/>
      <c r="F6598" s="3"/>
      <c r="G6598" s="3"/>
      <c r="H6598" s="3"/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  <c r="T6598" s="3"/>
      <c r="U6598" s="3"/>
      <c r="V6598" s="3"/>
      <c r="W6598" s="3"/>
      <c r="X6598" s="3"/>
      <c r="Y6598" s="3"/>
    </row>
    <row r="6599">
      <c r="A6599" s="3"/>
      <c r="B6599" s="3"/>
      <c r="C6599" s="3"/>
      <c r="D6599" s="3"/>
      <c r="E6599" s="3"/>
      <c r="F6599" s="3"/>
      <c r="G6599" s="3"/>
      <c r="H6599" s="3"/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  <c r="T6599" s="3"/>
      <c r="U6599" s="3"/>
      <c r="V6599" s="3"/>
      <c r="W6599" s="3"/>
      <c r="X6599" s="3"/>
      <c r="Y6599" s="3"/>
    </row>
    <row r="6600">
      <c r="A6600" s="3"/>
      <c r="B6600" s="3"/>
      <c r="C6600" s="3"/>
      <c r="D6600" s="3"/>
      <c r="E6600" s="3"/>
      <c r="F6600" s="3"/>
      <c r="G6600" s="3"/>
      <c r="H6600" s="3"/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  <c r="T6600" s="3"/>
      <c r="U6600" s="3"/>
      <c r="V6600" s="3"/>
      <c r="W6600" s="3"/>
      <c r="X6600" s="3"/>
      <c r="Y6600" s="3"/>
    </row>
    <row r="6601">
      <c r="A6601" s="3"/>
      <c r="B6601" s="3"/>
      <c r="C6601" s="3"/>
      <c r="D6601" s="3"/>
      <c r="E6601" s="3"/>
      <c r="F6601" s="3"/>
      <c r="G6601" s="3"/>
      <c r="H6601" s="3"/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  <c r="T6601" s="3"/>
      <c r="U6601" s="3"/>
      <c r="V6601" s="3"/>
      <c r="W6601" s="3"/>
      <c r="X6601" s="3"/>
      <c r="Y6601" s="3"/>
    </row>
    <row r="6602">
      <c r="A6602" s="3"/>
      <c r="B6602" s="3"/>
      <c r="C6602" s="3"/>
      <c r="D6602" s="3"/>
      <c r="E6602" s="3"/>
      <c r="F6602" s="3"/>
      <c r="G6602" s="3"/>
      <c r="H6602" s="3"/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  <c r="T6602" s="3"/>
      <c r="U6602" s="3"/>
      <c r="V6602" s="3"/>
      <c r="W6602" s="3"/>
      <c r="X6602" s="3"/>
      <c r="Y6602" s="3"/>
    </row>
    <row r="6603">
      <c r="A6603" s="3"/>
      <c r="B6603" s="3"/>
      <c r="C6603" s="3"/>
      <c r="D6603" s="3"/>
      <c r="E6603" s="3"/>
      <c r="F6603" s="3"/>
      <c r="G6603" s="3"/>
      <c r="H6603" s="3"/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  <c r="T6603" s="3"/>
      <c r="U6603" s="3"/>
      <c r="V6603" s="3"/>
      <c r="W6603" s="3"/>
      <c r="X6603" s="3"/>
      <c r="Y6603" s="3"/>
    </row>
    <row r="6604">
      <c r="A6604" s="3"/>
      <c r="B6604" s="3"/>
      <c r="C6604" s="3"/>
      <c r="D6604" s="3"/>
      <c r="E6604" s="3"/>
      <c r="F6604" s="3"/>
      <c r="G6604" s="3"/>
      <c r="H6604" s="3"/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  <c r="T6604" s="3"/>
      <c r="U6604" s="3"/>
      <c r="V6604" s="3"/>
      <c r="W6604" s="3"/>
      <c r="X6604" s="3"/>
      <c r="Y6604" s="3"/>
    </row>
    <row r="6605">
      <c r="A6605" s="3"/>
      <c r="B6605" s="3"/>
      <c r="C6605" s="3"/>
      <c r="D6605" s="3"/>
      <c r="E6605" s="3"/>
      <c r="F6605" s="3"/>
      <c r="G6605" s="3"/>
      <c r="H6605" s="3"/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  <c r="T6605" s="3"/>
      <c r="U6605" s="3"/>
      <c r="V6605" s="3"/>
      <c r="W6605" s="3"/>
      <c r="X6605" s="3"/>
      <c r="Y6605" s="3"/>
    </row>
    <row r="6606">
      <c r="A6606" s="3"/>
      <c r="B6606" s="3"/>
      <c r="C6606" s="3"/>
      <c r="D6606" s="3"/>
      <c r="E6606" s="3"/>
      <c r="F6606" s="3"/>
      <c r="G6606" s="3"/>
      <c r="H6606" s="3"/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  <c r="T6606" s="3"/>
      <c r="U6606" s="3"/>
      <c r="V6606" s="3"/>
      <c r="W6606" s="3"/>
      <c r="X6606" s="3"/>
      <c r="Y6606" s="3"/>
    </row>
    <row r="6607">
      <c r="A6607" s="3"/>
      <c r="B6607" s="3"/>
      <c r="C6607" s="3"/>
      <c r="D6607" s="3"/>
      <c r="E6607" s="3"/>
      <c r="F6607" s="3"/>
      <c r="G6607" s="3"/>
      <c r="H6607" s="3"/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  <c r="T6607" s="3"/>
      <c r="U6607" s="3"/>
      <c r="V6607" s="3"/>
      <c r="W6607" s="3"/>
      <c r="X6607" s="3"/>
      <c r="Y6607" s="3"/>
    </row>
    <row r="6608">
      <c r="A6608" s="3"/>
      <c r="B6608" s="3"/>
      <c r="C6608" s="3"/>
      <c r="D6608" s="3"/>
      <c r="E6608" s="3"/>
      <c r="F6608" s="3"/>
      <c r="G6608" s="3"/>
      <c r="H6608" s="3"/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  <c r="T6608" s="3"/>
      <c r="U6608" s="3"/>
      <c r="V6608" s="3"/>
      <c r="W6608" s="3"/>
      <c r="X6608" s="3"/>
      <c r="Y6608" s="3"/>
    </row>
    <row r="6609">
      <c r="A6609" s="3"/>
      <c r="B6609" s="3"/>
      <c r="C6609" s="3"/>
      <c r="D6609" s="3"/>
      <c r="E6609" s="3"/>
      <c r="F6609" s="3"/>
      <c r="G6609" s="3"/>
      <c r="H6609" s="3"/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  <c r="T6609" s="3"/>
      <c r="U6609" s="3"/>
      <c r="V6609" s="3"/>
      <c r="W6609" s="3"/>
      <c r="X6609" s="3"/>
      <c r="Y6609" s="3"/>
    </row>
    <row r="6610">
      <c r="A6610" s="3"/>
      <c r="B6610" s="3"/>
      <c r="C6610" s="3"/>
      <c r="D6610" s="3"/>
      <c r="E6610" s="3"/>
      <c r="F6610" s="3"/>
      <c r="G6610" s="3"/>
      <c r="H6610" s="3"/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  <c r="T6610" s="3"/>
      <c r="U6610" s="3"/>
      <c r="V6610" s="3"/>
      <c r="W6610" s="3"/>
      <c r="X6610" s="3"/>
      <c r="Y6610" s="3"/>
    </row>
    <row r="6611">
      <c r="A6611" s="3"/>
      <c r="B6611" s="3"/>
      <c r="C6611" s="3"/>
      <c r="D6611" s="3"/>
      <c r="E6611" s="3"/>
      <c r="F6611" s="3"/>
      <c r="G6611" s="3"/>
      <c r="H6611" s="3"/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  <c r="T6611" s="3"/>
      <c r="U6611" s="3"/>
      <c r="V6611" s="3"/>
      <c r="W6611" s="3"/>
      <c r="X6611" s="3"/>
      <c r="Y6611" s="3"/>
    </row>
    <row r="6612">
      <c r="A6612" s="3"/>
      <c r="B6612" s="3"/>
      <c r="C6612" s="3"/>
      <c r="D6612" s="3"/>
      <c r="E6612" s="3"/>
      <c r="F6612" s="3"/>
      <c r="G6612" s="3"/>
      <c r="H6612" s="3"/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  <c r="T6612" s="3"/>
      <c r="U6612" s="3"/>
      <c r="V6612" s="3"/>
      <c r="W6612" s="3"/>
      <c r="X6612" s="3"/>
      <c r="Y6612" s="3"/>
    </row>
    <row r="6613">
      <c r="A6613" s="3"/>
      <c r="B6613" s="3"/>
      <c r="C6613" s="3"/>
      <c r="D6613" s="3"/>
      <c r="E6613" s="3"/>
      <c r="F6613" s="3"/>
      <c r="G6613" s="3"/>
      <c r="H6613" s="3"/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  <c r="T6613" s="3"/>
      <c r="U6613" s="3"/>
      <c r="V6613" s="3"/>
      <c r="W6613" s="3"/>
      <c r="X6613" s="3"/>
      <c r="Y6613" s="3"/>
    </row>
    <row r="6614">
      <c r="A6614" s="3"/>
      <c r="B6614" s="3"/>
      <c r="C6614" s="3"/>
      <c r="D6614" s="3"/>
      <c r="E6614" s="3"/>
      <c r="F6614" s="3"/>
      <c r="G6614" s="3"/>
      <c r="H6614" s="3"/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  <c r="T6614" s="3"/>
      <c r="U6614" s="3"/>
      <c r="V6614" s="3"/>
      <c r="W6614" s="3"/>
      <c r="X6614" s="3"/>
      <c r="Y6614" s="3"/>
    </row>
    <row r="6615">
      <c r="A6615" s="3"/>
      <c r="B6615" s="3"/>
      <c r="C6615" s="3"/>
      <c r="D6615" s="3"/>
      <c r="E6615" s="3"/>
      <c r="F6615" s="3"/>
      <c r="G6615" s="3"/>
      <c r="H6615" s="3"/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  <c r="T6615" s="3"/>
      <c r="U6615" s="3"/>
      <c r="V6615" s="3"/>
      <c r="W6615" s="3"/>
      <c r="X6615" s="3"/>
      <c r="Y6615" s="3"/>
    </row>
    <row r="6616">
      <c r="A6616" s="3"/>
      <c r="B6616" s="3"/>
      <c r="C6616" s="3"/>
      <c r="D6616" s="3"/>
      <c r="E6616" s="3"/>
      <c r="F6616" s="3"/>
      <c r="G6616" s="3"/>
      <c r="H6616" s="3"/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  <c r="T6616" s="3"/>
      <c r="U6616" s="3"/>
      <c r="V6616" s="3"/>
      <c r="W6616" s="3"/>
      <c r="X6616" s="3"/>
      <c r="Y6616" s="3"/>
    </row>
    <row r="6617">
      <c r="A6617" s="3"/>
      <c r="B6617" s="3"/>
      <c r="C6617" s="3"/>
      <c r="D6617" s="3"/>
      <c r="E6617" s="3"/>
      <c r="F6617" s="3"/>
      <c r="G6617" s="3"/>
      <c r="H6617" s="3"/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  <c r="T6617" s="3"/>
      <c r="U6617" s="3"/>
      <c r="V6617" s="3"/>
      <c r="W6617" s="3"/>
      <c r="X6617" s="3"/>
      <c r="Y6617" s="3"/>
    </row>
    <row r="6618">
      <c r="A6618" s="3"/>
      <c r="B6618" s="3"/>
      <c r="C6618" s="3"/>
      <c r="D6618" s="3"/>
      <c r="E6618" s="3"/>
      <c r="F6618" s="3"/>
      <c r="G6618" s="3"/>
      <c r="H6618" s="3"/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  <c r="T6618" s="3"/>
      <c r="U6618" s="3"/>
      <c r="V6618" s="3"/>
      <c r="W6618" s="3"/>
      <c r="X6618" s="3"/>
      <c r="Y6618" s="3"/>
    </row>
    <row r="6619">
      <c r="A6619" s="3"/>
      <c r="B6619" s="3"/>
      <c r="C6619" s="3"/>
      <c r="D6619" s="3"/>
      <c r="E6619" s="3"/>
      <c r="F6619" s="3"/>
      <c r="G6619" s="3"/>
      <c r="H6619" s="3"/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  <c r="T6619" s="3"/>
      <c r="U6619" s="3"/>
      <c r="V6619" s="3"/>
      <c r="W6619" s="3"/>
      <c r="X6619" s="3"/>
      <c r="Y6619" s="3"/>
    </row>
    <row r="6620">
      <c r="A6620" s="3"/>
      <c r="B6620" s="3"/>
      <c r="C6620" s="3"/>
      <c r="D6620" s="3"/>
      <c r="E6620" s="3"/>
      <c r="F6620" s="3"/>
      <c r="G6620" s="3"/>
      <c r="H6620" s="3"/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  <c r="T6620" s="3"/>
      <c r="U6620" s="3"/>
      <c r="V6620" s="3"/>
      <c r="W6620" s="3"/>
      <c r="X6620" s="3"/>
      <c r="Y6620" s="3"/>
    </row>
    <row r="6621">
      <c r="A6621" s="3"/>
      <c r="B6621" s="3"/>
      <c r="C6621" s="3"/>
      <c r="D6621" s="3"/>
      <c r="E6621" s="3"/>
      <c r="F6621" s="3"/>
      <c r="G6621" s="3"/>
      <c r="H6621" s="3"/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  <c r="T6621" s="3"/>
      <c r="U6621" s="3"/>
      <c r="V6621" s="3"/>
      <c r="W6621" s="3"/>
      <c r="X6621" s="3"/>
      <c r="Y6621" s="3"/>
    </row>
    <row r="6622">
      <c r="A6622" s="3"/>
      <c r="B6622" s="3"/>
      <c r="C6622" s="3"/>
      <c r="D6622" s="3"/>
      <c r="E6622" s="3"/>
      <c r="F6622" s="3"/>
      <c r="G6622" s="3"/>
      <c r="H6622" s="3"/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  <c r="T6622" s="3"/>
      <c r="U6622" s="3"/>
      <c r="V6622" s="3"/>
      <c r="W6622" s="3"/>
      <c r="X6622" s="3"/>
      <c r="Y6622" s="3"/>
    </row>
    <row r="6623">
      <c r="A6623" s="3"/>
      <c r="B6623" s="3"/>
      <c r="C6623" s="3"/>
      <c r="D6623" s="3"/>
      <c r="E6623" s="3"/>
      <c r="F6623" s="3"/>
      <c r="G6623" s="3"/>
      <c r="H6623" s="3"/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  <c r="T6623" s="3"/>
      <c r="U6623" s="3"/>
      <c r="V6623" s="3"/>
      <c r="W6623" s="3"/>
      <c r="X6623" s="3"/>
      <c r="Y6623" s="3"/>
    </row>
    <row r="6624">
      <c r="A6624" s="3"/>
      <c r="B6624" s="3"/>
      <c r="C6624" s="3"/>
      <c r="D6624" s="3"/>
      <c r="E6624" s="3"/>
      <c r="F6624" s="3"/>
      <c r="G6624" s="3"/>
      <c r="H6624" s="3"/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  <c r="T6624" s="3"/>
      <c r="U6624" s="3"/>
      <c r="V6624" s="3"/>
      <c r="W6624" s="3"/>
      <c r="X6624" s="3"/>
      <c r="Y6624" s="3"/>
    </row>
    <row r="6625">
      <c r="A6625" s="3"/>
      <c r="B6625" s="3"/>
      <c r="C6625" s="3"/>
      <c r="D6625" s="3"/>
      <c r="E6625" s="3"/>
      <c r="F6625" s="3"/>
      <c r="G6625" s="3"/>
      <c r="H6625" s="3"/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  <c r="T6625" s="3"/>
      <c r="U6625" s="3"/>
      <c r="V6625" s="3"/>
      <c r="W6625" s="3"/>
      <c r="X6625" s="3"/>
      <c r="Y6625" s="3"/>
    </row>
    <row r="6626">
      <c r="A6626" s="3"/>
      <c r="B6626" s="3"/>
      <c r="C6626" s="3"/>
      <c r="D6626" s="3"/>
      <c r="E6626" s="3"/>
      <c r="F6626" s="3"/>
      <c r="G6626" s="3"/>
      <c r="H6626" s="3"/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  <c r="T6626" s="3"/>
      <c r="U6626" s="3"/>
      <c r="V6626" s="3"/>
      <c r="W6626" s="3"/>
      <c r="X6626" s="3"/>
      <c r="Y6626" s="3"/>
    </row>
    <row r="6627">
      <c r="A6627" s="3"/>
      <c r="B6627" s="3"/>
      <c r="C6627" s="3"/>
      <c r="D6627" s="3"/>
      <c r="E6627" s="3"/>
      <c r="F6627" s="3"/>
      <c r="G6627" s="3"/>
      <c r="H6627" s="3"/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  <c r="T6627" s="3"/>
      <c r="U6627" s="3"/>
      <c r="V6627" s="3"/>
      <c r="W6627" s="3"/>
      <c r="X6627" s="3"/>
      <c r="Y6627" s="3"/>
    </row>
    <row r="6628">
      <c r="A6628" s="3"/>
      <c r="B6628" s="3"/>
      <c r="C6628" s="3"/>
      <c r="D6628" s="3"/>
      <c r="E6628" s="3"/>
      <c r="F6628" s="3"/>
      <c r="G6628" s="3"/>
      <c r="H6628" s="3"/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  <c r="T6628" s="3"/>
      <c r="U6628" s="3"/>
      <c r="V6628" s="3"/>
      <c r="W6628" s="3"/>
      <c r="X6628" s="3"/>
      <c r="Y6628" s="3"/>
    </row>
    <row r="6629">
      <c r="A6629" s="3"/>
      <c r="B6629" s="3"/>
      <c r="C6629" s="3"/>
      <c r="D6629" s="3"/>
      <c r="E6629" s="3"/>
      <c r="F6629" s="3"/>
      <c r="G6629" s="3"/>
      <c r="H6629" s="3"/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  <c r="T6629" s="3"/>
      <c r="U6629" s="3"/>
      <c r="V6629" s="3"/>
      <c r="W6629" s="3"/>
      <c r="X6629" s="3"/>
      <c r="Y6629" s="3"/>
    </row>
    <row r="6630">
      <c r="A6630" s="3"/>
      <c r="B6630" s="3"/>
      <c r="C6630" s="3"/>
      <c r="D6630" s="3"/>
      <c r="E6630" s="3"/>
      <c r="F6630" s="3"/>
      <c r="G6630" s="3"/>
      <c r="H6630" s="3"/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  <c r="T6630" s="3"/>
      <c r="U6630" s="3"/>
      <c r="V6630" s="3"/>
      <c r="W6630" s="3"/>
      <c r="X6630" s="3"/>
      <c r="Y6630" s="3"/>
    </row>
    <row r="6631">
      <c r="A6631" s="3"/>
      <c r="B6631" s="3"/>
      <c r="C6631" s="3"/>
      <c r="D6631" s="3"/>
      <c r="E6631" s="3"/>
      <c r="F6631" s="3"/>
      <c r="G6631" s="3"/>
      <c r="H6631" s="3"/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  <c r="T6631" s="3"/>
      <c r="U6631" s="3"/>
      <c r="V6631" s="3"/>
      <c r="W6631" s="3"/>
      <c r="X6631" s="3"/>
      <c r="Y6631" s="3"/>
    </row>
    <row r="6632">
      <c r="A6632" s="3"/>
      <c r="B6632" s="3"/>
      <c r="C6632" s="3"/>
      <c r="D6632" s="3"/>
      <c r="E6632" s="3"/>
      <c r="F6632" s="3"/>
      <c r="G6632" s="3"/>
      <c r="H6632" s="3"/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  <c r="T6632" s="3"/>
      <c r="U6632" s="3"/>
      <c r="V6632" s="3"/>
      <c r="W6632" s="3"/>
      <c r="X6632" s="3"/>
      <c r="Y6632" s="3"/>
    </row>
    <row r="6633">
      <c r="A6633" s="3"/>
      <c r="B6633" s="3"/>
      <c r="C6633" s="3"/>
      <c r="D6633" s="3"/>
      <c r="E6633" s="3"/>
      <c r="F6633" s="3"/>
      <c r="G6633" s="3"/>
      <c r="H6633" s="3"/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  <c r="T6633" s="3"/>
      <c r="U6633" s="3"/>
      <c r="V6633" s="3"/>
      <c r="W6633" s="3"/>
      <c r="X6633" s="3"/>
      <c r="Y6633" s="3"/>
    </row>
    <row r="6634">
      <c r="A6634" s="3"/>
      <c r="B6634" s="3"/>
      <c r="C6634" s="3"/>
      <c r="D6634" s="3"/>
      <c r="E6634" s="3"/>
      <c r="F6634" s="3"/>
      <c r="G6634" s="3"/>
      <c r="H6634" s="3"/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  <c r="T6634" s="3"/>
      <c r="U6634" s="3"/>
      <c r="V6634" s="3"/>
      <c r="W6634" s="3"/>
      <c r="X6634" s="3"/>
      <c r="Y6634" s="3"/>
    </row>
    <row r="6635">
      <c r="A6635" s="3"/>
      <c r="B6635" s="3"/>
      <c r="C6635" s="3"/>
      <c r="D6635" s="3"/>
      <c r="E6635" s="3"/>
      <c r="F6635" s="3"/>
      <c r="G6635" s="3"/>
      <c r="H6635" s="3"/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  <c r="T6635" s="3"/>
      <c r="U6635" s="3"/>
      <c r="V6635" s="3"/>
      <c r="W6635" s="3"/>
      <c r="X6635" s="3"/>
      <c r="Y6635" s="3"/>
    </row>
    <row r="6636">
      <c r="A6636" s="3"/>
      <c r="B6636" s="3"/>
      <c r="C6636" s="3"/>
      <c r="D6636" s="3"/>
      <c r="E6636" s="3"/>
      <c r="F6636" s="3"/>
      <c r="G6636" s="3"/>
      <c r="H6636" s="3"/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  <c r="T6636" s="3"/>
      <c r="U6636" s="3"/>
      <c r="V6636" s="3"/>
      <c r="W6636" s="3"/>
      <c r="X6636" s="3"/>
      <c r="Y6636" s="3"/>
    </row>
    <row r="6637">
      <c r="A6637" s="3"/>
      <c r="B6637" s="3"/>
      <c r="C6637" s="3"/>
      <c r="D6637" s="3"/>
      <c r="E6637" s="3"/>
      <c r="F6637" s="3"/>
      <c r="G6637" s="3"/>
      <c r="H6637" s="3"/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  <c r="T6637" s="3"/>
      <c r="U6637" s="3"/>
      <c r="V6637" s="3"/>
      <c r="W6637" s="3"/>
      <c r="X6637" s="3"/>
      <c r="Y6637" s="3"/>
    </row>
    <row r="6638">
      <c r="A6638" s="3"/>
      <c r="B6638" s="3"/>
      <c r="C6638" s="3"/>
      <c r="D6638" s="3"/>
      <c r="E6638" s="3"/>
      <c r="F6638" s="3"/>
      <c r="G6638" s="3"/>
      <c r="H6638" s="3"/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  <c r="T6638" s="3"/>
      <c r="U6638" s="3"/>
      <c r="V6638" s="3"/>
      <c r="W6638" s="3"/>
      <c r="X6638" s="3"/>
      <c r="Y6638" s="3"/>
    </row>
    <row r="6639">
      <c r="A6639" s="3"/>
      <c r="B6639" s="3"/>
      <c r="C6639" s="3"/>
      <c r="D6639" s="3"/>
      <c r="E6639" s="3"/>
      <c r="F6639" s="3"/>
      <c r="G6639" s="3"/>
      <c r="H6639" s="3"/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  <c r="T6639" s="3"/>
      <c r="U6639" s="3"/>
      <c r="V6639" s="3"/>
      <c r="W6639" s="3"/>
      <c r="X6639" s="3"/>
      <c r="Y6639" s="3"/>
    </row>
    <row r="6640">
      <c r="A6640" s="3"/>
      <c r="B6640" s="3"/>
      <c r="C6640" s="3"/>
      <c r="D6640" s="3"/>
      <c r="E6640" s="3"/>
      <c r="F6640" s="3"/>
      <c r="G6640" s="3"/>
      <c r="H6640" s="3"/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  <c r="T6640" s="3"/>
      <c r="U6640" s="3"/>
      <c r="V6640" s="3"/>
      <c r="W6640" s="3"/>
      <c r="X6640" s="3"/>
      <c r="Y6640" s="3"/>
    </row>
    <row r="6641">
      <c r="A6641" s="3"/>
      <c r="B6641" s="3"/>
      <c r="C6641" s="3"/>
      <c r="D6641" s="3"/>
      <c r="E6641" s="3"/>
      <c r="F6641" s="3"/>
      <c r="G6641" s="3"/>
      <c r="H6641" s="3"/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  <c r="T6641" s="3"/>
      <c r="U6641" s="3"/>
      <c r="V6641" s="3"/>
      <c r="W6641" s="3"/>
      <c r="X6641" s="3"/>
      <c r="Y6641" s="3"/>
    </row>
    <row r="6642">
      <c r="A6642" s="3"/>
      <c r="B6642" s="3"/>
      <c r="C6642" s="3"/>
      <c r="D6642" s="3"/>
      <c r="E6642" s="3"/>
      <c r="F6642" s="3"/>
      <c r="G6642" s="3"/>
      <c r="H6642" s="3"/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  <c r="T6642" s="3"/>
      <c r="U6642" s="3"/>
      <c r="V6642" s="3"/>
      <c r="W6642" s="3"/>
      <c r="X6642" s="3"/>
      <c r="Y6642" s="3"/>
    </row>
    <row r="6643">
      <c r="A6643" s="3"/>
      <c r="B6643" s="3"/>
      <c r="C6643" s="3"/>
      <c r="D6643" s="3"/>
      <c r="E6643" s="3"/>
      <c r="F6643" s="3"/>
      <c r="G6643" s="3"/>
      <c r="H6643" s="3"/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  <c r="T6643" s="3"/>
      <c r="U6643" s="3"/>
      <c r="V6643" s="3"/>
      <c r="W6643" s="3"/>
      <c r="X6643" s="3"/>
      <c r="Y6643" s="3"/>
    </row>
    <row r="6644">
      <c r="A6644" s="3"/>
      <c r="B6644" s="3"/>
      <c r="C6644" s="3"/>
      <c r="D6644" s="3"/>
      <c r="E6644" s="3"/>
      <c r="F6644" s="3"/>
      <c r="G6644" s="3"/>
      <c r="H6644" s="3"/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  <c r="T6644" s="3"/>
      <c r="U6644" s="3"/>
      <c r="V6644" s="3"/>
      <c r="W6644" s="3"/>
      <c r="X6644" s="3"/>
      <c r="Y6644" s="3"/>
    </row>
    <row r="6645">
      <c r="A6645" s="3"/>
      <c r="B6645" s="3"/>
      <c r="C6645" s="3"/>
      <c r="D6645" s="3"/>
      <c r="E6645" s="3"/>
      <c r="F6645" s="3"/>
      <c r="G6645" s="3"/>
      <c r="H6645" s="3"/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  <c r="T6645" s="3"/>
      <c r="U6645" s="3"/>
      <c r="V6645" s="3"/>
      <c r="W6645" s="3"/>
      <c r="X6645" s="3"/>
      <c r="Y6645" s="3"/>
    </row>
    <row r="6646">
      <c r="A6646" s="3"/>
      <c r="B6646" s="3"/>
      <c r="C6646" s="3"/>
      <c r="D6646" s="3"/>
      <c r="E6646" s="3"/>
      <c r="F6646" s="3"/>
      <c r="G6646" s="3"/>
      <c r="H6646" s="3"/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  <c r="T6646" s="3"/>
      <c r="U6646" s="3"/>
      <c r="V6646" s="3"/>
      <c r="W6646" s="3"/>
      <c r="X6646" s="3"/>
      <c r="Y6646" s="3"/>
    </row>
    <row r="6647">
      <c r="A6647" s="3"/>
      <c r="B6647" s="3"/>
      <c r="C6647" s="3"/>
      <c r="D6647" s="3"/>
      <c r="E6647" s="3"/>
      <c r="F6647" s="3"/>
      <c r="G6647" s="3"/>
      <c r="H6647" s="3"/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  <c r="T6647" s="3"/>
      <c r="U6647" s="3"/>
      <c r="V6647" s="3"/>
      <c r="W6647" s="3"/>
      <c r="X6647" s="3"/>
      <c r="Y6647" s="3"/>
    </row>
    <row r="6648">
      <c r="A6648" s="3"/>
      <c r="B6648" s="3"/>
      <c r="C6648" s="3"/>
      <c r="D6648" s="3"/>
      <c r="E6648" s="3"/>
      <c r="F6648" s="3"/>
      <c r="G6648" s="3"/>
      <c r="H6648" s="3"/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  <c r="T6648" s="3"/>
      <c r="U6648" s="3"/>
      <c r="V6648" s="3"/>
      <c r="W6648" s="3"/>
      <c r="X6648" s="3"/>
      <c r="Y6648" s="3"/>
    </row>
    <row r="6649">
      <c r="A6649" s="3"/>
      <c r="B6649" s="3"/>
      <c r="C6649" s="3"/>
      <c r="D6649" s="3"/>
      <c r="E6649" s="3"/>
      <c r="F6649" s="3"/>
      <c r="G6649" s="3"/>
      <c r="H6649" s="3"/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  <c r="T6649" s="3"/>
      <c r="U6649" s="3"/>
      <c r="V6649" s="3"/>
      <c r="W6649" s="3"/>
      <c r="X6649" s="3"/>
      <c r="Y6649" s="3"/>
    </row>
    <row r="6650">
      <c r="A6650" s="3"/>
      <c r="B6650" s="3"/>
      <c r="C6650" s="3"/>
      <c r="D6650" s="3"/>
      <c r="E6650" s="3"/>
      <c r="F6650" s="3"/>
      <c r="G6650" s="3"/>
      <c r="H6650" s="3"/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  <c r="T6650" s="3"/>
      <c r="U6650" s="3"/>
      <c r="V6650" s="3"/>
      <c r="W6650" s="3"/>
      <c r="X6650" s="3"/>
      <c r="Y6650" s="3"/>
    </row>
    <row r="6651">
      <c r="A6651" s="3"/>
      <c r="B6651" s="3"/>
      <c r="C6651" s="3"/>
      <c r="D6651" s="3"/>
      <c r="E6651" s="3"/>
      <c r="F6651" s="3"/>
      <c r="G6651" s="3"/>
      <c r="H6651" s="3"/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  <c r="T6651" s="3"/>
      <c r="U6651" s="3"/>
      <c r="V6651" s="3"/>
      <c r="W6651" s="3"/>
      <c r="X6651" s="3"/>
      <c r="Y6651" s="3"/>
    </row>
    <row r="6652">
      <c r="A6652" s="3"/>
      <c r="B6652" s="3"/>
      <c r="C6652" s="3"/>
      <c r="D6652" s="3"/>
      <c r="E6652" s="3"/>
      <c r="F6652" s="3"/>
      <c r="G6652" s="3"/>
      <c r="H6652" s="3"/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  <c r="T6652" s="3"/>
      <c r="U6652" s="3"/>
      <c r="V6652" s="3"/>
      <c r="W6652" s="3"/>
      <c r="X6652" s="3"/>
      <c r="Y6652" s="3"/>
    </row>
    <row r="6653">
      <c r="A6653" s="3"/>
      <c r="B6653" s="3"/>
      <c r="C6653" s="3"/>
      <c r="D6653" s="3"/>
      <c r="E6653" s="3"/>
      <c r="F6653" s="3"/>
      <c r="G6653" s="3"/>
      <c r="H6653" s="3"/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  <c r="T6653" s="3"/>
      <c r="U6653" s="3"/>
      <c r="V6653" s="3"/>
      <c r="W6653" s="3"/>
      <c r="X6653" s="3"/>
      <c r="Y6653" s="3"/>
    </row>
    <row r="6654">
      <c r="A6654" s="3"/>
      <c r="B6654" s="3"/>
      <c r="C6654" s="3"/>
      <c r="D6654" s="3"/>
      <c r="E6654" s="3"/>
      <c r="F6654" s="3"/>
      <c r="G6654" s="3"/>
      <c r="H6654" s="3"/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  <c r="T6654" s="3"/>
      <c r="U6654" s="3"/>
      <c r="V6654" s="3"/>
      <c r="W6654" s="3"/>
      <c r="X6654" s="3"/>
      <c r="Y6654" s="3"/>
    </row>
    <row r="6655">
      <c r="A6655" s="3"/>
      <c r="B6655" s="3"/>
      <c r="C6655" s="3"/>
      <c r="D6655" s="3"/>
      <c r="E6655" s="3"/>
      <c r="F6655" s="3"/>
      <c r="G6655" s="3"/>
      <c r="H6655" s="3"/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  <c r="T6655" s="3"/>
      <c r="U6655" s="3"/>
      <c r="V6655" s="3"/>
      <c r="W6655" s="3"/>
      <c r="X6655" s="3"/>
      <c r="Y6655" s="3"/>
    </row>
    <row r="6656">
      <c r="A6656" s="3"/>
      <c r="B6656" s="3"/>
      <c r="C6656" s="3"/>
      <c r="D6656" s="3"/>
      <c r="E6656" s="3"/>
      <c r="F6656" s="3"/>
      <c r="G6656" s="3"/>
      <c r="H6656" s="3"/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  <c r="T6656" s="3"/>
      <c r="U6656" s="3"/>
      <c r="V6656" s="3"/>
      <c r="W6656" s="3"/>
      <c r="X6656" s="3"/>
      <c r="Y6656" s="3"/>
    </row>
    <row r="6657">
      <c r="A6657" s="3"/>
      <c r="B6657" s="3"/>
      <c r="C6657" s="3"/>
      <c r="D6657" s="3"/>
      <c r="E6657" s="3"/>
      <c r="F6657" s="3"/>
      <c r="G6657" s="3"/>
      <c r="H6657" s="3"/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  <c r="T6657" s="3"/>
      <c r="U6657" s="3"/>
      <c r="V6657" s="3"/>
      <c r="W6657" s="3"/>
      <c r="X6657" s="3"/>
      <c r="Y6657" s="3"/>
    </row>
    <row r="6658">
      <c r="A6658" s="3"/>
      <c r="B6658" s="3"/>
      <c r="C6658" s="3"/>
      <c r="D6658" s="3"/>
      <c r="E6658" s="3"/>
      <c r="F6658" s="3"/>
      <c r="G6658" s="3"/>
      <c r="H6658" s="3"/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  <c r="T6658" s="3"/>
      <c r="U6658" s="3"/>
      <c r="V6658" s="3"/>
      <c r="W6658" s="3"/>
      <c r="X6658" s="3"/>
      <c r="Y6658" s="3"/>
    </row>
    <row r="6659">
      <c r="A6659" s="3"/>
      <c r="B6659" s="3"/>
      <c r="C6659" s="3"/>
      <c r="D6659" s="3"/>
      <c r="E6659" s="3"/>
      <c r="F6659" s="3"/>
      <c r="G6659" s="3"/>
      <c r="H6659" s="3"/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  <c r="T6659" s="3"/>
      <c r="U6659" s="3"/>
      <c r="V6659" s="3"/>
      <c r="W6659" s="3"/>
      <c r="X6659" s="3"/>
      <c r="Y6659" s="3"/>
    </row>
    <row r="6660">
      <c r="A6660" s="3"/>
      <c r="B6660" s="3"/>
      <c r="C6660" s="3"/>
      <c r="D6660" s="3"/>
      <c r="E6660" s="3"/>
      <c r="F6660" s="3"/>
      <c r="G6660" s="3"/>
      <c r="H6660" s="3"/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  <c r="T6660" s="3"/>
      <c r="U6660" s="3"/>
      <c r="V6660" s="3"/>
      <c r="W6660" s="3"/>
      <c r="X6660" s="3"/>
      <c r="Y6660" s="3"/>
    </row>
    <row r="6661">
      <c r="A6661" s="3"/>
      <c r="B6661" s="3"/>
      <c r="C6661" s="3"/>
      <c r="D6661" s="3"/>
      <c r="E6661" s="3"/>
      <c r="F6661" s="3"/>
      <c r="G6661" s="3"/>
      <c r="H6661" s="3"/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  <c r="T6661" s="3"/>
      <c r="U6661" s="3"/>
      <c r="V6661" s="3"/>
      <c r="W6661" s="3"/>
      <c r="X6661" s="3"/>
      <c r="Y6661" s="3"/>
    </row>
    <row r="6662">
      <c r="A6662" s="3"/>
      <c r="B6662" s="3"/>
      <c r="C6662" s="3"/>
      <c r="D6662" s="3"/>
      <c r="E6662" s="3"/>
      <c r="F6662" s="3"/>
      <c r="G6662" s="3"/>
      <c r="H6662" s="3"/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  <c r="T6662" s="3"/>
      <c r="U6662" s="3"/>
      <c r="V6662" s="3"/>
      <c r="W6662" s="3"/>
      <c r="X6662" s="3"/>
      <c r="Y6662" s="3"/>
    </row>
    <row r="6663">
      <c r="A6663" s="3"/>
      <c r="B6663" s="3"/>
      <c r="C6663" s="3"/>
      <c r="D6663" s="3"/>
      <c r="E6663" s="3"/>
      <c r="F6663" s="3"/>
      <c r="G6663" s="3"/>
      <c r="H6663" s="3"/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  <c r="T6663" s="3"/>
      <c r="U6663" s="3"/>
      <c r="V6663" s="3"/>
      <c r="W6663" s="3"/>
      <c r="X6663" s="3"/>
      <c r="Y6663" s="3"/>
    </row>
    <row r="6664">
      <c r="A6664" s="3"/>
      <c r="B6664" s="3"/>
      <c r="C6664" s="3"/>
      <c r="D6664" s="3"/>
      <c r="E6664" s="3"/>
      <c r="F6664" s="3"/>
      <c r="G6664" s="3"/>
      <c r="H6664" s="3"/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  <c r="T6664" s="3"/>
      <c r="U6664" s="3"/>
      <c r="V6664" s="3"/>
      <c r="W6664" s="3"/>
      <c r="X6664" s="3"/>
      <c r="Y6664" s="3"/>
    </row>
    <row r="6665">
      <c r="A6665" s="3"/>
      <c r="B6665" s="3"/>
      <c r="C6665" s="3"/>
      <c r="D6665" s="3"/>
      <c r="E6665" s="3"/>
      <c r="F6665" s="3"/>
      <c r="G6665" s="3"/>
      <c r="H6665" s="3"/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  <c r="T6665" s="3"/>
      <c r="U6665" s="3"/>
      <c r="V6665" s="3"/>
      <c r="W6665" s="3"/>
      <c r="X6665" s="3"/>
      <c r="Y6665" s="3"/>
    </row>
    <row r="6666">
      <c r="A6666" s="3"/>
      <c r="B6666" s="3"/>
      <c r="C6666" s="3"/>
      <c r="D6666" s="3"/>
      <c r="E6666" s="3"/>
      <c r="F6666" s="3"/>
      <c r="G6666" s="3"/>
      <c r="H6666" s="3"/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  <c r="T6666" s="3"/>
      <c r="U6666" s="3"/>
      <c r="V6666" s="3"/>
      <c r="W6666" s="3"/>
      <c r="X6666" s="3"/>
      <c r="Y6666" s="3"/>
    </row>
    <row r="6667">
      <c r="A6667" s="3"/>
      <c r="B6667" s="3"/>
      <c r="C6667" s="3"/>
      <c r="D6667" s="3"/>
      <c r="E6667" s="3"/>
      <c r="F6667" s="3"/>
      <c r="G6667" s="3"/>
      <c r="H6667" s="3"/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  <c r="T6667" s="3"/>
      <c r="U6667" s="3"/>
      <c r="V6667" s="3"/>
      <c r="W6667" s="3"/>
      <c r="X6667" s="3"/>
      <c r="Y6667" s="3"/>
    </row>
    <row r="6668">
      <c r="A6668" s="3"/>
      <c r="B6668" s="3"/>
      <c r="C6668" s="3"/>
      <c r="D6668" s="3"/>
      <c r="E6668" s="3"/>
      <c r="F6668" s="3"/>
      <c r="G6668" s="3"/>
      <c r="H6668" s="3"/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  <c r="T6668" s="3"/>
      <c r="U6668" s="3"/>
      <c r="V6668" s="3"/>
      <c r="W6668" s="3"/>
      <c r="X6668" s="3"/>
      <c r="Y6668" s="3"/>
    </row>
    <row r="6669">
      <c r="A6669" s="3"/>
      <c r="B6669" s="3"/>
      <c r="C6669" s="3"/>
      <c r="D6669" s="3"/>
      <c r="E6669" s="3"/>
      <c r="F6669" s="3"/>
      <c r="G6669" s="3"/>
      <c r="H6669" s="3"/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  <c r="T6669" s="3"/>
      <c r="U6669" s="3"/>
      <c r="V6669" s="3"/>
      <c r="W6669" s="3"/>
      <c r="X6669" s="3"/>
      <c r="Y6669" s="3"/>
    </row>
    <row r="6670">
      <c r="A6670" s="3"/>
      <c r="B6670" s="3"/>
      <c r="C6670" s="3"/>
      <c r="D6670" s="3"/>
      <c r="E6670" s="3"/>
      <c r="F6670" s="3"/>
      <c r="G6670" s="3"/>
      <c r="H6670" s="3"/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  <c r="T6670" s="3"/>
      <c r="U6670" s="3"/>
      <c r="V6670" s="3"/>
      <c r="W6670" s="3"/>
      <c r="X6670" s="3"/>
      <c r="Y6670" s="3"/>
    </row>
    <row r="6671">
      <c r="A6671" s="3"/>
      <c r="B6671" s="3"/>
      <c r="C6671" s="3"/>
      <c r="D6671" s="3"/>
      <c r="E6671" s="3"/>
      <c r="F6671" s="3"/>
      <c r="G6671" s="3"/>
      <c r="H6671" s="3"/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  <c r="T6671" s="3"/>
      <c r="U6671" s="3"/>
      <c r="V6671" s="3"/>
      <c r="W6671" s="3"/>
      <c r="X6671" s="3"/>
      <c r="Y6671" s="3"/>
    </row>
    <row r="6672">
      <c r="A6672" s="3"/>
      <c r="B6672" s="3"/>
      <c r="C6672" s="3"/>
      <c r="D6672" s="3"/>
      <c r="E6672" s="3"/>
      <c r="F6672" s="3"/>
      <c r="G6672" s="3"/>
      <c r="H6672" s="3"/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  <c r="T6672" s="3"/>
      <c r="U6672" s="3"/>
      <c r="V6672" s="3"/>
      <c r="W6672" s="3"/>
      <c r="X6672" s="3"/>
      <c r="Y6672" s="3"/>
    </row>
    <row r="6673">
      <c r="A6673" s="3"/>
      <c r="B6673" s="3"/>
      <c r="C6673" s="3"/>
      <c r="D6673" s="3"/>
      <c r="E6673" s="3"/>
      <c r="F6673" s="3"/>
      <c r="G6673" s="3"/>
      <c r="H6673" s="3"/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  <c r="T6673" s="3"/>
      <c r="U6673" s="3"/>
      <c r="V6673" s="3"/>
      <c r="W6673" s="3"/>
      <c r="X6673" s="3"/>
      <c r="Y6673" s="3"/>
    </row>
    <row r="6674">
      <c r="A6674" s="3"/>
      <c r="B6674" s="3"/>
      <c r="C6674" s="3"/>
      <c r="D6674" s="3"/>
      <c r="E6674" s="3"/>
      <c r="F6674" s="3"/>
      <c r="G6674" s="3"/>
      <c r="H6674" s="3"/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  <c r="T6674" s="3"/>
      <c r="U6674" s="3"/>
      <c r="V6674" s="3"/>
      <c r="W6674" s="3"/>
      <c r="X6674" s="3"/>
      <c r="Y6674" s="3"/>
    </row>
    <row r="6675">
      <c r="A6675" s="3"/>
      <c r="B6675" s="3"/>
      <c r="C6675" s="3"/>
      <c r="D6675" s="3"/>
      <c r="E6675" s="3"/>
      <c r="F6675" s="3"/>
      <c r="G6675" s="3"/>
      <c r="H6675" s="3"/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  <c r="T6675" s="3"/>
      <c r="U6675" s="3"/>
      <c r="V6675" s="3"/>
      <c r="W6675" s="3"/>
      <c r="X6675" s="3"/>
      <c r="Y6675" s="3"/>
    </row>
    <row r="6676">
      <c r="A6676" s="3"/>
      <c r="B6676" s="3"/>
      <c r="C6676" s="3"/>
      <c r="D6676" s="3"/>
      <c r="E6676" s="3"/>
      <c r="F6676" s="3"/>
      <c r="G6676" s="3"/>
      <c r="H6676" s="3"/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  <c r="T6676" s="3"/>
      <c r="U6676" s="3"/>
      <c r="V6676" s="3"/>
      <c r="W6676" s="3"/>
      <c r="X6676" s="3"/>
      <c r="Y6676" s="3"/>
    </row>
    <row r="6677">
      <c r="A6677" s="3"/>
      <c r="B6677" s="3"/>
      <c r="C6677" s="3"/>
      <c r="D6677" s="3"/>
      <c r="E6677" s="3"/>
      <c r="F6677" s="3"/>
      <c r="G6677" s="3"/>
      <c r="H6677" s="3"/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  <c r="T6677" s="3"/>
      <c r="U6677" s="3"/>
      <c r="V6677" s="3"/>
      <c r="W6677" s="3"/>
      <c r="X6677" s="3"/>
      <c r="Y6677" s="3"/>
    </row>
    <row r="6678">
      <c r="A6678" s="3"/>
      <c r="B6678" s="3"/>
      <c r="C6678" s="3"/>
      <c r="D6678" s="3"/>
      <c r="E6678" s="3"/>
      <c r="F6678" s="3"/>
      <c r="G6678" s="3"/>
      <c r="H6678" s="3"/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  <c r="T6678" s="3"/>
      <c r="U6678" s="3"/>
      <c r="V6678" s="3"/>
      <c r="W6678" s="3"/>
      <c r="X6678" s="3"/>
      <c r="Y6678" s="3"/>
    </row>
    <row r="6679">
      <c r="A6679" s="3"/>
      <c r="B6679" s="3"/>
      <c r="C6679" s="3"/>
      <c r="D6679" s="3"/>
      <c r="E6679" s="3"/>
      <c r="F6679" s="3"/>
      <c r="G6679" s="3"/>
      <c r="H6679" s="3"/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  <c r="T6679" s="3"/>
      <c r="U6679" s="3"/>
      <c r="V6679" s="3"/>
      <c r="W6679" s="3"/>
      <c r="X6679" s="3"/>
      <c r="Y6679" s="3"/>
    </row>
    <row r="6680">
      <c r="A6680" s="3"/>
      <c r="B6680" s="3"/>
      <c r="C6680" s="3"/>
      <c r="D6680" s="3"/>
      <c r="E6680" s="3"/>
      <c r="F6680" s="3"/>
      <c r="G6680" s="3"/>
      <c r="H6680" s="3"/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  <c r="T6680" s="3"/>
      <c r="U6680" s="3"/>
      <c r="V6680" s="3"/>
      <c r="W6680" s="3"/>
      <c r="X6680" s="3"/>
      <c r="Y6680" s="3"/>
    </row>
    <row r="6681">
      <c r="A6681" s="3"/>
      <c r="B6681" s="3"/>
      <c r="C6681" s="3"/>
      <c r="D6681" s="3"/>
      <c r="E6681" s="3"/>
      <c r="F6681" s="3"/>
      <c r="G6681" s="3"/>
      <c r="H6681" s="3"/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  <c r="T6681" s="3"/>
      <c r="U6681" s="3"/>
      <c r="V6681" s="3"/>
      <c r="W6681" s="3"/>
      <c r="X6681" s="3"/>
      <c r="Y6681" s="3"/>
    </row>
    <row r="6682">
      <c r="A6682" s="3"/>
      <c r="B6682" s="3"/>
      <c r="C6682" s="3"/>
      <c r="D6682" s="3"/>
      <c r="E6682" s="3"/>
      <c r="F6682" s="3"/>
      <c r="G6682" s="3"/>
      <c r="H6682" s="3"/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  <c r="T6682" s="3"/>
      <c r="U6682" s="3"/>
      <c r="V6682" s="3"/>
      <c r="W6682" s="3"/>
      <c r="X6682" s="3"/>
      <c r="Y6682" s="3"/>
    </row>
    <row r="6683">
      <c r="A6683" s="3"/>
      <c r="B6683" s="3"/>
      <c r="C6683" s="3"/>
      <c r="D6683" s="3"/>
      <c r="E6683" s="3"/>
      <c r="F6683" s="3"/>
      <c r="G6683" s="3"/>
      <c r="H6683" s="3"/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  <c r="T6683" s="3"/>
      <c r="U6683" s="3"/>
      <c r="V6683" s="3"/>
      <c r="W6683" s="3"/>
      <c r="X6683" s="3"/>
      <c r="Y6683" s="3"/>
    </row>
    <row r="6684">
      <c r="A6684" s="3"/>
      <c r="B6684" s="3"/>
      <c r="C6684" s="3"/>
      <c r="D6684" s="3"/>
      <c r="E6684" s="3"/>
      <c r="F6684" s="3"/>
      <c r="G6684" s="3"/>
      <c r="H6684" s="3"/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  <c r="T6684" s="3"/>
      <c r="U6684" s="3"/>
      <c r="V6684" s="3"/>
      <c r="W6684" s="3"/>
      <c r="X6684" s="3"/>
      <c r="Y6684" s="3"/>
    </row>
    <row r="6685">
      <c r="A6685" s="3"/>
      <c r="B6685" s="3"/>
      <c r="C6685" s="3"/>
      <c r="D6685" s="3"/>
      <c r="E6685" s="3"/>
      <c r="F6685" s="3"/>
      <c r="G6685" s="3"/>
      <c r="H6685" s="3"/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  <c r="T6685" s="3"/>
      <c r="U6685" s="3"/>
      <c r="V6685" s="3"/>
      <c r="W6685" s="3"/>
      <c r="X6685" s="3"/>
      <c r="Y6685" s="3"/>
    </row>
    <row r="6686">
      <c r="A6686" s="3"/>
      <c r="B6686" s="3"/>
      <c r="C6686" s="3"/>
      <c r="D6686" s="3"/>
      <c r="E6686" s="3"/>
      <c r="F6686" s="3"/>
      <c r="G6686" s="3"/>
      <c r="H6686" s="3"/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  <c r="T6686" s="3"/>
      <c r="U6686" s="3"/>
      <c r="V6686" s="3"/>
      <c r="W6686" s="3"/>
      <c r="X6686" s="3"/>
      <c r="Y6686" s="3"/>
    </row>
    <row r="6687">
      <c r="A6687" s="3"/>
      <c r="B6687" s="3"/>
      <c r="C6687" s="3"/>
      <c r="D6687" s="3"/>
      <c r="E6687" s="3"/>
      <c r="F6687" s="3"/>
      <c r="G6687" s="3"/>
      <c r="H6687" s="3"/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  <c r="T6687" s="3"/>
      <c r="U6687" s="3"/>
      <c r="V6687" s="3"/>
      <c r="W6687" s="3"/>
      <c r="X6687" s="3"/>
      <c r="Y6687" s="3"/>
    </row>
    <row r="6688">
      <c r="A6688" s="3"/>
      <c r="B6688" s="3"/>
      <c r="C6688" s="3"/>
      <c r="D6688" s="3"/>
      <c r="E6688" s="3"/>
      <c r="F6688" s="3"/>
      <c r="G6688" s="3"/>
      <c r="H6688" s="3"/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  <c r="T6688" s="3"/>
      <c r="U6688" s="3"/>
      <c r="V6688" s="3"/>
      <c r="W6688" s="3"/>
      <c r="X6688" s="3"/>
      <c r="Y6688" s="3"/>
    </row>
    <row r="6689">
      <c r="A6689" s="3"/>
      <c r="B6689" s="3"/>
      <c r="C6689" s="3"/>
      <c r="D6689" s="3"/>
      <c r="E6689" s="3"/>
      <c r="F6689" s="3"/>
      <c r="G6689" s="3"/>
      <c r="H6689" s="3"/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  <c r="T6689" s="3"/>
      <c r="U6689" s="3"/>
      <c r="V6689" s="3"/>
      <c r="W6689" s="3"/>
      <c r="X6689" s="3"/>
      <c r="Y6689" s="3"/>
    </row>
    <row r="6690">
      <c r="A6690" s="3"/>
      <c r="B6690" s="3"/>
      <c r="C6690" s="3"/>
      <c r="D6690" s="3"/>
      <c r="E6690" s="3"/>
      <c r="F6690" s="3"/>
      <c r="G6690" s="3"/>
      <c r="H6690" s="3"/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  <c r="T6690" s="3"/>
      <c r="U6690" s="3"/>
      <c r="V6690" s="3"/>
      <c r="W6690" s="3"/>
      <c r="X6690" s="3"/>
      <c r="Y6690" s="3"/>
    </row>
    <row r="6691">
      <c r="A6691" s="3"/>
      <c r="B6691" s="3"/>
      <c r="C6691" s="3"/>
      <c r="D6691" s="3"/>
      <c r="E6691" s="3"/>
      <c r="F6691" s="3"/>
      <c r="G6691" s="3"/>
      <c r="H6691" s="3"/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  <c r="T6691" s="3"/>
      <c r="U6691" s="3"/>
      <c r="V6691" s="3"/>
      <c r="W6691" s="3"/>
      <c r="X6691" s="3"/>
      <c r="Y6691" s="3"/>
    </row>
    <row r="6692">
      <c r="A6692" s="3"/>
      <c r="B6692" s="3"/>
      <c r="C6692" s="3"/>
      <c r="D6692" s="3"/>
      <c r="E6692" s="3"/>
      <c r="F6692" s="3"/>
      <c r="G6692" s="3"/>
      <c r="H6692" s="3"/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  <c r="T6692" s="3"/>
      <c r="U6692" s="3"/>
      <c r="V6692" s="3"/>
      <c r="W6692" s="3"/>
      <c r="X6692" s="3"/>
      <c r="Y6692" s="3"/>
    </row>
    <row r="6693">
      <c r="A6693" s="3"/>
      <c r="B6693" s="3"/>
      <c r="C6693" s="3"/>
      <c r="D6693" s="3"/>
      <c r="E6693" s="3"/>
      <c r="F6693" s="3"/>
      <c r="G6693" s="3"/>
      <c r="H6693" s="3"/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  <c r="T6693" s="3"/>
      <c r="U6693" s="3"/>
      <c r="V6693" s="3"/>
      <c r="W6693" s="3"/>
      <c r="X6693" s="3"/>
      <c r="Y6693" s="3"/>
    </row>
    <row r="6694">
      <c r="A6694" s="3"/>
      <c r="B6694" s="3"/>
      <c r="C6694" s="3"/>
      <c r="D6694" s="3"/>
      <c r="E6694" s="3"/>
      <c r="F6694" s="3"/>
      <c r="G6694" s="3"/>
      <c r="H6694" s="3"/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  <c r="T6694" s="3"/>
      <c r="U6694" s="3"/>
      <c r="V6694" s="3"/>
      <c r="W6694" s="3"/>
      <c r="X6694" s="3"/>
      <c r="Y6694" s="3"/>
    </row>
    <row r="6695">
      <c r="A6695" s="3"/>
      <c r="B6695" s="3"/>
      <c r="C6695" s="3"/>
      <c r="D6695" s="3"/>
      <c r="E6695" s="3"/>
      <c r="F6695" s="3"/>
      <c r="G6695" s="3"/>
      <c r="H6695" s="3"/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  <c r="T6695" s="3"/>
      <c r="U6695" s="3"/>
      <c r="V6695" s="3"/>
      <c r="W6695" s="3"/>
      <c r="X6695" s="3"/>
      <c r="Y6695" s="3"/>
    </row>
    <row r="6696">
      <c r="A6696" s="3"/>
      <c r="B6696" s="3"/>
      <c r="C6696" s="3"/>
      <c r="D6696" s="3"/>
      <c r="E6696" s="3"/>
      <c r="F6696" s="3"/>
      <c r="G6696" s="3"/>
      <c r="H6696" s="3"/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  <c r="T6696" s="3"/>
      <c r="U6696" s="3"/>
      <c r="V6696" s="3"/>
      <c r="W6696" s="3"/>
      <c r="X6696" s="3"/>
      <c r="Y6696" s="3"/>
    </row>
    <row r="6697">
      <c r="A6697" s="3"/>
      <c r="B6697" s="3"/>
      <c r="C6697" s="3"/>
      <c r="D6697" s="3"/>
      <c r="E6697" s="3"/>
      <c r="F6697" s="3"/>
      <c r="G6697" s="3"/>
      <c r="H6697" s="3"/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  <c r="T6697" s="3"/>
      <c r="U6697" s="3"/>
      <c r="V6697" s="3"/>
      <c r="W6697" s="3"/>
      <c r="X6697" s="3"/>
      <c r="Y6697" s="3"/>
    </row>
    <row r="6698">
      <c r="A6698" s="3"/>
      <c r="B6698" s="3"/>
      <c r="C6698" s="3"/>
      <c r="D6698" s="3"/>
      <c r="E6698" s="3"/>
      <c r="F6698" s="3"/>
      <c r="G6698" s="3"/>
      <c r="H6698" s="3"/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  <c r="T6698" s="3"/>
      <c r="U6698" s="3"/>
      <c r="V6698" s="3"/>
      <c r="W6698" s="3"/>
      <c r="X6698" s="3"/>
      <c r="Y6698" s="3"/>
    </row>
    <row r="6699">
      <c r="A6699" s="3"/>
      <c r="B6699" s="3"/>
      <c r="C6699" s="3"/>
      <c r="D6699" s="3"/>
      <c r="E6699" s="3"/>
      <c r="F6699" s="3"/>
      <c r="G6699" s="3"/>
      <c r="H6699" s="3"/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  <c r="T6699" s="3"/>
      <c r="U6699" s="3"/>
      <c r="V6699" s="3"/>
      <c r="W6699" s="3"/>
      <c r="X6699" s="3"/>
      <c r="Y6699" s="3"/>
    </row>
    <row r="6700">
      <c r="A6700" s="3"/>
      <c r="B6700" s="3"/>
      <c r="C6700" s="3"/>
      <c r="D6700" s="3"/>
      <c r="E6700" s="3"/>
      <c r="F6700" s="3"/>
      <c r="G6700" s="3"/>
      <c r="H6700" s="3"/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  <c r="T6700" s="3"/>
      <c r="U6700" s="3"/>
      <c r="V6700" s="3"/>
      <c r="W6700" s="3"/>
      <c r="X6700" s="3"/>
      <c r="Y6700" s="3"/>
    </row>
    <row r="6701">
      <c r="A6701" s="3"/>
      <c r="B6701" s="3"/>
      <c r="C6701" s="3"/>
      <c r="D6701" s="3"/>
      <c r="E6701" s="3"/>
      <c r="F6701" s="3"/>
      <c r="G6701" s="3"/>
      <c r="H6701" s="3"/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  <c r="T6701" s="3"/>
      <c r="U6701" s="3"/>
      <c r="V6701" s="3"/>
      <c r="W6701" s="3"/>
      <c r="X6701" s="3"/>
      <c r="Y6701" s="3"/>
    </row>
    <row r="6702">
      <c r="A6702" s="3"/>
      <c r="B6702" s="3"/>
      <c r="C6702" s="3"/>
      <c r="D6702" s="3"/>
      <c r="E6702" s="3"/>
      <c r="F6702" s="3"/>
      <c r="G6702" s="3"/>
      <c r="H6702" s="3"/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  <c r="T6702" s="3"/>
      <c r="U6702" s="3"/>
      <c r="V6702" s="3"/>
      <c r="W6702" s="3"/>
      <c r="X6702" s="3"/>
      <c r="Y6702" s="3"/>
    </row>
    <row r="6703">
      <c r="A6703" s="3"/>
      <c r="B6703" s="3"/>
      <c r="C6703" s="3"/>
      <c r="D6703" s="3"/>
      <c r="E6703" s="3"/>
      <c r="F6703" s="3"/>
      <c r="G6703" s="3"/>
      <c r="H6703" s="3"/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  <c r="T6703" s="3"/>
      <c r="U6703" s="3"/>
      <c r="V6703" s="3"/>
      <c r="W6703" s="3"/>
      <c r="X6703" s="3"/>
      <c r="Y6703" s="3"/>
    </row>
    <row r="6704">
      <c r="A6704" s="3"/>
      <c r="B6704" s="3"/>
      <c r="C6704" s="3"/>
      <c r="D6704" s="3"/>
      <c r="E6704" s="3"/>
      <c r="F6704" s="3"/>
      <c r="G6704" s="3"/>
      <c r="H6704" s="3"/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  <c r="T6704" s="3"/>
      <c r="U6704" s="3"/>
      <c r="V6704" s="3"/>
      <c r="W6704" s="3"/>
      <c r="X6704" s="3"/>
      <c r="Y6704" s="3"/>
    </row>
    <row r="6705">
      <c r="A6705" s="3"/>
      <c r="B6705" s="3"/>
      <c r="C6705" s="3"/>
      <c r="D6705" s="3"/>
      <c r="E6705" s="3"/>
      <c r="F6705" s="3"/>
      <c r="G6705" s="3"/>
      <c r="H6705" s="3"/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  <c r="T6705" s="3"/>
      <c r="U6705" s="3"/>
      <c r="V6705" s="3"/>
      <c r="W6705" s="3"/>
      <c r="X6705" s="3"/>
      <c r="Y6705" s="3"/>
    </row>
    <row r="6706">
      <c r="A6706" s="3"/>
      <c r="B6706" s="3"/>
      <c r="C6706" s="3"/>
      <c r="D6706" s="3"/>
      <c r="E6706" s="3"/>
      <c r="F6706" s="3"/>
      <c r="G6706" s="3"/>
      <c r="H6706" s="3"/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  <c r="T6706" s="3"/>
      <c r="U6706" s="3"/>
      <c r="V6706" s="3"/>
      <c r="W6706" s="3"/>
      <c r="X6706" s="3"/>
      <c r="Y6706" s="3"/>
    </row>
    <row r="6707">
      <c r="A6707" s="3"/>
      <c r="B6707" s="3"/>
      <c r="C6707" s="3"/>
      <c r="D6707" s="3"/>
      <c r="E6707" s="3"/>
      <c r="F6707" s="3"/>
      <c r="G6707" s="3"/>
      <c r="H6707" s="3"/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  <c r="T6707" s="3"/>
      <c r="U6707" s="3"/>
      <c r="V6707" s="3"/>
      <c r="W6707" s="3"/>
      <c r="X6707" s="3"/>
      <c r="Y6707" s="3"/>
    </row>
    <row r="6708">
      <c r="A6708" s="3"/>
      <c r="B6708" s="3"/>
      <c r="C6708" s="3"/>
      <c r="D6708" s="3"/>
      <c r="E6708" s="3"/>
      <c r="F6708" s="3"/>
      <c r="G6708" s="3"/>
      <c r="H6708" s="3"/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  <c r="T6708" s="3"/>
      <c r="U6708" s="3"/>
      <c r="V6708" s="3"/>
      <c r="W6708" s="3"/>
      <c r="X6708" s="3"/>
      <c r="Y6708" s="3"/>
    </row>
    <row r="6709">
      <c r="A6709" s="3"/>
      <c r="B6709" s="3"/>
      <c r="C6709" s="3"/>
      <c r="D6709" s="3"/>
      <c r="E6709" s="3"/>
      <c r="F6709" s="3"/>
      <c r="G6709" s="3"/>
      <c r="H6709" s="3"/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  <c r="T6709" s="3"/>
      <c r="U6709" s="3"/>
      <c r="V6709" s="3"/>
      <c r="W6709" s="3"/>
      <c r="X6709" s="3"/>
      <c r="Y6709" s="3"/>
    </row>
    <row r="6710">
      <c r="A6710" s="3"/>
      <c r="B6710" s="3"/>
      <c r="C6710" s="3"/>
      <c r="D6710" s="3"/>
      <c r="E6710" s="3"/>
      <c r="F6710" s="3"/>
      <c r="G6710" s="3"/>
      <c r="H6710" s="3"/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  <c r="T6710" s="3"/>
      <c r="U6710" s="3"/>
      <c r="V6710" s="3"/>
      <c r="W6710" s="3"/>
      <c r="X6710" s="3"/>
      <c r="Y6710" s="3"/>
    </row>
    <row r="6711">
      <c r="A6711" s="3"/>
      <c r="B6711" s="3"/>
      <c r="C6711" s="3"/>
      <c r="D6711" s="3"/>
      <c r="E6711" s="3"/>
      <c r="F6711" s="3"/>
      <c r="G6711" s="3"/>
      <c r="H6711" s="3"/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  <c r="T6711" s="3"/>
      <c r="U6711" s="3"/>
      <c r="V6711" s="3"/>
      <c r="W6711" s="3"/>
      <c r="X6711" s="3"/>
      <c r="Y6711" s="3"/>
    </row>
    <row r="6712">
      <c r="A6712" s="3"/>
      <c r="B6712" s="3"/>
      <c r="C6712" s="3"/>
      <c r="D6712" s="3"/>
      <c r="E6712" s="3"/>
      <c r="F6712" s="3"/>
      <c r="G6712" s="3"/>
      <c r="H6712" s="3"/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  <c r="T6712" s="3"/>
      <c r="U6712" s="3"/>
      <c r="V6712" s="3"/>
      <c r="W6712" s="3"/>
      <c r="X6712" s="3"/>
      <c r="Y6712" s="3"/>
    </row>
    <row r="6713">
      <c r="A6713" s="3"/>
      <c r="B6713" s="3"/>
      <c r="C6713" s="3"/>
      <c r="D6713" s="3"/>
      <c r="E6713" s="3"/>
      <c r="F6713" s="3"/>
      <c r="G6713" s="3"/>
      <c r="H6713" s="3"/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  <c r="T6713" s="3"/>
      <c r="U6713" s="3"/>
      <c r="V6713" s="3"/>
      <c r="W6713" s="3"/>
      <c r="X6713" s="3"/>
      <c r="Y6713" s="3"/>
    </row>
    <row r="6714">
      <c r="A6714" s="3"/>
      <c r="B6714" s="3"/>
      <c r="C6714" s="3"/>
      <c r="D6714" s="3"/>
      <c r="E6714" s="3"/>
      <c r="F6714" s="3"/>
      <c r="G6714" s="3"/>
      <c r="H6714" s="3"/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  <c r="T6714" s="3"/>
      <c r="U6714" s="3"/>
      <c r="V6714" s="3"/>
      <c r="W6714" s="3"/>
      <c r="X6714" s="3"/>
      <c r="Y6714" s="3"/>
    </row>
    <row r="6715">
      <c r="A6715" s="3"/>
      <c r="B6715" s="3"/>
      <c r="C6715" s="3"/>
      <c r="D6715" s="3"/>
      <c r="E6715" s="3"/>
      <c r="F6715" s="3"/>
      <c r="G6715" s="3"/>
      <c r="H6715" s="3"/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  <c r="T6715" s="3"/>
      <c r="U6715" s="3"/>
      <c r="V6715" s="3"/>
      <c r="W6715" s="3"/>
      <c r="X6715" s="3"/>
      <c r="Y6715" s="3"/>
    </row>
    <row r="6716">
      <c r="A6716" s="3"/>
      <c r="B6716" s="3"/>
      <c r="C6716" s="3"/>
      <c r="D6716" s="3"/>
      <c r="E6716" s="3"/>
      <c r="F6716" s="3"/>
      <c r="G6716" s="3"/>
      <c r="H6716" s="3"/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  <c r="T6716" s="3"/>
      <c r="U6716" s="3"/>
      <c r="V6716" s="3"/>
      <c r="W6716" s="3"/>
      <c r="X6716" s="3"/>
      <c r="Y6716" s="3"/>
    </row>
    <row r="6717">
      <c r="A6717" s="3"/>
      <c r="B6717" s="3"/>
      <c r="C6717" s="3"/>
      <c r="D6717" s="3"/>
      <c r="E6717" s="3"/>
      <c r="F6717" s="3"/>
      <c r="G6717" s="3"/>
      <c r="H6717" s="3"/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  <c r="T6717" s="3"/>
      <c r="U6717" s="3"/>
      <c r="V6717" s="3"/>
      <c r="W6717" s="3"/>
      <c r="X6717" s="3"/>
      <c r="Y6717" s="3"/>
    </row>
    <row r="6718">
      <c r="A6718" s="3"/>
      <c r="B6718" s="3"/>
      <c r="C6718" s="3"/>
      <c r="D6718" s="3"/>
      <c r="E6718" s="3"/>
      <c r="F6718" s="3"/>
      <c r="G6718" s="3"/>
      <c r="H6718" s="3"/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  <c r="T6718" s="3"/>
      <c r="U6718" s="3"/>
      <c r="V6718" s="3"/>
      <c r="W6718" s="3"/>
      <c r="X6718" s="3"/>
      <c r="Y6718" s="3"/>
    </row>
    <row r="6719">
      <c r="A6719" s="3"/>
      <c r="B6719" s="3"/>
      <c r="C6719" s="3"/>
      <c r="D6719" s="3"/>
      <c r="E6719" s="3"/>
      <c r="F6719" s="3"/>
      <c r="G6719" s="3"/>
      <c r="H6719" s="3"/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  <c r="T6719" s="3"/>
      <c r="U6719" s="3"/>
      <c r="V6719" s="3"/>
      <c r="W6719" s="3"/>
      <c r="X6719" s="3"/>
      <c r="Y6719" s="3"/>
    </row>
    <row r="6720">
      <c r="A6720" s="3"/>
      <c r="B6720" s="3"/>
      <c r="C6720" s="3"/>
      <c r="D6720" s="3"/>
      <c r="E6720" s="3"/>
      <c r="F6720" s="3"/>
      <c r="G6720" s="3"/>
      <c r="H6720" s="3"/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  <c r="T6720" s="3"/>
      <c r="U6720" s="3"/>
      <c r="V6720" s="3"/>
      <c r="W6720" s="3"/>
      <c r="X6720" s="3"/>
      <c r="Y6720" s="3"/>
    </row>
    <row r="6721">
      <c r="A6721" s="3"/>
      <c r="B6721" s="3"/>
      <c r="C6721" s="3"/>
      <c r="D6721" s="3"/>
      <c r="E6721" s="3"/>
      <c r="F6721" s="3"/>
      <c r="G6721" s="3"/>
      <c r="H6721" s="3"/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  <c r="T6721" s="3"/>
      <c r="U6721" s="3"/>
      <c r="V6721" s="3"/>
      <c r="W6721" s="3"/>
      <c r="X6721" s="3"/>
      <c r="Y6721" s="3"/>
    </row>
    <row r="6722">
      <c r="A6722" s="3"/>
      <c r="B6722" s="3"/>
      <c r="C6722" s="3"/>
      <c r="D6722" s="3"/>
      <c r="E6722" s="3"/>
      <c r="F6722" s="3"/>
      <c r="G6722" s="3"/>
      <c r="H6722" s="3"/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  <c r="T6722" s="3"/>
      <c r="U6722" s="3"/>
      <c r="V6722" s="3"/>
      <c r="W6722" s="3"/>
      <c r="X6722" s="3"/>
      <c r="Y6722" s="3"/>
    </row>
    <row r="6723">
      <c r="A6723" s="3"/>
      <c r="B6723" s="3"/>
      <c r="C6723" s="3"/>
      <c r="D6723" s="3"/>
      <c r="E6723" s="3"/>
      <c r="F6723" s="3"/>
      <c r="G6723" s="3"/>
      <c r="H6723" s="3"/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  <c r="T6723" s="3"/>
      <c r="U6723" s="3"/>
      <c r="V6723" s="3"/>
      <c r="W6723" s="3"/>
      <c r="X6723" s="3"/>
      <c r="Y6723" s="3"/>
    </row>
    <row r="6724">
      <c r="A6724" s="3"/>
      <c r="B6724" s="3"/>
      <c r="C6724" s="3"/>
      <c r="D6724" s="3"/>
      <c r="E6724" s="3"/>
      <c r="F6724" s="3"/>
      <c r="G6724" s="3"/>
      <c r="H6724" s="3"/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  <c r="T6724" s="3"/>
      <c r="U6724" s="3"/>
      <c r="V6724" s="3"/>
      <c r="W6724" s="3"/>
      <c r="X6724" s="3"/>
      <c r="Y6724" s="3"/>
    </row>
    <row r="6725">
      <c r="A6725" s="3"/>
      <c r="B6725" s="3"/>
      <c r="C6725" s="3"/>
      <c r="D6725" s="3"/>
      <c r="E6725" s="3"/>
      <c r="F6725" s="3"/>
      <c r="G6725" s="3"/>
      <c r="H6725" s="3"/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  <c r="T6725" s="3"/>
      <c r="U6725" s="3"/>
      <c r="V6725" s="3"/>
      <c r="W6725" s="3"/>
      <c r="X6725" s="3"/>
      <c r="Y6725" s="3"/>
    </row>
    <row r="6726">
      <c r="A6726" s="3"/>
      <c r="B6726" s="3"/>
      <c r="C6726" s="3"/>
      <c r="D6726" s="3"/>
      <c r="E6726" s="3"/>
      <c r="F6726" s="3"/>
      <c r="G6726" s="3"/>
      <c r="H6726" s="3"/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  <c r="T6726" s="3"/>
      <c r="U6726" s="3"/>
      <c r="V6726" s="3"/>
      <c r="W6726" s="3"/>
      <c r="X6726" s="3"/>
      <c r="Y6726" s="3"/>
    </row>
    <row r="6727">
      <c r="A6727" s="3"/>
      <c r="B6727" s="3"/>
      <c r="C6727" s="3"/>
      <c r="D6727" s="3"/>
      <c r="E6727" s="3"/>
      <c r="F6727" s="3"/>
      <c r="G6727" s="3"/>
      <c r="H6727" s="3"/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  <c r="T6727" s="3"/>
      <c r="U6727" s="3"/>
      <c r="V6727" s="3"/>
      <c r="W6727" s="3"/>
      <c r="X6727" s="3"/>
      <c r="Y6727" s="3"/>
    </row>
    <row r="6728">
      <c r="A6728" s="3"/>
      <c r="B6728" s="3"/>
      <c r="C6728" s="3"/>
      <c r="D6728" s="3"/>
      <c r="E6728" s="3"/>
      <c r="F6728" s="3"/>
      <c r="G6728" s="3"/>
      <c r="H6728" s="3"/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  <c r="T6728" s="3"/>
      <c r="U6728" s="3"/>
      <c r="V6728" s="3"/>
      <c r="W6728" s="3"/>
      <c r="X6728" s="3"/>
      <c r="Y6728" s="3"/>
    </row>
    <row r="6729">
      <c r="A6729" s="3"/>
      <c r="B6729" s="3"/>
      <c r="C6729" s="3"/>
      <c r="D6729" s="3"/>
      <c r="E6729" s="3"/>
      <c r="F6729" s="3"/>
      <c r="G6729" s="3"/>
      <c r="H6729" s="3"/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  <c r="T6729" s="3"/>
      <c r="U6729" s="3"/>
      <c r="V6729" s="3"/>
      <c r="W6729" s="3"/>
      <c r="X6729" s="3"/>
      <c r="Y6729" s="3"/>
    </row>
    <row r="6730">
      <c r="A6730" s="3"/>
      <c r="B6730" s="3"/>
      <c r="C6730" s="3"/>
      <c r="D6730" s="3"/>
      <c r="E6730" s="3"/>
      <c r="F6730" s="3"/>
      <c r="G6730" s="3"/>
      <c r="H6730" s="3"/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  <c r="T6730" s="3"/>
      <c r="U6730" s="3"/>
      <c r="V6730" s="3"/>
      <c r="W6730" s="3"/>
      <c r="X6730" s="3"/>
      <c r="Y6730" s="3"/>
    </row>
    <row r="6731">
      <c r="A6731" s="3"/>
      <c r="B6731" s="3"/>
      <c r="C6731" s="3"/>
      <c r="D6731" s="3"/>
      <c r="E6731" s="3"/>
      <c r="F6731" s="3"/>
      <c r="G6731" s="3"/>
      <c r="H6731" s="3"/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  <c r="T6731" s="3"/>
      <c r="U6731" s="3"/>
      <c r="V6731" s="3"/>
      <c r="W6731" s="3"/>
      <c r="X6731" s="3"/>
      <c r="Y6731" s="3"/>
    </row>
    <row r="6732">
      <c r="A6732" s="3"/>
      <c r="B6732" s="3"/>
      <c r="C6732" s="3"/>
      <c r="D6732" s="3"/>
      <c r="E6732" s="3"/>
      <c r="F6732" s="3"/>
      <c r="G6732" s="3"/>
      <c r="H6732" s="3"/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  <c r="T6732" s="3"/>
      <c r="U6732" s="3"/>
      <c r="V6732" s="3"/>
      <c r="W6732" s="3"/>
      <c r="X6732" s="3"/>
      <c r="Y6732" s="3"/>
    </row>
    <row r="6733">
      <c r="A6733" s="3"/>
      <c r="B6733" s="3"/>
      <c r="C6733" s="3"/>
      <c r="D6733" s="3"/>
      <c r="E6733" s="3"/>
      <c r="F6733" s="3"/>
      <c r="G6733" s="3"/>
      <c r="H6733" s="3"/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  <c r="T6733" s="3"/>
      <c r="U6733" s="3"/>
      <c r="V6733" s="3"/>
      <c r="W6733" s="3"/>
      <c r="X6733" s="3"/>
      <c r="Y6733" s="3"/>
    </row>
    <row r="6734">
      <c r="A6734" s="3"/>
      <c r="B6734" s="3"/>
      <c r="C6734" s="3"/>
      <c r="D6734" s="3"/>
      <c r="E6734" s="3"/>
      <c r="F6734" s="3"/>
      <c r="G6734" s="3"/>
      <c r="H6734" s="3"/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  <c r="T6734" s="3"/>
      <c r="U6734" s="3"/>
      <c r="V6734" s="3"/>
      <c r="W6734" s="3"/>
      <c r="X6734" s="3"/>
      <c r="Y6734" s="3"/>
    </row>
    <row r="6735">
      <c r="A6735" s="3"/>
      <c r="B6735" s="3"/>
      <c r="C6735" s="3"/>
      <c r="D6735" s="3"/>
      <c r="E6735" s="3"/>
      <c r="F6735" s="3"/>
      <c r="G6735" s="3"/>
      <c r="H6735" s="3"/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  <c r="T6735" s="3"/>
      <c r="U6735" s="3"/>
      <c r="V6735" s="3"/>
      <c r="W6735" s="3"/>
      <c r="X6735" s="3"/>
      <c r="Y6735" s="3"/>
    </row>
    <row r="6736">
      <c r="A6736" s="3"/>
      <c r="B6736" s="3"/>
      <c r="C6736" s="3"/>
      <c r="D6736" s="3"/>
      <c r="E6736" s="3"/>
      <c r="F6736" s="3"/>
      <c r="G6736" s="3"/>
      <c r="H6736" s="3"/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  <c r="T6736" s="3"/>
      <c r="U6736" s="3"/>
      <c r="V6736" s="3"/>
      <c r="W6736" s="3"/>
      <c r="X6736" s="3"/>
      <c r="Y6736" s="3"/>
    </row>
    <row r="6737">
      <c r="A6737" s="3"/>
      <c r="B6737" s="3"/>
      <c r="C6737" s="3"/>
      <c r="D6737" s="3"/>
      <c r="E6737" s="3"/>
      <c r="F6737" s="3"/>
      <c r="G6737" s="3"/>
      <c r="H6737" s="3"/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  <c r="T6737" s="3"/>
      <c r="U6737" s="3"/>
      <c r="V6737" s="3"/>
      <c r="W6737" s="3"/>
      <c r="X6737" s="3"/>
      <c r="Y6737" s="3"/>
    </row>
    <row r="6738">
      <c r="A6738" s="3"/>
      <c r="B6738" s="3"/>
      <c r="C6738" s="3"/>
      <c r="D6738" s="3"/>
      <c r="E6738" s="3"/>
      <c r="F6738" s="3"/>
      <c r="G6738" s="3"/>
      <c r="H6738" s="3"/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  <c r="T6738" s="3"/>
      <c r="U6738" s="3"/>
      <c r="V6738" s="3"/>
      <c r="W6738" s="3"/>
      <c r="X6738" s="3"/>
      <c r="Y6738" s="3"/>
    </row>
    <row r="6739">
      <c r="A6739" s="3"/>
      <c r="B6739" s="3"/>
      <c r="C6739" s="3"/>
      <c r="D6739" s="3"/>
      <c r="E6739" s="3"/>
      <c r="F6739" s="3"/>
      <c r="G6739" s="3"/>
      <c r="H6739" s="3"/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  <c r="T6739" s="3"/>
      <c r="U6739" s="3"/>
      <c r="V6739" s="3"/>
      <c r="W6739" s="3"/>
      <c r="X6739" s="3"/>
      <c r="Y6739" s="3"/>
    </row>
    <row r="6740">
      <c r="A6740" s="3"/>
      <c r="B6740" s="3"/>
      <c r="C6740" s="3"/>
      <c r="D6740" s="3"/>
      <c r="E6740" s="3"/>
      <c r="F6740" s="3"/>
      <c r="G6740" s="3"/>
      <c r="H6740" s="3"/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  <c r="T6740" s="3"/>
      <c r="U6740" s="3"/>
      <c r="V6740" s="3"/>
      <c r="W6740" s="3"/>
      <c r="X6740" s="3"/>
      <c r="Y6740" s="3"/>
    </row>
    <row r="6741">
      <c r="A6741" s="3"/>
      <c r="B6741" s="3"/>
      <c r="C6741" s="3"/>
      <c r="D6741" s="3"/>
      <c r="E6741" s="3"/>
      <c r="F6741" s="3"/>
      <c r="G6741" s="3"/>
      <c r="H6741" s="3"/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  <c r="T6741" s="3"/>
      <c r="U6741" s="3"/>
      <c r="V6741" s="3"/>
      <c r="W6741" s="3"/>
      <c r="X6741" s="3"/>
      <c r="Y6741" s="3"/>
    </row>
    <row r="6742">
      <c r="A6742" s="3"/>
      <c r="B6742" s="3"/>
      <c r="C6742" s="3"/>
      <c r="D6742" s="3"/>
      <c r="E6742" s="3"/>
      <c r="F6742" s="3"/>
      <c r="G6742" s="3"/>
      <c r="H6742" s="3"/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  <c r="T6742" s="3"/>
      <c r="U6742" s="3"/>
      <c r="V6742" s="3"/>
      <c r="W6742" s="3"/>
      <c r="X6742" s="3"/>
      <c r="Y6742" s="3"/>
    </row>
    <row r="6743">
      <c r="A6743" s="3"/>
      <c r="B6743" s="3"/>
      <c r="C6743" s="3"/>
      <c r="D6743" s="3"/>
      <c r="E6743" s="3"/>
      <c r="F6743" s="3"/>
      <c r="G6743" s="3"/>
      <c r="H6743" s="3"/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  <c r="T6743" s="3"/>
      <c r="U6743" s="3"/>
      <c r="V6743" s="3"/>
      <c r="W6743" s="3"/>
      <c r="X6743" s="3"/>
      <c r="Y6743" s="3"/>
    </row>
    <row r="6744">
      <c r="A6744" s="3"/>
      <c r="B6744" s="3"/>
      <c r="C6744" s="3"/>
      <c r="D6744" s="3"/>
      <c r="E6744" s="3"/>
      <c r="F6744" s="3"/>
      <c r="G6744" s="3"/>
      <c r="H6744" s="3"/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  <c r="T6744" s="3"/>
      <c r="U6744" s="3"/>
      <c r="V6744" s="3"/>
      <c r="W6744" s="3"/>
      <c r="X6744" s="3"/>
      <c r="Y6744" s="3"/>
    </row>
    <row r="6745">
      <c r="A6745" s="3"/>
      <c r="B6745" s="3"/>
      <c r="C6745" s="3"/>
      <c r="D6745" s="3"/>
      <c r="E6745" s="3"/>
      <c r="F6745" s="3"/>
      <c r="G6745" s="3"/>
      <c r="H6745" s="3"/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  <c r="T6745" s="3"/>
      <c r="U6745" s="3"/>
      <c r="V6745" s="3"/>
      <c r="W6745" s="3"/>
      <c r="X6745" s="3"/>
      <c r="Y6745" s="3"/>
    </row>
    <row r="6746">
      <c r="A6746" s="3"/>
      <c r="B6746" s="3"/>
      <c r="C6746" s="3"/>
      <c r="D6746" s="3"/>
      <c r="E6746" s="3"/>
      <c r="F6746" s="3"/>
      <c r="G6746" s="3"/>
      <c r="H6746" s="3"/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  <c r="T6746" s="3"/>
      <c r="U6746" s="3"/>
      <c r="V6746" s="3"/>
      <c r="W6746" s="3"/>
      <c r="X6746" s="3"/>
      <c r="Y6746" s="3"/>
    </row>
    <row r="6747">
      <c r="A6747" s="3"/>
      <c r="B6747" s="3"/>
      <c r="C6747" s="3"/>
      <c r="D6747" s="3"/>
      <c r="E6747" s="3"/>
      <c r="F6747" s="3"/>
      <c r="G6747" s="3"/>
      <c r="H6747" s="3"/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  <c r="T6747" s="3"/>
      <c r="U6747" s="3"/>
      <c r="V6747" s="3"/>
      <c r="W6747" s="3"/>
      <c r="X6747" s="3"/>
      <c r="Y6747" s="3"/>
    </row>
    <row r="6748">
      <c r="A6748" s="3"/>
      <c r="B6748" s="3"/>
      <c r="C6748" s="3"/>
      <c r="D6748" s="3"/>
      <c r="E6748" s="3"/>
      <c r="F6748" s="3"/>
      <c r="G6748" s="3"/>
      <c r="H6748" s="3"/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  <c r="T6748" s="3"/>
      <c r="U6748" s="3"/>
      <c r="V6748" s="3"/>
      <c r="W6748" s="3"/>
      <c r="X6748" s="3"/>
      <c r="Y6748" s="3"/>
    </row>
    <row r="6749">
      <c r="A6749" s="3"/>
      <c r="B6749" s="3"/>
      <c r="C6749" s="3"/>
      <c r="D6749" s="3"/>
      <c r="E6749" s="3"/>
      <c r="F6749" s="3"/>
      <c r="G6749" s="3"/>
      <c r="H6749" s="3"/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  <c r="T6749" s="3"/>
      <c r="U6749" s="3"/>
      <c r="V6749" s="3"/>
      <c r="W6749" s="3"/>
      <c r="X6749" s="3"/>
      <c r="Y6749" s="3"/>
    </row>
    <row r="6750">
      <c r="A6750" s="3"/>
      <c r="B6750" s="3"/>
      <c r="C6750" s="3"/>
      <c r="D6750" s="3"/>
      <c r="E6750" s="3"/>
      <c r="F6750" s="3"/>
      <c r="G6750" s="3"/>
      <c r="H6750" s="3"/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  <c r="T6750" s="3"/>
      <c r="U6750" s="3"/>
      <c r="V6750" s="3"/>
      <c r="W6750" s="3"/>
      <c r="X6750" s="3"/>
      <c r="Y6750" s="3"/>
    </row>
    <row r="6751">
      <c r="A6751" s="3"/>
      <c r="B6751" s="3"/>
      <c r="C6751" s="3"/>
      <c r="D6751" s="3"/>
      <c r="E6751" s="3"/>
      <c r="F6751" s="3"/>
      <c r="G6751" s="3"/>
      <c r="H6751" s="3"/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  <c r="T6751" s="3"/>
      <c r="U6751" s="3"/>
      <c r="V6751" s="3"/>
      <c r="W6751" s="3"/>
      <c r="X6751" s="3"/>
      <c r="Y6751" s="3"/>
    </row>
    <row r="6752">
      <c r="A6752" s="3"/>
      <c r="B6752" s="3"/>
      <c r="C6752" s="3"/>
      <c r="D6752" s="3"/>
      <c r="E6752" s="3"/>
      <c r="F6752" s="3"/>
      <c r="G6752" s="3"/>
      <c r="H6752" s="3"/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  <c r="T6752" s="3"/>
      <c r="U6752" s="3"/>
      <c r="V6752" s="3"/>
      <c r="W6752" s="3"/>
      <c r="X6752" s="3"/>
      <c r="Y6752" s="3"/>
    </row>
    <row r="6753">
      <c r="A6753" s="3"/>
      <c r="B6753" s="3"/>
      <c r="C6753" s="3"/>
      <c r="D6753" s="3"/>
      <c r="E6753" s="3"/>
      <c r="F6753" s="3"/>
      <c r="G6753" s="3"/>
      <c r="H6753" s="3"/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  <c r="T6753" s="3"/>
      <c r="U6753" s="3"/>
      <c r="V6753" s="3"/>
      <c r="W6753" s="3"/>
      <c r="X6753" s="3"/>
      <c r="Y6753" s="3"/>
    </row>
    <row r="6754">
      <c r="A6754" s="3"/>
      <c r="B6754" s="3"/>
      <c r="C6754" s="3"/>
      <c r="D6754" s="3"/>
      <c r="E6754" s="3"/>
      <c r="F6754" s="3"/>
      <c r="G6754" s="3"/>
      <c r="H6754" s="3"/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  <c r="T6754" s="3"/>
      <c r="U6754" s="3"/>
      <c r="V6754" s="3"/>
      <c r="W6754" s="3"/>
      <c r="X6754" s="3"/>
      <c r="Y6754" s="3"/>
    </row>
    <row r="6755">
      <c r="A6755" s="3"/>
      <c r="B6755" s="3"/>
      <c r="C6755" s="3"/>
      <c r="D6755" s="3"/>
      <c r="E6755" s="3"/>
      <c r="F6755" s="3"/>
      <c r="G6755" s="3"/>
      <c r="H6755" s="3"/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  <c r="T6755" s="3"/>
      <c r="U6755" s="3"/>
      <c r="V6755" s="3"/>
      <c r="W6755" s="3"/>
      <c r="X6755" s="3"/>
      <c r="Y6755" s="3"/>
    </row>
    <row r="6756">
      <c r="A6756" s="3"/>
      <c r="B6756" s="3"/>
      <c r="C6756" s="3"/>
      <c r="D6756" s="3"/>
      <c r="E6756" s="3"/>
      <c r="F6756" s="3"/>
      <c r="G6756" s="3"/>
      <c r="H6756" s="3"/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  <c r="T6756" s="3"/>
      <c r="U6756" s="3"/>
      <c r="V6756" s="3"/>
      <c r="W6756" s="3"/>
      <c r="X6756" s="3"/>
      <c r="Y6756" s="3"/>
    </row>
    <row r="6757">
      <c r="A6757" s="3"/>
      <c r="B6757" s="3"/>
      <c r="C6757" s="3"/>
      <c r="D6757" s="3"/>
      <c r="E6757" s="3"/>
      <c r="F6757" s="3"/>
      <c r="G6757" s="3"/>
      <c r="H6757" s="3"/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  <c r="T6757" s="3"/>
      <c r="U6757" s="3"/>
      <c r="V6757" s="3"/>
      <c r="W6757" s="3"/>
      <c r="X6757" s="3"/>
      <c r="Y6757" s="3"/>
    </row>
    <row r="6758">
      <c r="A6758" s="3"/>
      <c r="B6758" s="3"/>
      <c r="C6758" s="3"/>
      <c r="D6758" s="3"/>
      <c r="E6758" s="3"/>
      <c r="F6758" s="3"/>
      <c r="G6758" s="3"/>
      <c r="H6758" s="3"/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  <c r="T6758" s="3"/>
      <c r="U6758" s="3"/>
      <c r="V6758" s="3"/>
      <c r="W6758" s="3"/>
      <c r="X6758" s="3"/>
      <c r="Y6758" s="3"/>
    </row>
    <row r="6759">
      <c r="A6759" s="3"/>
      <c r="B6759" s="3"/>
      <c r="C6759" s="3"/>
      <c r="D6759" s="3"/>
      <c r="E6759" s="3"/>
      <c r="F6759" s="3"/>
      <c r="G6759" s="3"/>
      <c r="H6759" s="3"/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  <c r="T6759" s="3"/>
      <c r="U6759" s="3"/>
      <c r="V6759" s="3"/>
      <c r="W6759" s="3"/>
      <c r="X6759" s="3"/>
      <c r="Y6759" s="3"/>
    </row>
    <row r="6760">
      <c r="A6760" s="3"/>
      <c r="B6760" s="3"/>
      <c r="C6760" s="3"/>
      <c r="D6760" s="3"/>
      <c r="E6760" s="3"/>
      <c r="F6760" s="3"/>
      <c r="G6760" s="3"/>
      <c r="H6760" s="3"/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  <c r="T6760" s="3"/>
      <c r="U6760" s="3"/>
      <c r="V6760" s="3"/>
      <c r="W6760" s="3"/>
      <c r="X6760" s="3"/>
      <c r="Y6760" s="3"/>
    </row>
    <row r="6761">
      <c r="A6761" s="3"/>
      <c r="B6761" s="3"/>
      <c r="C6761" s="3"/>
      <c r="D6761" s="3"/>
      <c r="E6761" s="3"/>
      <c r="F6761" s="3"/>
      <c r="G6761" s="3"/>
      <c r="H6761" s="3"/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  <c r="T6761" s="3"/>
      <c r="U6761" s="3"/>
      <c r="V6761" s="3"/>
      <c r="W6761" s="3"/>
      <c r="X6761" s="3"/>
      <c r="Y6761" s="3"/>
    </row>
    <row r="6762">
      <c r="A6762" s="3"/>
      <c r="B6762" s="3"/>
      <c r="C6762" s="3"/>
      <c r="D6762" s="3"/>
      <c r="E6762" s="3"/>
      <c r="F6762" s="3"/>
      <c r="G6762" s="3"/>
      <c r="H6762" s="3"/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  <c r="T6762" s="3"/>
      <c r="U6762" s="3"/>
      <c r="V6762" s="3"/>
      <c r="W6762" s="3"/>
      <c r="X6762" s="3"/>
      <c r="Y6762" s="3"/>
    </row>
    <row r="6763">
      <c r="A6763" s="3"/>
      <c r="B6763" s="3"/>
      <c r="C6763" s="3"/>
      <c r="D6763" s="3"/>
      <c r="E6763" s="3"/>
      <c r="F6763" s="3"/>
      <c r="G6763" s="3"/>
      <c r="H6763" s="3"/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  <c r="T6763" s="3"/>
      <c r="U6763" s="3"/>
      <c r="V6763" s="3"/>
      <c r="W6763" s="3"/>
      <c r="X6763" s="3"/>
      <c r="Y6763" s="3"/>
    </row>
    <row r="6764">
      <c r="A6764" s="3"/>
      <c r="B6764" s="3"/>
      <c r="C6764" s="3"/>
      <c r="D6764" s="3"/>
      <c r="E6764" s="3"/>
      <c r="F6764" s="3"/>
      <c r="G6764" s="3"/>
      <c r="H6764" s="3"/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  <c r="T6764" s="3"/>
      <c r="U6764" s="3"/>
      <c r="V6764" s="3"/>
      <c r="W6764" s="3"/>
      <c r="X6764" s="3"/>
      <c r="Y6764" s="3"/>
    </row>
    <row r="6765">
      <c r="A6765" s="3"/>
      <c r="B6765" s="3"/>
      <c r="C6765" s="3"/>
      <c r="D6765" s="3"/>
      <c r="E6765" s="3"/>
      <c r="F6765" s="3"/>
      <c r="G6765" s="3"/>
      <c r="H6765" s="3"/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  <c r="T6765" s="3"/>
      <c r="U6765" s="3"/>
      <c r="V6765" s="3"/>
      <c r="W6765" s="3"/>
      <c r="X6765" s="3"/>
      <c r="Y6765" s="3"/>
    </row>
    <row r="6766">
      <c r="A6766" s="3"/>
      <c r="B6766" s="3"/>
      <c r="C6766" s="3"/>
      <c r="D6766" s="3"/>
      <c r="E6766" s="3"/>
      <c r="F6766" s="3"/>
      <c r="G6766" s="3"/>
      <c r="H6766" s="3"/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  <c r="T6766" s="3"/>
      <c r="U6766" s="3"/>
      <c r="V6766" s="3"/>
      <c r="W6766" s="3"/>
      <c r="X6766" s="3"/>
      <c r="Y6766" s="3"/>
    </row>
    <row r="6767">
      <c r="A6767" s="3"/>
      <c r="B6767" s="3"/>
      <c r="C6767" s="3"/>
      <c r="D6767" s="3"/>
      <c r="E6767" s="3"/>
      <c r="F6767" s="3"/>
      <c r="G6767" s="3"/>
      <c r="H6767" s="3"/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  <c r="T6767" s="3"/>
      <c r="U6767" s="3"/>
      <c r="V6767" s="3"/>
      <c r="W6767" s="3"/>
      <c r="X6767" s="3"/>
      <c r="Y6767" s="3"/>
    </row>
    <row r="6768">
      <c r="A6768" s="3"/>
      <c r="B6768" s="3"/>
      <c r="C6768" s="3"/>
      <c r="D6768" s="3"/>
      <c r="E6768" s="3"/>
      <c r="F6768" s="3"/>
      <c r="G6768" s="3"/>
      <c r="H6768" s="3"/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  <c r="T6768" s="3"/>
      <c r="U6768" s="3"/>
      <c r="V6768" s="3"/>
      <c r="W6768" s="3"/>
      <c r="X6768" s="3"/>
      <c r="Y6768" s="3"/>
    </row>
    <row r="6769">
      <c r="A6769" s="3"/>
      <c r="B6769" s="3"/>
      <c r="C6769" s="3"/>
      <c r="D6769" s="3"/>
      <c r="E6769" s="3"/>
      <c r="F6769" s="3"/>
      <c r="G6769" s="3"/>
      <c r="H6769" s="3"/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  <c r="T6769" s="3"/>
      <c r="U6769" s="3"/>
      <c r="V6769" s="3"/>
      <c r="W6769" s="3"/>
      <c r="X6769" s="3"/>
      <c r="Y6769" s="3"/>
    </row>
    <row r="6770">
      <c r="A6770" s="3"/>
      <c r="B6770" s="3"/>
      <c r="C6770" s="3"/>
      <c r="D6770" s="3"/>
      <c r="E6770" s="3"/>
      <c r="F6770" s="3"/>
      <c r="G6770" s="3"/>
      <c r="H6770" s="3"/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  <c r="T6770" s="3"/>
      <c r="U6770" s="3"/>
      <c r="V6770" s="3"/>
      <c r="W6770" s="3"/>
      <c r="X6770" s="3"/>
      <c r="Y6770" s="3"/>
    </row>
    <row r="6771">
      <c r="A6771" s="3"/>
      <c r="B6771" s="3"/>
      <c r="C6771" s="3"/>
      <c r="D6771" s="3"/>
      <c r="E6771" s="3"/>
      <c r="F6771" s="3"/>
      <c r="G6771" s="3"/>
      <c r="H6771" s="3"/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  <c r="T6771" s="3"/>
      <c r="U6771" s="3"/>
      <c r="V6771" s="3"/>
      <c r="W6771" s="3"/>
      <c r="X6771" s="3"/>
      <c r="Y6771" s="3"/>
    </row>
    <row r="6772">
      <c r="A6772" s="3"/>
      <c r="B6772" s="3"/>
      <c r="C6772" s="3"/>
      <c r="D6772" s="3"/>
      <c r="E6772" s="3"/>
      <c r="F6772" s="3"/>
      <c r="G6772" s="3"/>
      <c r="H6772" s="3"/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  <c r="T6772" s="3"/>
      <c r="U6772" s="3"/>
      <c r="V6772" s="3"/>
      <c r="W6772" s="3"/>
      <c r="X6772" s="3"/>
      <c r="Y6772" s="3"/>
    </row>
    <row r="6773">
      <c r="A6773" s="3"/>
      <c r="B6773" s="3"/>
      <c r="C6773" s="3"/>
      <c r="D6773" s="3"/>
      <c r="E6773" s="3"/>
      <c r="F6773" s="3"/>
      <c r="G6773" s="3"/>
      <c r="H6773" s="3"/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  <c r="T6773" s="3"/>
      <c r="U6773" s="3"/>
      <c r="V6773" s="3"/>
      <c r="W6773" s="3"/>
      <c r="X6773" s="3"/>
      <c r="Y6773" s="3"/>
    </row>
    <row r="6774">
      <c r="A6774" s="3"/>
      <c r="B6774" s="3"/>
      <c r="C6774" s="3"/>
      <c r="D6774" s="3"/>
      <c r="E6774" s="3"/>
      <c r="F6774" s="3"/>
      <c r="G6774" s="3"/>
      <c r="H6774" s="3"/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  <c r="T6774" s="3"/>
      <c r="U6774" s="3"/>
      <c r="V6774" s="3"/>
      <c r="W6774" s="3"/>
      <c r="X6774" s="3"/>
      <c r="Y6774" s="3"/>
    </row>
    <row r="6775">
      <c r="A6775" s="3"/>
      <c r="B6775" s="3"/>
      <c r="C6775" s="3"/>
      <c r="D6775" s="3"/>
      <c r="E6775" s="3"/>
      <c r="F6775" s="3"/>
      <c r="G6775" s="3"/>
      <c r="H6775" s="3"/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  <c r="T6775" s="3"/>
      <c r="U6775" s="3"/>
      <c r="V6775" s="3"/>
      <c r="W6775" s="3"/>
      <c r="X6775" s="3"/>
      <c r="Y6775" s="3"/>
    </row>
    <row r="6776">
      <c r="A6776" s="3"/>
      <c r="B6776" s="3"/>
      <c r="C6776" s="3"/>
      <c r="D6776" s="3"/>
      <c r="E6776" s="3"/>
      <c r="F6776" s="3"/>
      <c r="G6776" s="3"/>
      <c r="H6776" s="3"/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  <c r="T6776" s="3"/>
      <c r="U6776" s="3"/>
      <c r="V6776" s="3"/>
      <c r="W6776" s="3"/>
      <c r="X6776" s="3"/>
      <c r="Y6776" s="3"/>
    </row>
    <row r="6777">
      <c r="A6777" s="3"/>
      <c r="B6777" s="3"/>
      <c r="C6777" s="3"/>
      <c r="D6777" s="3"/>
      <c r="E6777" s="3"/>
      <c r="F6777" s="3"/>
      <c r="G6777" s="3"/>
      <c r="H6777" s="3"/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  <c r="T6777" s="3"/>
      <c r="U6777" s="3"/>
      <c r="V6777" s="3"/>
      <c r="W6777" s="3"/>
      <c r="X6777" s="3"/>
      <c r="Y6777" s="3"/>
    </row>
    <row r="6778">
      <c r="A6778" s="3"/>
      <c r="B6778" s="3"/>
      <c r="C6778" s="3"/>
      <c r="D6778" s="3"/>
      <c r="E6778" s="3"/>
      <c r="F6778" s="3"/>
      <c r="G6778" s="3"/>
      <c r="H6778" s="3"/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  <c r="T6778" s="3"/>
      <c r="U6778" s="3"/>
      <c r="V6778" s="3"/>
      <c r="W6778" s="3"/>
      <c r="X6778" s="3"/>
      <c r="Y6778" s="3"/>
    </row>
    <row r="6779">
      <c r="A6779" s="3"/>
      <c r="B6779" s="3"/>
      <c r="C6779" s="3"/>
      <c r="D6779" s="3"/>
      <c r="E6779" s="3"/>
      <c r="F6779" s="3"/>
      <c r="G6779" s="3"/>
      <c r="H6779" s="3"/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  <c r="T6779" s="3"/>
      <c r="U6779" s="3"/>
      <c r="V6779" s="3"/>
      <c r="W6779" s="3"/>
      <c r="X6779" s="3"/>
      <c r="Y6779" s="3"/>
    </row>
    <row r="6780">
      <c r="A6780" s="3"/>
      <c r="B6780" s="3"/>
      <c r="C6780" s="3"/>
      <c r="D6780" s="3"/>
      <c r="E6780" s="3"/>
      <c r="F6780" s="3"/>
      <c r="G6780" s="3"/>
      <c r="H6780" s="3"/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  <c r="T6780" s="3"/>
      <c r="U6780" s="3"/>
      <c r="V6780" s="3"/>
      <c r="W6780" s="3"/>
      <c r="X6780" s="3"/>
      <c r="Y6780" s="3"/>
    </row>
    <row r="6781">
      <c r="A6781" s="3"/>
      <c r="B6781" s="3"/>
      <c r="C6781" s="3"/>
      <c r="D6781" s="3"/>
      <c r="E6781" s="3"/>
      <c r="F6781" s="3"/>
      <c r="G6781" s="3"/>
      <c r="H6781" s="3"/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  <c r="T6781" s="3"/>
      <c r="U6781" s="3"/>
      <c r="V6781" s="3"/>
      <c r="W6781" s="3"/>
      <c r="X6781" s="3"/>
      <c r="Y6781" s="3"/>
    </row>
    <row r="6782">
      <c r="A6782" s="3"/>
      <c r="B6782" s="3"/>
      <c r="C6782" s="3"/>
      <c r="D6782" s="3"/>
      <c r="E6782" s="3"/>
      <c r="F6782" s="3"/>
      <c r="G6782" s="3"/>
      <c r="H6782" s="3"/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  <c r="T6782" s="3"/>
      <c r="U6782" s="3"/>
      <c r="V6782" s="3"/>
      <c r="W6782" s="3"/>
      <c r="X6782" s="3"/>
      <c r="Y6782" s="3"/>
    </row>
    <row r="6783">
      <c r="A6783" s="3"/>
      <c r="B6783" s="3"/>
      <c r="C6783" s="3"/>
      <c r="D6783" s="3"/>
      <c r="E6783" s="3"/>
      <c r="F6783" s="3"/>
      <c r="G6783" s="3"/>
      <c r="H6783" s="3"/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  <c r="T6783" s="3"/>
      <c r="U6783" s="3"/>
      <c r="V6783" s="3"/>
      <c r="W6783" s="3"/>
      <c r="X6783" s="3"/>
      <c r="Y6783" s="3"/>
    </row>
    <row r="6784">
      <c r="A6784" s="3"/>
      <c r="B6784" s="3"/>
      <c r="C6784" s="3"/>
      <c r="D6784" s="3"/>
      <c r="E6784" s="3"/>
      <c r="F6784" s="3"/>
      <c r="G6784" s="3"/>
      <c r="H6784" s="3"/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  <c r="T6784" s="3"/>
      <c r="U6784" s="3"/>
      <c r="V6784" s="3"/>
      <c r="W6784" s="3"/>
      <c r="X6784" s="3"/>
      <c r="Y6784" s="3"/>
    </row>
    <row r="6785">
      <c r="A6785" s="3"/>
      <c r="B6785" s="3"/>
      <c r="C6785" s="3"/>
      <c r="D6785" s="3"/>
      <c r="E6785" s="3"/>
      <c r="F6785" s="3"/>
      <c r="G6785" s="3"/>
      <c r="H6785" s="3"/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  <c r="T6785" s="3"/>
      <c r="U6785" s="3"/>
      <c r="V6785" s="3"/>
      <c r="W6785" s="3"/>
      <c r="X6785" s="3"/>
      <c r="Y6785" s="3"/>
    </row>
    <row r="6786">
      <c r="A6786" s="3"/>
      <c r="B6786" s="3"/>
      <c r="C6786" s="3"/>
      <c r="D6786" s="3"/>
      <c r="E6786" s="3"/>
      <c r="F6786" s="3"/>
      <c r="G6786" s="3"/>
      <c r="H6786" s="3"/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  <c r="T6786" s="3"/>
      <c r="U6786" s="3"/>
      <c r="V6786" s="3"/>
      <c r="W6786" s="3"/>
      <c r="X6786" s="3"/>
      <c r="Y6786" s="3"/>
    </row>
    <row r="6787">
      <c r="A6787" s="3"/>
      <c r="B6787" s="3"/>
      <c r="C6787" s="3"/>
      <c r="D6787" s="3"/>
      <c r="E6787" s="3"/>
      <c r="F6787" s="3"/>
      <c r="G6787" s="3"/>
      <c r="H6787" s="3"/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  <c r="T6787" s="3"/>
      <c r="U6787" s="3"/>
      <c r="V6787" s="3"/>
      <c r="W6787" s="3"/>
      <c r="X6787" s="3"/>
      <c r="Y6787" s="3"/>
    </row>
    <row r="6788">
      <c r="A6788" s="3"/>
      <c r="B6788" s="3"/>
      <c r="C6788" s="3"/>
      <c r="D6788" s="3"/>
      <c r="E6788" s="3"/>
      <c r="F6788" s="3"/>
      <c r="G6788" s="3"/>
      <c r="H6788" s="3"/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  <c r="T6788" s="3"/>
      <c r="U6788" s="3"/>
      <c r="V6788" s="3"/>
      <c r="W6788" s="3"/>
      <c r="X6788" s="3"/>
      <c r="Y6788" s="3"/>
    </row>
    <row r="6789">
      <c r="A6789" s="3"/>
      <c r="B6789" s="3"/>
      <c r="C6789" s="3"/>
      <c r="D6789" s="3"/>
      <c r="E6789" s="3"/>
      <c r="F6789" s="3"/>
      <c r="G6789" s="3"/>
      <c r="H6789" s="3"/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  <c r="T6789" s="3"/>
      <c r="U6789" s="3"/>
      <c r="V6789" s="3"/>
      <c r="W6789" s="3"/>
      <c r="X6789" s="3"/>
      <c r="Y6789" s="3"/>
    </row>
    <row r="6790">
      <c r="A6790" s="3"/>
      <c r="B6790" s="3"/>
      <c r="C6790" s="3"/>
      <c r="D6790" s="3"/>
      <c r="E6790" s="3"/>
      <c r="F6790" s="3"/>
      <c r="G6790" s="3"/>
      <c r="H6790" s="3"/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  <c r="T6790" s="3"/>
      <c r="U6790" s="3"/>
      <c r="V6790" s="3"/>
      <c r="W6790" s="3"/>
      <c r="X6790" s="3"/>
      <c r="Y6790" s="3"/>
    </row>
    <row r="6791">
      <c r="A6791" s="3"/>
      <c r="B6791" s="3"/>
      <c r="C6791" s="3"/>
      <c r="D6791" s="3"/>
      <c r="E6791" s="3"/>
      <c r="F6791" s="3"/>
      <c r="G6791" s="3"/>
      <c r="H6791" s="3"/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  <c r="T6791" s="3"/>
      <c r="U6791" s="3"/>
      <c r="V6791" s="3"/>
      <c r="W6791" s="3"/>
      <c r="X6791" s="3"/>
      <c r="Y6791" s="3"/>
    </row>
    <row r="6792">
      <c r="A6792" s="3"/>
      <c r="B6792" s="3"/>
      <c r="C6792" s="3"/>
      <c r="D6792" s="3"/>
      <c r="E6792" s="3"/>
      <c r="F6792" s="3"/>
      <c r="G6792" s="3"/>
      <c r="H6792" s="3"/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  <c r="T6792" s="3"/>
      <c r="U6792" s="3"/>
      <c r="V6792" s="3"/>
      <c r="W6792" s="3"/>
      <c r="X6792" s="3"/>
      <c r="Y6792" s="3"/>
    </row>
    <row r="6793">
      <c r="A6793" s="3"/>
      <c r="B6793" s="3"/>
      <c r="C6793" s="3"/>
      <c r="D6793" s="3"/>
      <c r="E6793" s="3"/>
      <c r="F6793" s="3"/>
      <c r="G6793" s="3"/>
      <c r="H6793" s="3"/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  <c r="T6793" s="3"/>
      <c r="U6793" s="3"/>
      <c r="V6793" s="3"/>
      <c r="W6793" s="3"/>
      <c r="X6793" s="3"/>
      <c r="Y6793" s="3"/>
    </row>
    <row r="6794">
      <c r="A6794" s="3"/>
      <c r="B6794" s="3"/>
      <c r="C6794" s="3"/>
      <c r="D6794" s="3"/>
      <c r="E6794" s="3"/>
      <c r="F6794" s="3"/>
      <c r="G6794" s="3"/>
      <c r="H6794" s="3"/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  <c r="T6794" s="3"/>
      <c r="U6794" s="3"/>
      <c r="V6794" s="3"/>
      <c r="W6794" s="3"/>
      <c r="X6794" s="3"/>
      <c r="Y6794" s="3"/>
    </row>
    <row r="6795">
      <c r="A6795" s="3"/>
      <c r="B6795" s="3"/>
      <c r="C6795" s="3"/>
      <c r="D6795" s="3"/>
      <c r="E6795" s="3"/>
      <c r="F6795" s="3"/>
      <c r="G6795" s="3"/>
      <c r="H6795" s="3"/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  <c r="T6795" s="3"/>
      <c r="U6795" s="3"/>
      <c r="V6795" s="3"/>
      <c r="W6795" s="3"/>
      <c r="X6795" s="3"/>
      <c r="Y6795" s="3"/>
    </row>
    <row r="6796">
      <c r="A6796" s="3"/>
      <c r="B6796" s="3"/>
      <c r="C6796" s="3"/>
      <c r="D6796" s="3"/>
      <c r="E6796" s="3"/>
      <c r="F6796" s="3"/>
      <c r="G6796" s="3"/>
      <c r="H6796" s="3"/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  <c r="T6796" s="3"/>
      <c r="U6796" s="3"/>
      <c r="V6796" s="3"/>
      <c r="W6796" s="3"/>
      <c r="X6796" s="3"/>
      <c r="Y6796" s="3"/>
    </row>
    <row r="6797">
      <c r="A6797" s="3"/>
      <c r="B6797" s="3"/>
      <c r="C6797" s="3"/>
      <c r="D6797" s="3"/>
      <c r="E6797" s="3"/>
      <c r="F6797" s="3"/>
      <c r="G6797" s="3"/>
      <c r="H6797" s="3"/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  <c r="T6797" s="3"/>
      <c r="U6797" s="3"/>
      <c r="V6797" s="3"/>
      <c r="W6797" s="3"/>
      <c r="X6797" s="3"/>
      <c r="Y6797" s="3"/>
    </row>
    <row r="6798">
      <c r="A6798" s="3"/>
      <c r="B6798" s="3"/>
      <c r="C6798" s="3"/>
      <c r="D6798" s="3"/>
      <c r="E6798" s="3"/>
      <c r="F6798" s="3"/>
      <c r="G6798" s="3"/>
      <c r="H6798" s="3"/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  <c r="T6798" s="3"/>
      <c r="U6798" s="3"/>
      <c r="V6798" s="3"/>
      <c r="W6798" s="3"/>
      <c r="X6798" s="3"/>
      <c r="Y6798" s="3"/>
    </row>
    <row r="6799">
      <c r="A6799" s="3"/>
      <c r="B6799" s="3"/>
      <c r="C6799" s="3"/>
      <c r="D6799" s="3"/>
      <c r="E6799" s="3"/>
      <c r="F6799" s="3"/>
      <c r="G6799" s="3"/>
      <c r="H6799" s="3"/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  <c r="T6799" s="3"/>
      <c r="U6799" s="3"/>
      <c r="V6799" s="3"/>
      <c r="W6799" s="3"/>
      <c r="X6799" s="3"/>
      <c r="Y6799" s="3"/>
    </row>
    <row r="6800">
      <c r="A6800" s="3"/>
      <c r="B6800" s="3"/>
      <c r="C6800" s="3"/>
      <c r="D6800" s="3"/>
      <c r="E6800" s="3"/>
      <c r="F6800" s="3"/>
      <c r="G6800" s="3"/>
      <c r="H6800" s="3"/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  <c r="T6800" s="3"/>
      <c r="U6800" s="3"/>
      <c r="V6800" s="3"/>
      <c r="W6800" s="3"/>
      <c r="X6800" s="3"/>
      <c r="Y6800" s="3"/>
    </row>
    <row r="6801">
      <c r="A6801" s="3"/>
      <c r="B6801" s="3"/>
      <c r="C6801" s="3"/>
      <c r="D6801" s="3"/>
      <c r="E6801" s="3"/>
      <c r="F6801" s="3"/>
      <c r="G6801" s="3"/>
      <c r="H6801" s="3"/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  <c r="T6801" s="3"/>
      <c r="U6801" s="3"/>
      <c r="V6801" s="3"/>
      <c r="W6801" s="3"/>
      <c r="X6801" s="3"/>
      <c r="Y6801" s="3"/>
    </row>
    <row r="6802">
      <c r="A6802" s="3"/>
      <c r="B6802" s="3"/>
      <c r="C6802" s="3"/>
      <c r="D6802" s="3"/>
      <c r="E6802" s="3"/>
      <c r="F6802" s="3"/>
      <c r="G6802" s="3"/>
      <c r="H6802" s="3"/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  <c r="T6802" s="3"/>
      <c r="U6802" s="3"/>
      <c r="V6802" s="3"/>
      <c r="W6802" s="3"/>
      <c r="X6802" s="3"/>
      <c r="Y6802" s="3"/>
    </row>
    <row r="6803">
      <c r="A6803" s="3"/>
      <c r="B6803" s="3"/>
      <c r="C6803" s="3"/>
      <c r="D6803" s="3"/>
      <c r="E6803" s="3"/>
      <c r="F6803" s="3"/>
      <c r="G6803" s="3"/>
      <c r="H6803" s="3"/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  <c r="T6803" s="3"/>
      <c r="U6803" s="3"/>
      <c r="V6803" s="3"/>
      <c r="W6803" s="3"/>
      <c r="X6803" s="3"/>
      <c r="Y6803" s="3"/>
    </row>
    <row r="6804">
      <c r="A6804" s="3"/>
      <c r="B6804" s="3"/>
      <c r="C6804" s="3"/>
      <c r="D6804" s="3"/>
      <c r="E6804" s="3"/>
      <c r="F6804" s="3"/>
      <c r="G6804" s="3"/>
      <c r="H6804" s="3"/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  <c r="T6804" s="3"/>
      <c r="U6804" s="3"/>
      <c r="V6804" s="3"/>
      <c r="W6804" s="3"/>
      <c r="X6804" s="3"/>
      <c r="Y6804" s="3"/>
    </row>
    <row r="6805">
      <c r="A6805" s="3"/>
      <c r="B6805" s="3"/>
      <c r="C6805" s="3"/>
      <c r="D6805" s="3"/>
      <c r="E6805" s="3"/>
      <c r="F6805" s="3"/>
      <c r="G6805" s="3"/>
      <c r="H6805" s="3"/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  <c r="T6805" s="3"/>
      <c r="U6805" s="3"/>
      <c r="V6805" s="3"/>
      <c r="W6805" s="3"/>
      <c r="X6805" s="3"/>
      <c r="Y6805" s="3"/>
    </row>
    <row r="6806">
      <c r="A6806" s="3"/>
      <c r="B6806" s="3"/>
      <c r="C6806" s="3"/>
      <c r="D6806" s="3"/>
      <c r="E6806" s="3"/>
      <c r="F6806" s="3"/>
      <c r="G6806" s="3"/>
      <c r="H6806" s="3"/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  <c r="T6806" s="3"/>
      <c r="U6806" s="3"/>
      <c r="V6806" s="3"/>
      <c r="W6806" s="3"/>
      <c r="X6806" s="3"/>
      <c r="Y6806" s="3"/>
    </row>
    <row r="6807">
      <c r="A6807" s="3"/>
      <c r="B6807" s="3"/>
      <c r="C6807" s="3"/>
      <c r="D6807" s="3"/>
      <c r="E6807" s="3"/>
      <c r="F6807" s="3"/>
      <c r="G6807" s="3"/>
      <c r="H6807" s="3"/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  <c r="T6807" s="3"/>
      <c r="U6807" s="3"/>
      <c r="V6807" s="3"/>
      <c r="W6807" s="3"/>
      <c r="X6807" s="3"/>
      <c r="Y6807" s="3"/>
    </row>
    <row r="6808">
      <c r="A6808" s="3"/>
      <c r="B6808" s="3"/>
      <c r="C6808" s="3"/>
      <c r="D6808" s="3"/>
      <c r="E6808" s="3"/>
      <c r="F6808" s="3"/>
      <c r="G6808" s="3"/>
      <c r="H6808" s="3"/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  <c r="T6808" s="3"/>
      <c r="U6808" s="3"/>
      <c r="V6808" s="3"/>
      <c r="W6808" s="3"/>
      <c r="X6808" s="3"/>
      <c r="Y6808" s="3"/>
    </row>
    <row r="6809">
      <c r="A6809" s="3"/>
      <c r="B6809" s="3"/>
      <c r="C6809" s="3"/>
      <c r="D6809" s="3"/>
      <c r="E6809" s="3"/>
      <c r="F6809" s="3"/>
      <c r="G6809" s="3"/>
      <c r="H6809" s="3"/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  <c r="T6809" s="3"/>
      <c r="U6809" s="3"/>
      <c r="V6809" s="3"/>
      <c r="W6809" s="3"/>
      <c r="X6809" s="3"/>
      <c r="Y6809" s="3"/>
    </row>
    <row r="6810">
      <c r="A6810" s="3"/>
      <c r="B6810" s="3"/>
      <c r="C6810" s="3"/>
      <c r="D6810" s="3"/>
      <c r="E6810" s="3"/>
      <c r="F6810" s="3"/>
      <c r="G6810" s="3"/>
      <c r="H6810" s="3"/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  <c r="T6810" s="3"/>
      <c r="U6810" s="3"/>
      <c r="V6810" s="3"/>
      <c r="W6810" s="3"/>
      <c r="X6810" s="3"/>
      <c r="Y6810" s="3"/>
    </row>
    <row r="6811">
      <c r="A6811" s="3"/>
      <c r="B6811" s="3"/>
      <c r="C6811" s="3"/>
      <c r="D6811" s="3"/>
      <c r="E6811" s="3"/>
      <c r="F6811" s="3"/>
      <c r="G6811" s="3"/>
      <c r="H6811" s="3"/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  <c r="T6811" s="3"/>
      <c r="U6811" s="3"/>
      <c r="V6811" s="3"/>
      <c r="W6811" s="3"/>
      <c r="X6811" s="3"/>
      <c r="Y6811" s="3"/>
    </row>
    <row r="6812">
      <c r="A6812" s="3"/>
      <c r="B6812" s="3"/>
      <c r="C6812" s="3"/>
      <c r="D6812" s="3"/>
      <c r="E6812" s="3"/>
      <c r="F6812" s="3"/>
      <c r="G6812" s="3"/>
      <c r="H6812" s="3"/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  <c r="T6812" s="3"/>
      <c r="U6812" s="3"/>
      <c r="V6812" s="3"/>
      <c r="W6812" s="3"/>
      <c r="X6812" s="3"/>
      <c r="Y6812" s="3"/>
    </row>
    <row r="6813">
      <c r="A6813" s="3"/>
      <c r="B6813" s="3"/>
      <c r="C6813" s="3"/>
      <c r="D6813" s="3"/>
      <c r="E6813" s="3"/>
      <c r="F6813" s="3"/>
      <c r="G6813" s="3"/>
      <c r="H6813" s="3"/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  <c r="T6813" s="3"/>
      <c r="U6813" s="3"/>
      <c r="V6813" s="3"/>
      <c r="W6813" s="3"/>
      <c r="X6813" s="3"/>
      <c r="Y6813" s="3"/>
    </row>
    <row r="6814">
      <c r="A6814" s="3"/>
      <c r="B6814" s="3"/>
      <c r="C6814" s="3"/>
      <c r="D6814" s="3"/>
      <c r="E6814" s="3"/>
      <c r="F6814" s="3"/>
      <c r="G6814" s="3"/>
      <c r="H6814" s="3"/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  <c r="T6814" s="3"/>
      <c r="U6814" s="3"/>
      <c r="V6814" s="3"/>
      <c r="W6814" s="3"/>
      <c r="X6814" s="3"/>
      <c r="Y6814" s="3"/>
    </row>
    <row r="6815">
      <c r="A6815" s="3"/>
      <c r="B6815" s="3"/>
      <c r="C6815" s="3"/>
      <c r="D6815" s="3"/>
      <c r="E6815" s="3"/>
      <c r="F6815" s="3"/>
      <c r="G6815" s="3"/>
      <c r="H6815" s="3"/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  <c r="T6815" s="3"/>
      <c r="U6815" s="3"/>
      <c r="V6815" s="3"/>
      <c r="W6815" s="3"/>
      <c r="X6815" s="3"/>
      <c r="Y6815" s="3"/>
    </row>
    <row r="6816">
      <c r="A6816" s="3"/>
      <c r="B6816" s="3"/>
      <c r="C6816" s="3"/>
      <c r="D6816" s="3"/>
      <c r="E6816" s="3"/>
      <c r="F6816" s="3"/>
      <c r="G6816" s="3"/>
      <c r="H6816" s="3"/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  <c r="T6816" s="3"/>
      <c r="U6816" s="3"/>
      <c r="V6816" s="3"/>
      <c r="W6816" s="3"/>
      <c r="X6816" s="3"/>
      <c r="Y6816" s="3"/>
    </row>
    <row r="6817">
      <c r="A6817" s="3"/>
      <c r="B6817" s="3"/>
      <c r="C6817" s="3"/>
      <c r="D6817" s="3"/>
      <c r="E6817" s="3"/>
      <c r="F6817" s="3"/>
      <c r="G6817" s="3"/>
      <c r="H6817" s="3"/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  <c r="T6817" s="3"/>
      <c r="U6817" s="3"/>
      <c r="V6817" s="3"/>
      <c r="W6817" s="3"/>
      <c r="X6817" s="3"/>
      <c r="Y6817" s="3"/>
    </row>
    <row r="6818">
      <c r="A6818" s="3"/>
      <c r="B6818" s="3"/>
      <c r="C6818" s="3"/>
      <c r="D6818" s="3"/>
      <c r="E6818" s="3"/>
      <c r="F6818" s="3"/>
      <c r="G6818" s="3"/>
      <c r="H6818" s="3"/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  <c r="T6818" s="3"/>
      <c r="U6818" s="3"/>
      <c r="V6818" s="3"/>
      <c r="W6818" s="3"/>
      <c r="X6818" s="3"/>
      <c r="Y6818" s="3"/>
    </row>
    <row r="6819">
      <c r="A6819" s="3"/>
      <c r="B6819" s="3"/>
      <c r="C6819" s="3"/>
      <c r="D6819" s="3"/>
      <c r="E6819" s="3"/>
      <c r="F6819" s="3"/>
      <c r="G6819" s="3"/>
      <c r="H6819" s="3"/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  <c r="T6819" s="3"/>
      <c r="U6819" s="3"/>
      <c r="V6819" s="3"/>
      <c r="W6819" s="3"/>
      <c r="X6819" s="3"/>
      <c r="Y6819" s="3"/>
    </row>
    <row r="6820">
      <c r="A6820" s="3"/>
      <c r="B6820" s="3"/>
      <c r="C6820" s="3"/>
      <c r="D6820" s="3"/>
      <c r="E6820" s="3"/>
      <c r="F6820" s="3"/>
      <c r="G6820" s="3"/>
      <c r="H6820" s="3"/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  <c r="T6820" s="3"/>
      <c r="U6820" s="3"/>
      <c r="V6820" s="3"/>
      <c r="W6820" s="3"/>
      <c r="X6820" s="3"/>
      <c r="Y6820" s="3"/>
    </row>
    <row r="6821">
      <c r="A6821" s="3"/>
      <c r="B6821" s="3"/>
      <c r="C6821" s="3"/>
      <c r="D6821" s="3"/>
      <c r="E6821" s="3"/>
      <c r="F6821" s="3"/>
      <c r="G6821" s="3"/>
      <c r="H6821" s="3"/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  <c r="T6821" s="3"/>
      <c r="U6821" s="3"/>
      <c r="V6821" s="3"/>
      <c r="W6821" s="3"/>
      <c r="X6821" s="3"/>
      <c r="Y6821" s="3"/>
    </row>
    <row r="6822">
      <c r="A6822" s="3"/>
      <c r="B6822" s="3"/>
      <c r="C6822" s="3"/>
      <c r="D6822" s="3"/>
      <c r="E6822" s="3"/>
      <c r="F6822" s="3"/>
      <c r="G6822" s="3"/>
      <c r="H6822" s="3"/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  <c r="T6822" s="3"/>
      <c r="U6822" s="3"/>
      <c r="V6822" s="3"/>
      <c r="W6822" s="3"/>
      <c r="X6822" s="3"/>
      <c r="Y6822" s="3"/>
    </row>
    <row r="6823">
      <c r="A6823" s="3"/>
      <c r="B6823" s="3"/>
      <c r="C6823" s="3"/>
      <c r="D6823" s="3"/>
      <c r="E6823" s="3"/>
      <c r="F6823" s="3"/>
      <c r="G6823" s="3"/>
      <c r="H6823" s="3"/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  <c r="T6823" s="3"/>
      <c r="U6823" s="3"/>
      <c r="V6823" s="3"/>
      <c r="W6823" s="3"/>
      <c r="X6823" s="3"/>
      <c r="Y6823" s="3"/>
    </row>
    <row r="6824">
      <c r="A6824" s="3"/>
      <c r="B6824" s="3"/>
      <c r="C6824" s="3"/>
      <c r="D6824" s="3"/>
      <c r="E6824" s="3"/>
      <c r="F6824" s="3"/>
      <c r="G6824" s="3"/>
      <c r="H6824" s="3"/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  <c r="T6824" s="3"/>
      <c r="U6824" s="3"/>
      <c r="V6824" s="3"/>
      <c r="W6824" s="3"/>
      <c r="X6824" s="3"/>
      <c r="Y6824" s="3"/>
    </row>
    <row r="6825">
      <c r="A6825" s="3"/>
      <c r="B6825" s="3"/>
      <c r="C6825" s="3"/>
      <c r="D6825" s="3"/>
      <c r="E6825" s="3"/>
      <c r="F6825" s="3"/>
      <c r="G6825" s="3"/>
      <c r="H6825" s="3"/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  <c r="T6825" s="3"/>
      <c r="U6825" s="3"/>
      <c r="V6825" s="3"/>
      <c r="W6825" s="3"/>
      <c r="X6825" s="3"/>
      <c r="Y6825" s="3"/>
    </row>
    <row r="6826">
      <c r="A6826" s="3"/>
      <c r="B6826" s="3"/>
      <c r="C6826" s="3"/>
      <c r="D6826" s="3"/>
      <c r="E6826" s="3"/>
      <c r="F6826" s="3"/>
      <c r="G6826" s="3"/>
      <c r="H6826" s="3"/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  <c r="T6826" s="3"/>
      <c r="U6826" s="3"/>
      <c r="V6826" s="3"/>
      <c r="W6826" s="3"/>
      <c r="X6826" s="3"/>
      <c r="Y6826" s="3"/>
    </row>
    <row r="6827">
      <c r="A6827" s="3"/>
      <c r="B6827" s="3"/>
      <c r="C6827" s="3"/>
      <c r="D6827" s="3"/>
      <c r="E6827" s="3"/>
      <c r="F6827" s="3"/>
      <c r="G6827" s="3"/>
      <c r="H6827" s="3"/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  <c r="T6827" s="3"/>
      <c r="U6827" s="3"/>
      <c r="V6827" s="3"/>
      <c r="W6827" s="3"/>
      <c r="X6827" s="3"/>
      <c r="Y6827" s="3"/>
    </row>
    <row r="6828">
      <c r="A6828" s="3"/>
      <c r="B6828" s="3"/>
      <c r="C6828" s="3"/>
      <c r="D6828" s="3"/>
      <c r="E6828" s="3"/>
      <c r="F6828" s="3"/>
      <c r="G6828" s="3"/>
      <c r="H6828" s="3"/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  <c r="T6828" s="3"/>
      <c r="U6828" s="3"/>
      <c r="V6828" s="3"/>
      <c r="W6828" s="3"/>
      <c r="X6828" s="3"/>
      <c r="Y6828" s="3"/>
    </row>
    <row r="6829">
      <c r="A6829" s="3"/>
      <c r="B6829" s="3"/>
      <c r="C6829" s="3"/>
      <c r="D6829" s="3"/>
      <c r="E6829" s="3"/>
      <c r="F6829" s="3"/>
      <c r="G6829" s="3"/>
      <c r="H6829" s="3"/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  <c r="T6829" s="3"/>
      <c r="U6829" s="3"/>
      <c r="V6829" s="3"/>
      <c r="W6829" s="3"/>
      <c r="X6829" s="3"/>
      <c r="Y6829" s="3"/>
    </row>
    <row r="6830">
      <c r="A6830" s="3"/>
      <c r="B6830" s="3"/>
      <c r="C6830" s="3"/>
      <c r="D6830" s="3"/>
      <c r="E6830" s="3"/>
      <c r="F6830" s="3"/>
      <c r="G6830" s="3"/>
      <c r="H6830" s="3"/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  <c r="T6830" s="3"/>
      <c r="U6830" s="3"/>
      <c r="V6830" s="3"/>
      <c r="W6830" s="3"/>
      <c r="X6830" s="3"/>
      <c r="Y6830" s="3"/>
    </row>
    <row r="6831">
      <c r="A6831" s="3"/>
      <c r="B6831" s="3"/>
      <c r="C6831" s="3"/>
      <c r="D6831" s="3"/>
      <c r="E6831" s="3"/>
      <c r="F6831" s="3"/>
      <c r="G6831" s="3"/>
      <c r="H6831" s="3"/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  <c r="T6831" s="3"/>
      <c r="U6831" s="3"/>
      <c r="V6831" s="3"/>
      <c r="W6831" s="3"/>
      <c r="X6831" s="3"/>
      <c r="Y6831" s="3"/>
    </row>
    <row r="6832">
      <c r="A6832" s="3"/>
      <c r="B6832" s="3"/>
      <c r="C6832" s="3"/>
      <c r="D6832" s="3"/>
      <c r="E6832" s="3"/>
      <c r="F6832" s="3"/>
      <c r="G6832" s="3"/>
      <c r="H6832" s="3"/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  <c r="T6832" s="3"/>
      <c r="U6832" s="3"/>
      <c r="V6832" s="3"/>
      <c r="W6832" s="3"/>
      <c r="X6832" s="3"/>
      <c r="Y6832" s="3"/>
    </row>
    <row r="6833">
      <c r="A6833" s="3"/>
      <c r="B6833" s="3"/>
      <c r="C6833" s="3"/>
      <c r="D6833" s="3"/>
      <c r="E6833" s="3"/>
      <c r="F6833" s="3"/>
      <c r="G6833" s="3"/>
      <c r="H6833" s="3"/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  <c r="T6833" s="3"/>
      <c r="U6833" s="3"/>
      <c r="V6833" s="3"/>
      <c r="W6833" s="3"/>
      <c r="X6833" s="3"/>
      <c r="Y6833" s="3"/>
    </row>
    <row r="6834">
      <c r="A6834" s="3"/>
      <c r="B6834" s="3"/>
      <c r="C6834" s="3"/>
      <c r="D6834" s="3"/>
      <c r="E6834" s="3"/>
      <c r="F6834" s="3"/>
      <c r="G6834" s="3"/>
      <c r="H6834" s="3"/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  <c r="T6834" s="3"/>
      <c r="U6834" s="3"/>
      <c r="V6834" s="3"/>
      <c r="W6834" s="3"/>
      <c r="X6834" s="3"/>
      <c r="Y6834" s="3"/>
    </row>
    <row r="6835">
      <c r="A6835" s="3"/>
      <c r="B6835" s="3"/>
      <c r="C6835" s="3"/>
      <c r="D6835" s="3"/>
      <c r="E6835" s="3"/>
      <c r="F6835" s="3"/>
      <c r="G6835" s="3"/>
      <c r="H6835" s="3"/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  <c r="T6835" s="3"/>
      <c r="U6835" s="3"/>
      <c r="V6835" s="3"/>
      <c r="W6835" s="3"/>
      <c r="X6835" s="3"/>
      <c r="Y6835" s="3"/>
    </row>
    <row r="6836">
      <c r="A6836" s="3"/>
      <c r="B6836" s="3"/>
      <c r="C6836" s="3"/>
      <c r="D6836" s="3"/>
      <c r="E6836" s="3"/>
      <c r="F6836" s="3"/>
      <c r="G6836" s="3"/>
      <c r="H6836" s="3"/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  <c r="T6836" s="3"/>
      <c r="U6836" s="3"/>
      <c r="V6836" s="3"/>
      <c r="W6836" s="3"/>
      <c r="X6836" s="3"/>
      <c r="Y6836" s="3"/>
    </row>
    <row r="6837">
      <c r="A6837" s="3"/>
      <c r="B6837" s="3"/>
      <c r="C6837" s="3"/>
      <c r="D6837" s="3"/>
      <c r="E6837" s="3"/>
      <c r="F6837" s="3"/>
      <c r="G6837" s="3"/>
      <c r="H6837" s="3"/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  <c r="T6837" s="3"/>
      <c r="U6837" s="3"/>
      <c r="V6837" s="3"/>
      <c r="W6837" s="3"/>
      <c r="X6837" s="3"/>
      <c r="Y6837" s="3"/>
    </row>
    <row r="6838">
      <c r="A6838" s="3"/>
      <c r="B6838" s="3"/>
      <c r="C6838" s="3"/>
      <c r="D6838" s="3"/>
      <c r="E6838" s="3"/>
      <c r="F6838" s="3"/>
      <c r="G6838" s="3"/>
      <c r="H6838" s="3"/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  <c r="T6838" s="3"/>
      <c r="U6838" s="3"/>
      <c r="V6838" s="3"/>
      <c r="W6838" s="3"/>
      <c r="X6838" s="3"/>
      <c r="Y6838" s="3"/>
    </row>
    <row r="6839">
      <c r="A6839" s="3"/>
      <c r="B6839" s="3"/>
      <c r="C6839" s="3"/>
      <c r="D6839" s="3"/>
      <c r="E6839" s="3"/>
      <c r="F6839" s="3"/>
      <c r="G6839" s="3"/>
      <c r="H6839" s="3"/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  <c r="T6839" s="3"/>
      <c r="U6839" s="3"/>
      <c r="V6839" s="3"/>
      <c r="W6839" s="3"/>
      <c r="X6839" s="3"/>
      <c r="Y6839" s="3"/>
    </row>
    <row r="6840">
      <c r="A6840" s="3"/>
      <c r="B6840" s="3"/>
      <c r="C6840" s="3"/>
      <c r="D6840" s="3"/>
      <c r="E6840" s="3"/>
      <c r="F6840" s="3"/>
      <c r="G6840" s="3"/>
      <c r="H6840" s="3"/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  <c r="T6840" s="3"/>
      <c r="U6840" s="3"/>
      <c r="V6840" s="3"/>
      <c r="W6840" s="3"/>
      <c r="X6840" s="3"/>
      <c r="Y6840" s="3"/>
    </row>
    <row r="6841">
      <c r="A6841" s="3"/>
      <c r="B6841" s="3"/>
      <c r="C6841" s="3"/>
      <c r="D6841" s="3"/>
      <c r="E6841" s="3"/>
      <c r="F6841" s="3"/>
      <c r="G6841" s="3"/>
      <c r="H6841" s="3"/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  <c r="T6841" s="3"/>
      <c r="U6841" s="3"/>
      <c r="V6841" s="3"/>
      <c r="W6841" s="3"/>
      <c r="X6841" s="3"/>
      <c r="Y6841" s="3"/>
    </row>
    <row r="6842">
      <c r="A6842" s="3"/>
      <c r="B6842" s="3"/>
      <c r="C6842" s="3"/>
      <c r="D6842" s="3"/>
      <c r="E6842" s="3"/>
      <c r="F6842" s="3"/>
      <c r="G6842" s="3"/>
      <c r="H6842" s="3"/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  <c r="T6842" s="3"/>
      <c r="U6842" s="3"/>
      <c r="V6842" s="3"/>
      <c r="W6842" s="3"/>
      <c r="X6842" s="3"/>
      <c r="Y6842" s="3"/>
    </row>
    <row r="6843">
      <c r="A6843" s="3"/>
      <c r="B6843" s="3"/>
      <c r="C6843" s="3"/>
      <c r="D6843" s="3"/>
      <c r="E6843" s="3"/>
      <c r="F6843" s="3"/>
      <c r="G6843" s="3"/>
      <c r="H6843" s="3"/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  <c r="T6843" s="3"/>
      <c r="U6843" s="3"/>
      <c r="V6843" s="3"/>
      <c r="W6843" s="3"/>
      <c r="X6843" s="3"/>
      <c r="Y6843" s="3"/>
    </row>
    <row r="6844">
      <c r="A6844" s="3"/>
      <c r="B6844" s="3"/>
      <c r="C6844" s="3"/>
      <c r="D6844" s="3"/>
      <c r="E6844" s="3"/>
      <c r="F6844" s="3"/>
      <c r="G6844" s="3"/>
      <c r="H6844" s="3"/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  <c r="T6844" s="3"/>
      <c r="U6844" s="3"/>
      <c r="V6844" s="3"/>
      <c r="W6844" s="3"/>
      <c r="X6844" s="3"/>
      <c r="Y6844" s="3"/>
    </row>
    <row r="6845">
      <c r="A6845" s="3"/>
      <c r="B6845" s="3"/>
      <c r="C6845" s="3"/>
      <c r="D6845" s="3"/>
      <c r="E6845" s="3"/>
      <c r="F6845" s="3"/>
      <c r="G6845" s="3"/>
      <c r="H6845" s="3"/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  <c r="T6845" s="3"/>
      <c r="U6845" s="3"/>
      <c r="V6845" s="3"/>
      <c r="W6845" s="3"/>
      <c r="X6845" s="3"/>
      <c r="Y6845" s="3"/>
    </row>
    <row r="6846">
      <c r="A6846" s="3"/>
      <c r="B6846" s="3"/>
      <c r="C6846" s="3"/>
      <c r="D6846" s="3"/>
      <c r="E6846" s="3"/>
      <c r="F6846" s="3"/>
      <c r="G6846" s="3"/>
      <c r="H6846" s="3"/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  <c r="T6846" s="3"/>
      <c r="U6846" s="3"/>
      <c r="V6846" s="3"/>
      <c r="W6846" s="3"/>
      <c r="X6846" s="3"/>
      <c r="Y6846" s="3"/>
    </row>
    <row r="6847">
      <c r="A6847" s="3"/>
      <c r="B6847" s="3"/>
      <c r="C6847" s="3"/>
      <c r="D6847" s="3"/>
      <c r="E6847" s="3"/>
      <c r="F6847" s="3"/>
      <c r="G6847" s="3"/>
      <c r="H6847" s="3"/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  <c r="T6847" s="3"/>
      <c r="U6847" s="3"/>
      <c r="V6847" s="3"/>
      <c r="W6847" s="3"/>
      <c r="X6847" s="3"/>
      <c r="Y6847" s="3"/>
    </row>
    <row r="6848">
      <c r="A6848" s="3"/>
      <c r="B6848" s="3"/>
      <c r="C6848" s="3"/>
      <c r="D6848" s="3"/>
      <c r="E6848" s="3"/>
      <c r="F6848" s="3"/>
      <c r="G6848" s="3"/>
      <c r="H6848" s="3"/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  <c r="T6848" s="3"/>
      <c r="U6848" s="3"/>
      <c r="V6848" s="3"/>
      <c r="W6848" s="3"/>
      <c r="X6848" s="3"/>
      <c r="Y6848" s="3"/>
    </row>
    <row r="6849">
      <c r="A6849" s="3"/>
      <c r="B6849" s="3"/>
      <c r="C6849" s="3"/>
      <c r="D6849" s="3"/>
      <c r="E6849" s="3"/>
      <c r="F6849" s="3"/>
      <c r="G6849" s="3"/>
      <c r="H6849" s="3"/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  <c r="T6849" s="3"/>
      <c r="U6849" s="3"/>
      <c r="V6849" s="3"/>
      <c r="W6849" s="3"/>
      <c r="X6849" s="3"/>
      <c r="Y6849" s="3"/>
    </row>
    <row r="6850">
      <c r="A6850" s="3"/>
      <c r="B6850" s="3"/>
      <c r="C6850" s="3"/>
      <c r="D6850" s="3"/>
      <c r="E6850" s="3"/>
      <c r="F6850" s="3"/>
      <c r="G6850" s="3"/>
      <c r="H6850" s="3"/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  <c r="T6850" s="3"/>
      <c r="U6850" s="3"/>
      <c r="V6850" s="3"/>
      <c r="W6850" s="3"/>
      <c r="X6850" s="3"/>
      <c r="Y6850" s="3"/>
    </row>
    <row r="6851">
      <c r="A6851" s="3"/>
      <c r="B6851" s="3"/>
      <c r="C6851" s="3"/>
      <c r="D6851" s="3"/>
      <c r="E6851" s="3"/>
      <c r="F6851" s="3"/>
      <c r="G6851" s="3"/>
      <c r="H6851" s="3"/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  <c r="T6851" s="3"/>
      <c r="U6851" s="3"/>
      <c r="V6851" s="3"/>
      <c r="W6851" s="3"/>
      <c r="X6851" s="3"/>
      <c r="Y6851" s="3"/>
    </row>
    <row r="6852">
      <c r="A6852" s="3"/>
      <c r="B6852" s="3"/>
      <c r="C6852" s="3"/>
      <c r="D6852" s="3"/>
      <c r="E6852" s="3"/>
      <c r="F6852" s="3"/>
      <c r="G6852" s="3"/>
      <c r="H6852" s="3"/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  <c r="T6852" s="3"/>
      <c r="U6852" s="3"/>
      <c r="V6852" s="3"/>
      <c r="W6852" s="3"/>
      <c r="X6852" s="3"/>
      <c r="Y6852" s="3"/>
    </row>
    <row r="6853">
      <c r="A6853" s="3"/>
      <c r="B6853" s="3"/>
      <c r="C6853" s="3"/>
      <c r="D6853" s="3"/>
      <c r="E6853" s="3"/>
      <c r="F6853" s="3"/>
      <c r="G6853" s="3"/>
      <c r="H6853" s="3"/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  <c r="T6853" s="3"/>
      <c r="U6853" s="3"/>
      <c r="V6853" s="3"/>
      <c r="W6853" s="3"/>
      <c r="X6853" s="3"/>
      <c r="Y6853" s="3"/>
    </row>
    <row r="6854">
      <c r="A6854" s="3"/>
      <c r="B6854" s="3"/>
      <c r="C6854" s="3"/>
      <c r="D6854" s="3"/>
      <c r="E6854" s="3"/>
      <c r="F6854" s="3"/>
      <c r="G6854" s="3"/>
      <c r="H6854" s="3"/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  <c r="T6854" s="3"/>
      <c r="U6854" s="3"/>
      <c r="V6854" s="3"/>
      <c r="W6854" s="3"/>
      <c r="X6854" s="3"/>
      <c r="Y6854" s="3"/>
    </row>
    <row r="6855">
      <c r="A6855" s="3"/>
      <c r="B6855" s="3"/>
      <c r="C6855" s="3"/>
      <c r="D6855" s="3"/>
      <c r="E6855" s="3"/>
      <c r="F6855" s="3"/>
      <c r="G6855" s="3"/>
      <c r="H6855" s="3"/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  <c r="T6855" s="3"/>
      <c r="U6855" s="3"/>
      <c r="V6855" s="3"/>
      <c r="W6855" s="3"/>
      <c r="X6855" s="3"/>
      <c r="Y6855" s="3"/>
    </row>
    <row r="6856">
      <c r="A6856" s="3"/>
      <c r="B6856" s="3"/>
      <c r="C6856" s="3"/>
      <c r="D6856" s="3"/>
      <c r="E6856" s="3"/>
      <c r="F6856" s="3"/>
      <c r="G6856" s="3"/>
      <c r="H6856" s="3"/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  <c r="T6856" s="3"/>
      <c r="U6856" s="3"/>
      <c r="V6856" s="3"/>
      <c r="W6856" s="3"/>
      <c r="X6856" s="3"/>
      <c r="Y6856" s="3"/>
    </row>
    <row r="6857">
      <c r="A6857" s="3"/>
      <c r="B6857" s="3"/>
      <c r="C6857" s="3"/>
      <c r="D6857" s="3"/>
      <c r="E6857" s="3"/>
      <c r="F6857" s="3"/>
      <c r="G6857" s="3"/>
      <c r="H6857" s="3"/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  <c r="T6857" s="3"/>
      <c r="U6857" s="3"/>
      <c r="V6857" s="3"/>
      <c r="W6857" s="3"/>
      <c r="X6857" s="3"/>
      <c r="Y6857" s="3"/>
    </row>
    <row r="6858">
      <c r="A6858" s="3"/>
      <c r="B6858" s="3"/>
      <c r="C6858" s="3"/>
      <c r="D6858" s="3"/>
      <c r="E6858" s="3"/>
      <c r="F6858" s="3"/>
      <c r="G6858" s="3"/>
      <c r="H6858" s="3"/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  <c r="T6858" s="3"/>
      <c r="U6858" s="3"/>
      <c r="V6858" s="3"/>
      <c r="W6858" s="3"/>
      <c r="X6858" s="3"/>
      <c r="Y6858" s="3"/>
    </row>
    <row r="6859">
      <c r="A6859" s="3"/>
      <c r="B6859" s="3"/>
      <c r="C6859" s="3"/>
      <c r="D6859" s="3"/>
      <c r="E6859" s="3"/>
      <c r="F6859" s="3"/>
      <c r="G6859" s="3"/>
      <c r="H6859" s="3"/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  <c r="T6859" s="3"/>
      <c r="U6859" s="3"/>
      <c r="V6859" s="3"/>
      <c r="W6859" s="3"/>
      <c r="X6859" s="3"/>
      <c r="Y6859" s="3"/>
    </row>
    <row r="6860">
      <c r="A6860" s="3"/>
      <c r="B6860" s="3"/>
      <c r="C6860" s="3"/>
      <c r="D6860" s="3"/>
      <c r="E6860" s="3"/>
      <c r="F6860" s="3"/>
      <c r="G6860" s="3"/>
      <c r="H6860" s="3"/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  <c r="T6860" s="3"/>
      <c r="U6860" s="3"/>
      <c r="V6860" s="3"/>
      <c r="W6860" s="3"/>
      <c r="X6860" s="3"/>
      <c r="Y6860" s="3"/>
    </row>
    <row r="6861">
      <c r="A6861" s="3"/>
      <c r="B6861" s="3"/>
      <c r="C6861" s="3"/>
      <c r="D6861" s="3"/>
      <c r="E6861" s="3"/>
      <c r="F6861" s="3"/>
      <c r="G6861" s="3"/>
      <c r="H6861" s="3"/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  <c r="T6861" s="3"/>
      <c r="U6861" s="3"/>
      <c r="V6861" s="3"/>
      <c r="W6861" s="3"/>
      <c r="X6861" s="3"/>
      <c r="Y6861" s="3"/>
    </row>
    <row r="6862">
      <c r="A6862" s="3"/>
      <c r="B6862" s="3"/>
      <c r="C6862" s="3"/>
      <c r="D6862" s="3"/>
      <c r="E6862" s="3"/>
      <c r="F6862" s="3"/>
      <c r="G6862" s="3"/>
      <c r="H6862" s="3"/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  <c r="T6862" s="3"/>
      <c r="U6862" s="3"/>
      <c r="V6862" s="3"/>
      <c r="W6862" s="3"/>
      <c r="X6862" s="3"/>
      <c r="Y6862" s="3"/>
    </row>
    <row r="6863">
      <c r="A6863" s="3"/>
      <c r="B6863" s="3"/>
      <c r="C6863" s="3"/>
      <c r="D6863" s="3"/>
      <c r="E6863" s="3"/>
      <c r="F6863" s="3"/>
      <c r="G6863" s="3"/>
      <c r="H6863" s="3"/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  <c r="T6863" s="3"/>
      <c r="U6863" s="3"/>
      <c r="V6863" s="3"/>
      <c r="W6863" s="3"/>
      <c r="X6863" s="3"/>
      <c r="Y6863" s="3"/>
    </row>
    <row r="6864">
      <c r="A6864" s="3"/>
      <c r="B6864" s="3"/>
      <c r="C6864" s="3"/>
      <c r="D6864" s="3"/>
      <c r="E6864" s="3"/>
      <c r="F6864" s="3"/>
      <c r="G6864" s="3"/>
      <c r="H6864" s="3"/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  <c r="T6864" s="3"/>
      <c r="U6864" s="3"/>
      <c r="V6864" s="3"/>
      <c r="W6864" s="3"/>
      <c r="X6864" s="3"/>
      <c r="Y6864" s="3"/>
    </row>
    <row r="6865">
      <c r="A6865" s="3"/>
      <c r="B6865" s="3"/>
      <c r="C6865" s="3"/>
      <c r="D6865" s="3"/>
      <c r="E6865" s="3"/>
      <c r="F6865" s="3"/>
      <c r="G6865" s="3"/>
      <c r="H6865" s="3"/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  <c r="T6865" s="3"/>
      <c r="U6865" s="3"/>
      <c r="V6865" s="3"/>
      <c r="W6865" s="3"/>
      <c r="X6865" s="3"/>
      <c r="Y6865" s="3"/>
    </row>
    <row r="6866">
      <c r="A6866" s="3"/>
      <c r="B6866" s="3"/>
      <c r="C6866" s="3"/>
      <c r="D6866" s="3"/>
      <c r="E6866" s="3"/>
      <c r="F6866" s="3"/>
      <c r="G6866" s="3"/>
      <c r="H6866" s="3"/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  <c r="T6866" s="3"/>
      <c r="U6866" s="3"/>
      <c r="V6866" s="3"/>
      <c r="W6866" s="3"/>
      <c r="X6866" s="3"/>
      <c r="Y6866" s="3"/>
    </row>
    <row r="6867">
      <c r="A6867" s="3"/>
      <c r="B6867" s="3"/>
      <c r="C6867" s="3"/>
      <c r="D6867" s="3"/>
      <c r="E6867" s="3"/>
      <c r="F6867" s="3"/>
      <c r="G6867" s="3"/>
      <c r="H6867" s="3"/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  <c r="T6867" s="3"/>
      <c r="U6867" s="3"/>
      <c r="V6867" s="3"/>
      <c r="W6867" s="3"/>
      <c r="X6867" s="3"/>
      <c r="Y6867" s="3"/>
    </row>
    <row r="6868">
      <c r="A6868" s="3"/>
      <c r="B6868" s="3"/>
      <c r="C6868" s="3"/>
      <c r="D6868" s="3"/>
      <c r="E6868" s="3"/>
      <c r="F6868" s="3"/>
      <c r="G6868" s="3"/>
      <c r="H6868" s="3"/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  <c r="T6868" s="3"/>
      <c r="U6868" s="3"/>
      <c r="V6868" s="3"/>
      <c r="W6868" s="3"/>
      <c r="X6868" s="3"/>
      <c r="Y6868" s="3"/>
    </row>
    <row r="6869">
      <c r="A6869" s="3"/>
      <c r="B6869" s="3"/>
      <c r="C6869" s="3"/>
      <c r="D6869" s="3"/>
      <c r="E6869" s="3"/>
      <c r="F6869" s="3"/>
      <c r="G6869" s="3"/>
      <c r="H6869" s="3"/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  <c r="T6869" s="3"/>
      <c r="U6869" s="3"/>
      <c r="V6869" s="3"/>
      <c r="W6869" s="3"/>
      <c r="X6869" s="3"/>
      <c r="Y6869" s="3"/>
    </row>
    <row r="6870">
      <c r="A6870" s="3"/>
      <c r="B6870" s="3"/>
      <c r="C6870" s="3"/>
      <c r="D6870" s="3"/>
      <c r="E6870" s="3"/>
      <c r="F6870" s="3"/>
      <c r="G6870" s="3"/>
      <c r="H6870" s="3"/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  <c r="T6870" s="3"/>
      <c r="U6870" s="3"/>
      <c r="V6870" s="3"/>
      <c r="W6870" s="3"/>
      <c r="X6870" s="3"/>
      <c r="Y6870" s="3"/>
    </row>
    <row r="6871">
      <c r="A6871" s="3"/>
      <c r="B6871" s="3"/>
      <c r="C6871" s="3"/>
      <c r="D6871" s="3"/>
      <c r="E6871" s="3"/>
      <c r="F6871" s="3"/>
      <c r="G6871" s="3"/>
      <c r="H6871" s="3"/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  <c r="T6871" s="3"/>
      <c r="U6871" s="3"/>
      <c r="V6871" s="3"/>
      <c r="W6871" s="3"/>
      <c r="X6871" s="3"/>
      <c r="Y6871" s="3"/>
    </row>
    <row r="6872">
      <c r="A6872" s="3"/>
      <c r="B6872" s="3"/>
      <c r="C6872" s="3"/>
      <c r="D6872" s="3"/>
      <c r="E6872" s="3"/>
      <c r="F6872" s="3"/>
      <c r="G6872" s="3"/>
      <c r="H6872" s="3"/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  <c r="T6872" s="3"/>
      <c r="U6872" s="3"/>
      <c r="V6872" s="3"/>
      <c r="W6872" s="3"/>
      <c r="X6872" s="3"/>
      <c r="Y6872" s="3"/>
    </row>
    <row r="6873">
      <c r="A6873" s="3"/>
      <c r="B6873" s="3"/>
      <c r="C6873" s="3"/>
      <c r="D6873" s="3"/>
      <c r="E6873" s="3"/>
      <c r="F6873" s="3"/>
      <c r="G6873" s="3"/>
      <c r="H6873" s="3"/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  <c r="T6873" s="3"/>
      <c r="U6873" s="3"/>
      <c r="V6873" s="3"/>
      <c r="W6873" s="3"/>
      <c r="X6873" s="3"/>
      <c r="Y6873" s="3"/>
    </row>
    <row r="6874">
      <c r="A6874" s="3"/>
      <c r="B6874" s="3"/>
      <c r="C6874" s="3"/>
      <c r="D6874" s="3"/>
      <c r="E6874" s="3"/>
      <c r="F6874" s="3"/>
      <c r="G6874" s="3"/>
      <c r="H6874" s="3"/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  <c r="T6874" s="3"/>
      <c r="U6874" s="3"/>
      <c r="V6874" s="3"/>
      <c r="W6874" s="3"/>
      <c r="X6874" s="3"/>
      <c r="Y6874" s="3"/>
    </row>
    <row r="6875">
      <c r="A6875" s="3"/>
      <c r="B6875" s="3"/>
      <c r="C6875" s="3"/>
      <c r="D6875" s="3"/>
      <c r="E6875" s="3"/>
      <c r="F6875" s="3"/>
      <c r="G6875" s="3"/>
      <c r="H6875" s="3"/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  <c r="T6875" s="3"/>
      <c r="U6875" s="3"/>
      <c r="V6875" s="3"/>
      <c r="W6875" s="3"/>
      <c r="X6875" s="3"/>
      <c r="Y6875" s="3"/>
    </row>
    <row r="6876">
      <c r="A6876" s="3"/>
      <c r="B6876" s="3"/>
      <c r="C6876" s="3"/>
      <c r="D6876" s="3"/>
      <c r="E6876" s="3"/>
      <c r="F6876" s="3"/>
      <c r="G6876" s="3"/>
      <c r="H6876" s="3"/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  <c r="T6876" s="3"/>
      <c r="U6876" s="3"/>
      <c r="V6876" s="3"/>
      <c r="W6876" s="3"/>
      <c r="X6876" s="3"/>
      <c r="Y6876" s="3"/>
    </row>
    <row r="6877">
      <c r="A6877" s="3"/>
      <c r="B6877" s="3"/>
      <c r="C6877" s="3"/>
      <c r="D6877" s="3"/>
      <c r="E6877" s="3"/>
      <c r="F6877" s="3"/>
      <c r="G6877" s="3"/>
      <c r="H6877" s="3"/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  <c r="T6877" s="3"/>
      <c r="U6877" s="3"/>
      <c r="V6877" s="3"/>
      <c r="W6877" s="3"/>
      <c r="X6877" s="3"/>
      <c r="Y6877" s="3"/>
    </row>
    <row r="6878">
      <c r="A6878" s="3"/>
      <c r="B6878" s="3"/>
      <c r="C6878" s="3"/>
      <c r="D6878" s="3"/>
      <c r="E6878" s="3"/>
      <c r="F6878" s="3"/>
      <c r="G6878" s="3"/>
      <c r="H6878" s="3"/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  <c r="T6878" s="3"/>
      <c r="U6878" s="3"/>
      <c r="V6878" s="3"/>
      <c r="W6878" s="3"/>
      <c r="X6878" s="3"/>
      <c r="Y6878" s="3"/>
    </row>
    <row r="6879">
      <c r="A6879" s="3"/>
      <c r="B6879" s="3"/>
      <c r="C6879" s="3"/>
      <c r="D6879" s="3"/>
      <c r="E6879" s="3"/>
      <c r="F6879" s="3"/>
      <c r="G6879" s="3"/>
      <c r="H6879" s="3"/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  <c r="T6879" s="3"/>
      <c r="U6879" s="3"/>
      <c r="V6879" s="3"/>
      <c r="W6879" s="3"/>
      <c r="X6879" s="3"/>
      <c r="Y6879" s="3"/>
    </row>
    <row r="6880">
      <c r="A6880" s="3"/>
      <c r="B6880" s="3"/>
      <c r="C6880" s="3"/>
      <c r="D6880" s="3"/>
      <c r="E6880" s="3"/>
      <c r="F6880" s="3"/>
      <c r="G6880" s="3"/>
      <c r="H6880" s="3"/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  <c r="T6880" s="3"/>
      <c r="U6880" s="3"/>
      <c r="V6880" s="3"/>
      <c r="W6880" s="3"/>
      <c r="X6880" s="3"/>
      <c r="Y6880" s="3"/>
    </row>
    <row r="6881">
      <c r="A6881" s="3"/>
      <c r="B6881" s="3"/>
      <c r="C6881" s="3"/>
      <c r="D6881" s="3"/>
      <c r="E6881" s="3"/>
      <c r="F6881" s="3"/>
      <c r="G6881" s="3"/>
      <c r="H6881" s="3"/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  <c r="T6881" s="3"/>
      <c r="U6881" s="3"/>
      <c r="V6881" s="3"/>
      <c r="W6881" s="3"/>
      <c r="X6881" s="3"/>
      <c r="Y6881" s="3"/>
    </row>
    <row r="6882">
      <c r="A6882" s="3"/>
      <c r="B6882" s="3"/>
      <c r="C6882" s="3"/>
      <c r="D6882" s="3"/>
      <c r="E6882" s="3"/>
      <c r="F6882" s="3"/>
      <c r="G6882" s="3"/>
      <c r="H6882" s="3"/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  <c r="T6882" s="3"/>
      <c r="U6882" s="3"/>
      <c r="V6882" s="3"/>
      <c r="W6882" s="3"/>
      <c r="X6882" s="3"/>
      <c r="Y6882" s="3"/>
    </row>
    <row r="6883">
      <c r="A6883" s="3"/>
      <c r="B6883" s="3"/>
      <c r="C6883" s="3"/>
      <c r="D6883" s="3"/>
      <c r="E6883" s="3"/>
      <c r="F6883" s="3"/>
      <c r="G6883" s="3"/>
      <c r="H6883" s="3"/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  <c r="T6883" s="3"/>
      <c r="U6883" s="3"/>
      <c r="V6883" s="3"/>
      <c r="W6883" s="3"/>
      <c r="X6883" s="3"/>
      <c r="Y6883" s="3"/>
    </row>
    <row r="6884">
      <c r="A6884" s="3"/>
      <c r="B6884" s="3"/>
      <c r="C6884" s="3"/>
      <c r="D6884" s="3"/>
      <c r="E6884" s="3"/>
      <c r="F6884" s="3"/>
      <c r="G6884" s="3"/>
      <c r="H6884" s="3"/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  <c r="T6884" s="3"/>
      <c r="U6884" s="3"/>
      <c r="V6884" s="3"/>
      <c r="W6884" s="3"/>
      <c r="X6884" s="3"/>
      <c r="Y6884" s="3"/>
    </row>
    <row r="6885">
      <c r="A6885" s="3"/>
      <c r="B6885" s="3"/>
      <c r="C6885" s="3"/>
      <c r="D6885" s="3"/>
      <c r="E6885" s="3"/>
      <c r="F6885" s="3"/>
      <c r="G6885" s="3"/>
      <c r="H6885" s="3"/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  <c r="T6885" s="3"/>
      <c r="U6885" s="3"/>
      <c r="V6885" s="3"/>
      <c r="W6885" s="3"/>
      <c r="X6885" s="3"/>
      <c r="Y6885" s="3"/>
    </row>
    <row r="6886">
      <c r="A6886" s="3"/>
      <c r="B6886" s="3"/>
      <c r="C6886" s="3"/>
      <c r="D6886" s="3"/>
      <c r="E6886" s="3"/>
      <c r="F6886" s="3"/>
      <c r="G6886" s="3"/>
      <c r="H6886" s="3"/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  <c r="T6886" s="3"/>
      <c r="U6886" s="3"/>
      <c r="V6886" s="3"/>
      <c r="W6886" s="3"/>
      <c r="X6886" s="3"/>
      <c r="Y6886" s="3"/>
    </row>
    <row r="6887">
      <c r="A6887" s="3"/>
      <c r="B6887" s="3"/>
      <c r="C6887" s="3"/>
      <c r="D6887" s="3"/>
      <c r="E6887" s="3"/>
      <c r="F6887" s="3"/>
      <c r="G6887" s="3"/>
      <c r="H6887" s="3"/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  <c r="T6887" s="3"/>
      <c r="U6887" s="3"/>
      <c r="V6887" s="3"/>
      <c r="W6887" s="3"/>
      <c r="X6887" s="3"/>
      <c r="Y6887" s="3"/>
    </row>
    <row r="6888">
      <c r="A6888" s="3"/>
      <c r="B6888" s="3"/>
      <c r="C6888" s="3"/>
      <c r="D6888" s="3"/>
      <c r="E6888" s="3"/>
      <c r="F6888" s="3"/>
      <c r="G6888" s="3"/>
      <c r="H6888" s="3"/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  <c r="T6888" s="3"/>
      <c r="U6888" s="3"/>
      <c r="V6888" s="3"/>
      <c r="W6888" s="3"/>
      <c r="X6888" s="3"/>
      <c r="Y6888" s="3"/>
    </row>
    <row r="6889">
      <c r="A6889" s="3"/>
      <c r="B6889" s="3"/>
      <c r="C6889" s="3"/>
      <c r="D6889" s="3"/>
      <c r="E6889" s="3"/>
      <c r="F6889" s="3"/>
      <c r="G6889" s="3"/>
      <c r="H6889" s="3"/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  <c r="T6889" s="3"/>
      <c r="U6889" s="3"/>
      <c r="V6889" s="3"/>
      <c r="W6889" s="3"/>
      <c r="X6889" s="3"/>
      <c r="Y6889" s="3"/>
    </row>
    <row r="6890">
      <c r="A6890" s="3"/>
      <c r="B6890" s="3"/>
      <c r="C6890" s="3"/>
      <c r="D6890" s="3"/>
      <c r="E6890" s="3"/>
      <c r="F6890" s="3"/>
      <c r="G6890" s="3"/>
      <c r="H6890" s="3"/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  <c r="T6890" s="3"/>
      <c r="U6890" s="3"/>
      <c r="V6890" s="3"/>
      <c r="W6890" s="3"/>
      <c r="X6890" s="3"/>
      <c r="Y6890" s="3"/>
    </row>
    <row r="6891">
      <c r="A6891" s="3"/>
      <c r="B6891" s="3"/>
      <c r="C6891" s="3"/>
      <c r="D6891" s="3"/>
      <c r="E6891" s="3"/>
      <c r="F6891" s="3"/>
      <c r="G6891" s="3"/>
      <c r="H6891" s="3"/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  <c r="T6891" s="3"/>
      <c r="U6891" s="3"/>
      <c r="V6891" s="3"/>
      <c r="W6891" s="3"/>
      <c r="X6891" s="3"/>
      <c r="Y6891" s="3"/>
    </row>
    <row r="6892">
      <c r="A6892" s="3"/>
      <c r="B6892" s="3"/>
      <c r="C6892" s="3"/>
      <c r="D6892" s="3"/>
      <c r="E6892" s="3"/>
      <c r="F6892" s="3"/>
      <c r="G6892" s="3"/>
      <c r="H6892" s="3"/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  <c r="T6892" s="3"/>
      <c r="U6892" s="3"/>
      <c r="V6892" s="3"/>
      <c r="W6892" s="3"/>
      <c r="X6892" s="3"/>
      <c r="Y6892" s="3"/>
    </row>
    <row r="6893">
      <c r="A6893" s="3"/>
      <c r="B6893" s="3"/>
      <c r="C6893" s="3"/>
      <c r="D6893" s="3"/>
      <c r="E6893" s="3"/>
      <c r="F6893" s="3"/>
      <c r="G6893" s="3"/>
      <c r="H6893" s="3"/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  <c r="T6893" s="3"/>
      <c r="U6893" s="3"/>
      <c r="V6893" s="3"/>
      <c r="W6893" s="3"/>
      <c r="X6893" s="3"/>
      <c r="Y6893" s="3"/>
    </row>
    <row r="6894">
      <c r="A6894" s="3"/>
      <c r="B6894" s="3"/>
      <c r="C6894" s="3"/>
      <c r="D6894" s="3"/>
      <c r="E6894" s="3"/>
      <c r="F6894" s="3"/>
      <c r="G6894" s="3"/>
      <c r="H6894" s="3"/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  <c r="T6894" s="3"/>
      <c r="U6894" s="3"/>
      <c r="V6894" s="3"/>
      <c r="W6894" s="3"/>
      <c r="X6894" s="3"/>
      <c r="Y6894" s="3"/>
    </row>
    <row r="6895">
      <c r="A6895" s="3"/>
      <c r="B6895" s="3"/>
      <c r="C6895" s="3"/>
      <c r="D6895" s="3"/>
      <c r="E6895" s="3"/>
      <c r="F6895" s="3"/>
      <c r="G6895" s="3"/>
      <c r="H6895" s="3"/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  <c r="T6895" s="3"/>
      <c r="U6895" s="3"/>
      <c r="V6895" s="3"/>
      <c r="W6895" s="3"/>
      <c r="X6895" s="3"/>
      <c r="Y6895" s="3"/>
    </row>
    <row r="6896">
      <c r="A6896" s="3"/>
      <c r="B6896" s="3"/>
      <c r="C6896" s="3"/>
      <c r="D6896" s="3"/>
      <c r="E6896" s="3"/>
      <c r="F6896" s="3"/>
      <c r="G6896" s="3"/>
      <c r="H6896" s="3"/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  <c r="T6896" s="3"/>
      <c r="U6896" s="3"/>
      <c r="V6896" s="3"/>
      <c r="W6896" s="3"/>
      <c r="X6896" s="3"/>
      <c r="Y6896" s="3"/>
    </row>
    <row r="6897">
      <c r="A6897" s="3"/>
      <c r="B6897" s="3"/>
      <c r="C6897" s="3"/>
      <c r="D6897" s="3"/>
      <c r="E6897" s="3"/>
      <c r="F6897" s="3"/>
      <c r="G6897" s="3"/>
      <c r="H6897" s="3"/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  <c r="T6897" s="3"/>
      <c r="U6897" s="3"/>
      <c r="V6897" s="3"/>
      <c r="W6897" s="3"/>
      <c r="X6897" s="3"/>
      <c r="Y6897" s="3"/>
    </row>
    <row r="6898">
      <c r="A6898" s="3"/>
      <c r="B6898" s="3"/>
      <c r="C6898" s="3"/>
      <c r="D6898" s="3"/>
      <c r="E6898" s="3"/>
      <c r="F6898" s="3"/>
      <c r="G6898" s="3"/>
      <c r="H6898" s="3"/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  <c r="T6898" s="3"/>
      <c r="U6898" s="3"/>
      <c r="V6898" s="3"/>
      <c r="W6898" s="3"/>
      <c r="X6898" s="3"/>
      <c r="Y6898" s="3"/>
    </row>
    <row r="6899">
      <c r="A6899" s="3"/>
      <c r="B6899" s="3"/>
      <c r="C6899" s="3"/>
      <c r="D6899" s="3"/>
      <c r="E6899" s="3"/>
      <c r="F6899" s="3"/>
      <c r="G6899" s="3"/>
      <c r="H6899" s="3"/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  <c r="T6899" s="3"/>
      <c r="U6899" s="3"/>
      <c r="V6899" s="3"/>
      <c r="W6899" s="3"/>
      <c r="X6899" s="3"/>
      <c r="Y6899" s="3"/>
    </row>
    <row r="6900">
      <c r="A6900" s="3"/>
      <c r="B6900" s="3"/>
      <c r="C6900" s="3"/>
      <c r="D6900" s="3"/>
      <c r="E6900" s="3"/>
      <c r="F6900" s="3"/>
      <c r="G6900" s="3"/>
      <c r="H6900" s="3"/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  <c r="T6900" s="3"/>
      <c r="U6900" s="3"/>
      <c r="V6900" s="3"/>
      <c r="W6900" s="3"/>
      <c r="X6900" s="3"/>
      <c r="Y6900" s="3"/>
    </row>
    <row r="6901">
      <c r="A6901" s="3"/>
      <c r="B6901" s="3"/>
      <c r="C6901" s="3"/>
      <c r="D6901" s="3"/>
      <c r="E6901" s="3"/>
      <c r="F6901" s="3"/>
      <c r="G6901" s="3"/>
      <c r="H6901" s="3"/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  <c r="T6901" s="3"/>
      <c r="U6901" s="3"/>
      <c r="V6901" s="3"/>
      <c r="W6901" s="3"/>
      <c r="X6901" s="3"/>
      <c r="Y6901" s="3"/>
    </row>
    <row r="6902">
      <c r="A6902" s="3"/>
      <c r="B6902" s="3"/>
      <c r="C6902" s="3"/>
      <c r="D6902" s="3"/>
      <c r="E6902" s="3"/>
      <c r="F6902" s="3"/>
      <c r="G6902" s="3"/>
      <c r="H6902" s="3"/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  <c r="T6902" s="3"/>
      <c r="U6902" s="3"/>
      <c r="V6902" s="3"/>
      <c r="W6902" s="3"/>
      <c r="X6902" s="3"/>
      <c r="Y6902" s="3"/>
    </row>
    <row r="6903">
      <c r="A6903" s="3"/>
      <c r="B6903" s="3"/>
      <c r="C6903" s="3"/>
      <c r="D6903" s="3"/>
      <c r="E6903" s="3"/>
      <c r="F6903" s="3"/>
      <c r="G6903" s="3"/>
      <c r="H6903" s="3"/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  <c r="T6903" s="3"/>
      <c r="U6903" s="3"/>
      <c r="V6903" s="3"/>
      <c r="W6903" s="3"/>
      <c r="X6903" s="3"/>
      <c r="Y6903" s="3"/>
    </row>
    <row r="6904">
      <c r="A6904" s="3"/>
      <c r="B6904" s="3"/>
      <c r="C6904" s="3"/>
      <c r="D6904" s="3"/>
      <c r="E6904" s="3"/>
      <c r="F6904" s="3"/>
      <c r="G6904" s="3"/>
      <c r="H6904" s="3"/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  <c r="T6904" s="3"/>
      <c r="U6904" s="3"/>
      <c r="V6904" s="3"/>
      <c r="W6904" s="3"/>
      <c r="X6904" s="3"/>
      <c r="Y6904" s="3"/>
    </row>
    <row r="6905">
      <c r="A6905" s="3"/>
      <c r="B6905" s="3"/>
      <c r="C6905" s="3"/>
      <c r="D6905" s="3"/>
      <c r="E6905" s="3"/>
      <c r="F6905" s="3"/>
      <c r="G6905" s="3"/>
      <c r="H6905" s="3"/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  <c r="T6905" s="3"/>
      <c r="U6905" s="3"/>
      <c r="V6905" s="3"/>
      <c r="W6905" s="3"/>
      <c r="X6905" s="3"/>
      <c r="Y6905" s="3"/>
    </row>
    <row r="6906">
      <c r="A6906" s="3"/>
      <c r="B6906" s="3"/>
      <c r="C6906" s="3"/>
      <c r="D6906" s="3"/>
      <c r="E6906" s="3"/>
      <c r="F6906" s="3"/>
      <c r="G6906" s="3"/>
      <c r="H6906" s="3"/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  <c r="T6906" s="3"/>
      <c r="U6906" s="3"/>
      <c r="V6906" s="3"/>
      <c r="W6906" s="3"/>
      <c r="X6906" s="3"/>
      <c r="Y6906" s="3"/>
    </row>
    <row r="6907">
      <c r="A6907" s="3"/>
      <c r="B6907" s="3"/>
      <c r="C6907" s="3"/>
      <c r="D6907" s="3"/>
      <c r="E6907" s="3"/>
      <c r="F6907" s="3"/>
      <c r="G6907" s="3"/>
      <c r="H6907" s="3"/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  <c r="T6907" s="3"/>
      <c r="U6907" s="3"/>
      <c r="V6907" s="3"/>
      <c r="W6907" s="3"/>
      <c r="X6907" s="3"/>
      <c r="Y6907" s="3"/>
    </row>
    <row r="6908">
      <c r="A6908" s="3"/>
      <c r="B6908" s="3"/>
      <c r="C6908" s="3"/>
      <c r="D6908" s="3"/>
      <c r="E6908" s="3"/>
      <c r="F6908" s="3"/>
      <c r="G6908" s="3"/>
      <c r="H6908" s="3"/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  <c r="T6908" s="3"/>
      <c r="U6908" s="3"/>
      <c r="V6908" s="3"/>
      <c r="W6908" s="3"/>
      <c r="X6908" s="3"/>
      <c r="Y6908" s="3"/>
    </row>
    <row r="6909">
      <c r="A6909" s="3"/>
      <c r="B6909" s="3"/>
      <c r="C6909" s="3"/>
      <c r="D6909" s="3"/>
      <c r="E6909" s="3"/>
      <c r="F6909" s="3"/>
      <c r="G6909" s="3"/>
      <c r="H6909" s="3"/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  <c r="T6909" s="3"/>
      <c r="U6909" s="3"/>
      <c r="V6909" s="3"/>
      <c r="W6909" s="3"/>
      <c r="X6909" s="3"/>
      <c r="Y6909" s="3"/>
    </row>
    <row r="6910">
      <c r="A6910" s="3"/>
      <c r="B6910" s="3"/>
      <c r="C6910" s="3"/>
      <c r="D6910" s="3"/>
      <c r="E6910" s="3"/>
      <c r="F6910" s="3"/>
      <c r="G6910" s="3"/>
      <c r="H6910" s="3"/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  <c r="T6910" s="3"/>
      <c r="U6910" s="3"/>
      <c r="V6910" s="3"/>
      <c r="W6910" s="3"/>
      <c r="X6910" s="3"/>
      <c r="Y6910" s="3"/>
    </row>
    <row r="6911">
      <c r="A6911" s="3"/>
      <c r="B6911" s="3"/>
      <c r="C6911" s="3"/>
      <c r="D6911" s="3"/>
      <c r="E6911" s="3"/>
      <c r="F6911" s="3"/>
      <c r="G6911" s="3"/>
      <c r="H6911" s="3"/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  <c r="T6911" s="3"/>
      <c r="U6911" s="3"/>
      <c r="V6911" s="3"/>
      <c r="W6911" s="3"/>
      <c r="X6911" s="3"/>
      <c r="Y6911" s="3"/>
    </row>
    <row r="6912">
      <c r="A6912" s="3"/>
      <c r="B6912" s="3"/>
      <c r="C6912" s="3"/>
      <c r="D6912" s="3"/>
      <c r="E6912" s="3"/>
      <c r="F6912" s="3"/>
      <c r="G6912" s="3"/>
      <c r="H6912" s="3"/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  <c r="T6912" s="3"/>
      <c r="U6912" s="3"/>
      <c r="V6912" s="3"/>
      <c r="W6912" s="3"/>
      <c r="X6912" s="3"/>
      <c r="Y6912" s="3"/>
    </row>
    <row r="6913">
      <c r="A6913" s="3"/>
      <c r="B6913" s="3"/>
      <c r="C6913" s="3"/>
      <c r="D6913" s="3"/>
      <c r="E6913" s="3"/>
      <c r="F6913" s="3"/>
      <c r="G6913" s="3"/>
      <c r="H6913" s="3"/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  <c r="T6913" s="3"/>
      <c r="U6913" s="3"/>
      <c r="V6913" s="3"/>
      <c r="W6913" s="3"/>
      <c r="X6913" s="3"/>
      <c r="Y6913" s="3"/>
    </row>
    <row r="6914">
      <c r="A6914" s="3"/>
      <c r="B6914" s="3"/>
      <c r="C6914" s="3"/>
      <c r="D6914" s="3"/>
      <c r="E6914" s="3"/>
      <c r="F6914" s="3"/>
      <c r="G6914" s="3"/>
      <c r="H6914" s="3"/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  <c r="T6914" s="3"/>
      <c r="U6914" s="3"/>
      <c r="V6914" s="3"/>
      <c r="W6914" s="3"/>
      <c r="X6914" s="3"/>
      <c r="Y6914" s="3"/>
    </row>
    <row r="6915">
      <c r="A6915" s="3"/>
      <c r="B6915" s="3"/>
      <c r="C6915" s="3"/>
      <c r="D6915" s="3"/>
      <c r="E6915" s="3"/>
      <c r="F6915" s="3"/>
      <c r="G6915" s="3"/>
      <c r="H6915" s="3"/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  <c r="T6915" s="3"/>
      <c r="U6915" s="3"/>
      <c r="V6915" s="3"/>
      <c r="W6915" s="3"/>
      <c r="X6915" s="3"/>
      <c r="Y6915" s="3"/>
    </row>
    <row r="6916">
      <c r="A6916" s="3"/>
      <c r="B6916" s="3"/>
      <c r="C6916" s="3"/>
      <c r="D6916" s="3"/>
      <c r="E6916" s="3"/>
      <c r="F6916" s="3"/>
      <c r="G6916" s="3"/>
      <c r="H6916" s="3"/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  <c r="T6916" s="3"/>
      <c r="U6916" s="3"/>
      <c r="V6916" s="3"/>
      <c r="W6916" s="3"/>
      <c r="X6916" s="3"/>
      <c r="Y6916" s="3"/>
    </row>
    <row r="6917">
      <c r="A6917" s="3"/>
      <c r="B6917" s="3"/>
      <c r="C6917" s="3"/>
      <c r="D6917" s="3"/>
      <c r="E6917" s="3"/>
      <c r="F6917" s="3"/>
      <c r="G6917" s="3"/>
      <c r="H6917" s="3"/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  <c r="T6917" s="3"/>
      <c r="U6917" s="3"/>
      <c r="V6917" s="3"/>
      <c r="W6917" s="3"/>
      <c r="X6917" s="3"/>
      <c r="Y6917" s="3"/>
    </row>
    <row r="6918">
      <c r="A6918" s="3"/>
      <c r="B6918" s="3"/>
      <c r="C6918" s="3"/>
      <c r="D6918" s="3"/>
      <c r="E6918" s="3"/>
      <c r="F6918" s="3"/>
      <c r="G6918" s="3"/>
      <c r="H6918" s="3"/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  <c r="T6918" s="3"/>
      <c r="U6918" s="3"/>
      <c r="V6918" s="3"/>
      <c r="W6918" s="3"/>
      <c r="X6918" s="3"/>
      <c r="Y6918" s="3"/>
    </row>
    <row r="6919">
      <c r="A6919" s="3"/>
      <c r="B6919" s="3"/>
      <c r="C6919" s="3"/>
      <c r="D6919" s="3"/>
      <c r="E6919" s="3"/>
      <c r="F6919" s="3"/>
      <c r="G6919" s="3"/>
      <c r="H6919" s="3"/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  <c r="T6919" s="3"/>
      <c r="U6919" s="3"/>
      <c r="V6919" s="3"/>
      <c r="W6919" s="3"/>
      <c r="X6919" s="3"/>
      <c r="Y6919" s="3"/>
    </row>
    <row r="6920">
      <c r="A6920" s="3"/>
      <c r="B6920" s="3"/>
      <c r="C6920" s="3"/>
      <c r="D6920" s="3"/>
      <c r="E6920" s="3"/>
      <c r="F6920" s="3"/>
      <c r="G6920" s="3"/>
      <c r="H6920" s="3"/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  <c r="T6920" s="3"/>
      <c r="U6920" s="3"/>
      <c r="V6920" s="3"/>
      <c r="W6920" s="3"/>
      <c r="X6920" s="3"/>
      <c r="Y6920" s="3"/>
    </row>
    <row r="6921">
      <c r="A6921" s="3"/>
      <c r="B6921" s="3"/>
      <c r="C6921" s="3"/>
      <c r="D6921" s="3"/>
      <c r="E6921" s="3"/>
      <c r="F6921" s="3"/>
      <c r="G6921" s="3"/>
      <c r="H6921" s="3"/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  <c r="T6921" s="3"/>
      <c r="U6921" s="3"/>
      <c r="V6921" s="3"/>
      <c r="W6921" s="3"/>
      <c r="X6921" s="3"/>
      <c r="Y6921" s="3"/>
    </row>
    <row r="6922">
      <c r="A6922" s="3"/>
      <c r="B6922" s="3"/>
      <c r="C6922" s="3"/>
      <c r="D6922" s="3"/>
      <c r="E6922" s="3"/>
      <c r="F6922" s="3"/>
      <c r="G6922" s="3"/>
      <c r="H6922" s="3"/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  <c r="T6922" s="3"/>
      <c r="U6922" s="3"/>
      <c r="V6922" s="3"/>
      <c r="W6922" s="3"/>
      <c r="X6922" s="3"/>
      <c r="Y6922" s="3"/>
    </row>
    <row r="6923">
      <c r="A6923" s="3"/>
      <c r="B6923" s="3"/>
      <c r="C6923" s="3"/>
      <c r="D6923" s="3"/>
      <c r="E6923" s="3"/>
      <c r="F6923" s="3"/>
      <c r="G6923" s="3"/>
      <c r="H6923" s="3"/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  <c r="T6923" s="3"/>
      <c r="U6923" s="3"/>
      <c r="V6923" s="3"/>
      <c r="W6923" s="3"/>
      <c r="X6923" s="3"/>
      <c r="Y6923" s="3"/>
    </row>
    <row r="6924">
      <c r="A6924" s="3"/>
      <c r="B6924" s="3"/>
      <c r="C6924" s="3"/>
      <c r="D6924" s="3"/>
      <c r="E6924" s="3"/>
      <c r="F6924" s="3"/>
      <c r="G6924" s="3"/>
      <c r="H6924" s="3"/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  <c r="T6924" s="3"/>
      <c r="U6924" s="3"/>
      <c r="V6924" s="3"/>
      <c r="W6924" s="3"/>
      <c r="X6924" s="3"/>
      <c r="Y6924" s="3"/>
    </row>
    <row r="6925">
      <c r="A6925" s="3"/>
      <c r="B6925" s="3"/>
      <c r="C6925" s="3"/>
      <c r="D6925" s="3"/>
      <c r="E6925" s="3"/>
      <c r="F6925" s="3"/>
      <c r="G6925" s="3"/>
      <c r="H6925" s="3"/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  <c r="T6925" s="3"/>
      <c r="U6925" s="3"/>
      <c r="V6925" s="3"/>
      <c r="W6925" s="3"/>
      <c r="X6925" s="3"/>
      <c r="Y6925" s="3"/>
    </row>
    <row r="6926">
      <c r="A6926" s="3"/>
      <c r="B6926" s="3"/>
      <c r="C6926" s="3"/>
      <c r="D6926" s="3"/>
      <c r="E6926" s="3"/>
      <c r="F6926" s="3"/>
      <c r="G6926" s="3"/>
      <c r="H6926" s="3"/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  <c r="T6926" s="3"/>
      <c r="U6926" s="3"/>
      <c r="V6926" s="3"/>
      <c r="W6926" s="3"/>
      <c r="X6926" s="3"/>
      <c r="Y6926" s="3"/>
    </row>
    <row r="6927">
      <c r="A6927" s="3"/>
      <c r="B6927" s="3"/>
      <c r="C6927" s="3"/>
      <c r="D6927" s="3"/>
      <c r="E6927" s="3"/>
      <c r="F6927" s="3"/>
      <c r="G6927" s="3"/>
      <c r="H6927" s="3"/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  <c r="T6927" s="3"/>
      <c r="U6927" s="3"/>
      <c r="V6927" s="3"/>
      <c r="W6927" s="3"/>
      <c r="X6927" s="3"/>
      <c r="Y6927" s="3"/>
    </row>
    <row r="6928">
      <c r="A6928" s="3"/>
      <c r="B6928" s="3"/>
      <c r="C6928" s="3"/>
      <c r="D6928" s="3"/>
      <c r="E6928" s="3"/>
      <c r="F6928" s="3"/>
      <c r="G6928" s="3"/>
      <c r="H6928" s="3"/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  <c r="T6928" s="3"/>
      <c r="U6928" s="3"/>
      <c r="V6928" s="3"/>
      <c r="W6928" s="3"/>
      <c r="X6928" s="3"/>
      <c r="Y6928" s="3"/>
    </row>
    <row r="6929">
      <c r="A6929" s="3"/>
      <c r="B6929" s="3"/>
      <c r="C6929" s="3"/>
      <c r="D6929" s="3"/>
      <c r="E6929" s="3"/>
      <c r="F6929" s="3"/>
      <c r="G6929" s="3"/>
      <c r="H6929" s="3"/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  <c r="T6929" s="3"/>
      <c r="U6929" s="3"/>
      <c r="V6929" s="3"/>
      <c r="W6929" s="3"/>
      <c r="X6929" s="3"/>
      <c r="Y6929" s="3"/>
    </row>
    <row r="6930">
      <c r="A6930" s="3"/>
      <c r="B6930" s="3"/>
      <c r="C6930" s="3"/>
      <c r="D6930" s="3"/>
      <c r="E6930" s="3"/>
      <c r="F6930" s="3"/>
      <c r="G6930" s="3"/>
      <c r="H6930" s="3"/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  <c r="T6930" s="3"/>
      <c r="U6930" s="3"/>
      <c r="V6930" s="3"/>
      <c r="W6930" s="3"/>
      <c r="X6930" s="3"/>
      <c r="Y6930" s="3"/>
    </row>
    <row r="6931">
      <c r="A6931" s="3"/>
      <c r="B6931" s="3"/>
      <c r="C6931" s="3"/>
      <c r="D6931" s="3"/>
      <c r="E6931" s="3"/>
      <c r="F6931" s="3"/>
      <c r="G6931" s="3"/>
      <c r="H6931" s="3"/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  <c r="T6931" s="3"/>
      <c r="U6931" s="3"/>
      <c r="V6931" s="3"/>
      <c r="W6931" s="3"/>
      <c r="X6931" s="3"/>
      <c r="Y6931" s="3"/>
    </row>
    <row r="6932">
      <c r="A6932" s="3"/>
      <c r="B6932" s="3"/>
      <c r="C6932" s="3"/>
      <c r="D6932" s="3"/>
      <c r="E6932" s="3"/>
      <c r="F6932" s="3"/>
      <c r="G6932" s="3"/>
      <c r="H6932" s="3"/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  <c r="T6932" s="3"/>
      <c r="U6932" s="3"/>
      <c r="V6932" s="3"/>
      <c r="W6932" s="3"/>
      <c r="X6932" s="3"/>
      <c r="Y6932" s="3"/>
    </row>
    <row r="6933">
      <c r="A6933" s="3"/>
      <c r="B6933" s="3"/>
      <c r="C6933" s="3"/>
      <c r="D6933" s="3"/>
      <c r="E6933" s="3"/>
      <c r="F6933" s="3"/>
      <c r="G6933" s="3"/>
      <c r="H6933" s="3"/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  <c r="T6933" s="3"/>
      <c r="U6933" s="3"/>
      <c r="V6933" s="3"/>
      <c r="W6933" s="3"/>
      <c r="X6933" s="3"/>
      <c r="Y6933" s="3"/>
    </row>
    <row r="6934">
      <c r="A6934" s="3"/>
      <c r="B6934" s="3"/>
      <c r="C6934" s="3"/>
      <c r="D6934" s="3"/>
      <c r="E6934" s="3"/>
      <c r="F6934" s="3"/>
      <c r="G6934" s="3"/>
      <c r="H6934" s="3"/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  <c r="T6934" s="3"/>
      <c r="U6934" s="3"/>
      <c r="V6934" s="3"/>
      <c r="W6934" s="3"/>
      <c r="X6934" s="3"/>
      <c r="Y6934" s="3"/>
    </row>
    <row r="6935">
      <c r="A6935" s="3"/>
      <c r="B6935" s="3"/>
      <c r="C6935" s="3"/>
      <c r="D6935" s="3"/>
      <c r="E6935" s="3"/>
      <c r="F6935" s="3"/>
      <c r="G6935" s="3"/>
      <c r="H6935" s="3"/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  <c r="T6935" s="3"/>
      <c r="U6935" s="3"/>
      <c r="V6935" s="3"/>
      <c r="W6935" s="3"/>
      <c r="X6935" s="3"/>
      <c r="Y6935" s="3"/>
    </row>
    <row r="6936">
      <c r="A6936" s="3"/>
      <c r="B6936" s="3"/>
      <c r="C6936" s="3"/>
      <c r="D6936" s="3"/>
      <c r="E6936" s="3"/>
      <c r="F6936" s="3"/>
      <c r="G6936" s="3"/>
      <c r="H6936" s="3"/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  <c r="T6936" s="3"/>
      <c r="U6936" s="3"/>
      <c r="V6936" s="3"/>
      <c r="W6936" s="3"/>
      <c r="X6936" s="3"/>
      <c r="Y6936" s="3"/>
    </row>
    <row r="6937">
      <c r="A6937" s="3"/>
      <c r="B6937" s="3"/>
      <c r="C6937" s="3"/>
      <c r="D6937" s="3"/>
      <c r="E6937" s="3"/>
      <c r="F6937" s="3"/>
      <c r="G6937" s="3"/>
      <c r="H6937" s="3"/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  <c r="T6937" s="3"/>
      <c r="U6937" s="3"/>
      <c r="V6937" s="3"/>
      <c r="W6937" s="3"/>
      <c r="X6937" s="3"/>
      <c r="Y6937" s="3"/>
    </row>
    <row r="6938">
      <c r="A6938" s="3"/>
      <c r="B6938" s="3"/>
      <c r="C6938" s="3"/>
      <c r="D6938" s="3"/>
      <c r="E6938" s="3"/>
      <c r="F6938" s="3"/>
      <c r="G6938" s="3"/>
      <c r="H6938" s="3"/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  <c r="T6938" s="3"/>
      <c r="U6938" s="3"/>
      <c r="V6938" s="3"/>
      <c r="W6938" s="3"/>
      <c r="X6938" s="3"/>
      <c r="Y6938" s="3"/>
    </row>
    <row r="6939">
      <c r="A6939" s="3"/>
      <c r="B6939" s="3"/>
      <c r="C6939" s="3"/>
      <c r="D6939" s="3"/>
      <c r="E6939" s="3"/>
      <c r="F6939" s="3"/>
      <c r="G6939" s="3"/>
      <c r="H6939" s="3"/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  <c r="T6939" s="3"/>
      <c r="U6939" s="3"/>
      <c r="V6939" s="3"/>
      <c r="W6939" s="3"/>
      <c r="X6939" s="3"/>
      <c r="Y6939" s="3"/>
    </row>
    <row r="6940">
      <c r="A6940" s="3"/>
      <c r="B6940" s="3"/>
      <c r="C6940" s="3"/>
      <c r="D6940" s="3"/>
      <c r="E6940" s="3"/>
      <c r="F6940" s="3"/>
      <c r="G6940" s="3"/>
      <c r="H6940" s="3"/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  <c r="T6940" s="3"/>
      <c r="U6940" s="3"/>
      <c r="V6940" s="3"/>
      <c r="W6940" s="3"/>
      <c r="X6940" s="3"/>
      <c r="Y6940" s="3"/>
    </row>
    <row r="6941">
      <c r="A6941" s="3"/>
      <c r="B6941" s="3"/>
      <c r="C6941" s="3"/>
      <c r="D6941" s="3"/>
      <c r="E6941" s="3"/>
      <c r="F6941" s="3"/>
      <c r="G6941" s="3"/>
      <c r="H6941" s="3"/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  <c r="T6941" s="3"/>
      <c r="U6941" s="3"/>
      <c r="V6941" s="3"/>
      <c r="W6941" s="3"/>
      <c r="X6941" s="3"/>
      <c r="Y6941" s="3"/>
    </row>
    <row r="6942">
      <c r="A6942" s="3"/>
      <c r="B6942" s="3"/>
      <c r="C6942" s="3"/>
      <c r="D6942" s="3"/>
      <c r="E6942" s="3"/>
      <c r="F6942" s="3"/>
      <c r="G6942" s="3"/>
      <c r="H6942" s="3"/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  <c r="T6942" s="3"/>
      <c r="U6942" s="3"/>
      <c r="V6942" s="3"/>
      <c r="W6942" s="3"/>
      <c r="X6942" s="3"/>
      <c r="Y6942" s="3"/>
    </row>
    <row r="6943">
      <c r="A6943" s="3"/>
      <c r="B6943" s="3"/>
      <c r="C6943" s="3"/>
      <c r="D6943" s="3"/>
      <c r="E6943" s="3"/>
      <c r="F6943" s="3"/>
      <c r="G6943" s="3"/>
      <c r="H6943" s="3"/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  <c r="T6943" s="3"/>
      <c r="U6943" s="3"/>
      <c r="V6943" s="3"/>
      <c r="W6943" s="3"/>
      <c r="X6943" s="3"/>
      <c r="Y6943" s="3"/>
    </row>
    <row r="6944">
      <c r="A6944" s="3"/>
      <c r="B6944" s="3"/>
      <c r="C6944" s="3"/>
      <c r="D6944" s="3"/>
      <c r="E6944" s="3"/>
      <c r="F6944" s="3"/>
      <c r="G6944" s="3"/>
      <c r="H6944" s="3"/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  <c r="T6944" s="3"/>
      <c r="U6944" s="3"/>
      <c r="V6944" s="3"/>
      <c r="W6944" s="3"/>
      <c r="X6944" s="3"/>
      <c r="Y6944" s="3"/>
    </row>
    <row r="6945">
      <c r="A6945" s="3"/>
      <c r="B6945" s="3"/>
      <c r="C6945" s="3"/>
      <c r="D6945" s="3"/>
      <c r="E6945" s="3"/>
      <c r="F6945" s="3"/>
      <c r="G6945" s="3"/>
      <c r="H6945" s="3"/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  <c r="T6945" s="3"/>
      <c r="U6945" s="3"/>
      <c r="V6945" s="3"/>
      <c r="W6945" s="3"/>
      <c r="X6945" s="3"/>
      <c r="Y6945" s="3"/>
    </row>
    <row r="6946">
      <c r="A6946" s="3"/>
      <c r="B6946" s="3"/>
      <c r="C6946" s="3"/>
      <c r="D6946" s="3"/>
      <c r="E6946" s="3"/>
      <c r="F6946" s="3"/>
      <c r="G6946" s="3"/>
      <c r="H6946" s="3"/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  <c r="T6946" s="3"/>
      <c r="U6946" s="3"/>
      <c r="V6946" s="3"/>
      <c r="W6946" s="3"/>
      <c r="X6946" s="3"/>
      <c r="Y6946" s="3"/>
    </row>
    <row r="6947">
      <c r="A6947" s="3"/>
      <c r="B6947" s="3"/>
      <c r="C6947" s="3"/>
      <c r="D6947" s="3"/>
      <c r="E6947" s="3"/>
      <c r="F6947" s="3"/>
      <c r="G6947" s="3"/>
      <c r="H6947" s="3"/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  <c r="T6947" s="3"/>
      <c r="U6947" s="3"/>
      <c r="V6947" s="3"/>
      <c r="W6947" s="3"/>
      <c r="X6947" s="3"/>
      <c r="Y6947" s="3"/>
    </row>
    <row r="6948">
      <c r="A6948" s="3"/>
      <c r="B6948" s="3"/>
      <c r="C6948" s="3"/>
      <c r="D6948" s="3"/>
      <c r="E6948" s="3"/>
      <c r="F6948" s="3"/>
      <c r="G6948" s="3"/>
      <c r="H6948" s="3"/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  <c r="T6948" s="3"/>
      <c r="U6948" s="3"/>
      <c r="V6948" s="3"/>
      <c r="W6948" s="3"/>
      <c r="X6948" s="3"/>
      <c r="Y6948" s="3"/>
    </row>
    <row r="6949">
      <c r="A6949" s="3"/>
      <c r="B6949" s="3"/>
      <c r="C6949" s="3"/>
      <c r="D6949" s="3"/>
      <c r="E6949" s="3"/>
      <c r="F6949" s="3"/>
      <c r="G6949" s="3"/>
      <c r="H6949" s="3"/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  <c r="T6949" s="3"/>
      <c r="U6949" s="3"/>
      <c r="V6949" s="3"/>
      <c r="W6949" s="3"/>
      <c r="X6949" s="3"/>
      <c r="Y6949" s="3"/>
    </row>
    <row r="6950">
      <c r="A6950" s="3"/>
      <c r="B6950" s="3"/>
      <c r="C6950" s="3"/>
      <c r="D6950" s="3"/>
      <c r="E6950" s="3"/>
      <c r="F6950" s="3"/>
      <c r="G6950" s="3"/>
      <c r="H6950" s="3"/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  <c r="T6950" s="3"/>
      <c r="U6950" s="3"/>
      <c r="V6950" s="3"/>
      <c r="W6950" s="3"/>
      <c r="X6950" s="3"/>
      <c r="Y6950" s="3"/>
    </row>
    <row r="6951">
      <c r="A6951" s="3"/>
      <c r="B6951" s="3"/>
      <c r="C6951" s="3"/>
      <c r="D6951" s="3"/>
      <c r="E6951" s="3"/>
      <c r="F6951" s="3"/>
      <c r="G6951" s="3"/>
      <c r="H6951" s="3"/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  <c r="T6951" s="3"/>
      <c r="U6951" s="3"/>
      <c r="V6951" s="3"/>
      <c r="W6951" s="3"/>
      <c r="X6951" s="3"/>
      <c r="Y6951" s="3"/>
    </row>
    <row r="6952">
      <c r="A6952" s="3"/>
      <c r="B6952" s="3"/>
      <c r="C6952" s="3"/>
      <c r="D6952" s="3"/>
      <c r="E6952" s="3"/>
      <c r="F6952" s="3"/>
      <c r="G6952" s="3"/>
      <c r="H6952" s="3"/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  <c r="T6952" s="3"/>
      <c r="U6952" s="3"/>
      <c r="V6952" s="3"/>
      <c r="W6952" s="3"/>
      <c r="X6952" s="3"/>
      <c r="Y6952" s="3"/>
    </row>
    <row r="6953">
      <c r="A6953" s="3"/>
      <c r="B6953" s="3"/>
      <c r="C6953" s="3"/>
      <c r="D6953" s="3"/>
      <c r="E6953" s="3"/>
      <c r="F6953" s="3"/>
      <c r="G6953" s="3"/>
      <c r="H6953" s="3"/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  <c r="T6953" s="3"/>
      <c r="U6953" s="3"/>
      <c r="V6953" s="3"/>
      <c r="W6953" s="3"/>
      <c r="X6953" s="3"/>
      <c r="Y6953" s="3"/>
    </row>
    <row r="6954">
      <c r="A6954" s="3"/>
      <c r="B6954" s="3"/>
      <c r="C6954" s="3"/>
      <c r="D6954" s="3"/>
      <c r="E6954" s="3"/>
      <c r="F6954" s="3"/>
      <c r="G6954" s="3"/>
      <c r="H6954" s="3"/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  <c r="T6954" s="3"/>
      <c r="U6954" s="3"/>
      <c r="V6954" s="3"/>
      <c r="W6954" s="3"/>
      <c r="X6954" s="3"/>
      <c r="Y6954" s="3"/>
    </row>
    <row r="6955">
      <c r="A6955" s="3"/>
      <c r="B6955" s="3"/>
      <c r="C6955" s="3"/>
      <c r="D6955" s="3"/>
      <c r="E6955" s="3"/>
      <c r="F6955" s="3"/>
      <c r="G6955" s="3"/>
      <c r="H6955" s="3"/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  <c r="T6955" s="3"/>
      <c r="U6955" s="3"/>
      <c r="V6955" s="3"/>
      <c r="W6955" s="3"/>
      <c r="X6955" s="3"/>
      <c r="Y6955" s="3"/>
    </row>
    <row r="6956">
      <c r="A6956" s="3"/>
      <c r="B6956" s="3"/>
      <c r="C6956" s="3"/>
      <c r="D6956" s="3"/>
      <c r="E6956" s="3"/>
      <c r="F6956" s="3"/>
      <c r="G6956" s="3"/>
      <c r="H6956" s="3"/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  <c r="T6956" s="3"/>
      <c r="U6956" s="3"/>
      <c r="V6956" s="3"/>
      <c r="W6956" s="3"/>
      <c r="X6956" s="3"/>
      <c r="Y6956" s="3"/>
    </row>
    <row r="6957">
      <c r="A6957" s="3"/>
      <c r="B6957" s="3"/>
      <c r="C6957" s="3"/>
      <c r="D6957" s="3"/>
      <c r="E6957" s="3"/>
      <c r="F6957" s="3"/>
      <c r="G6957" s="3"/>
      <c r="H6957" s="3"/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  <c r="T6957" s="3"/>
      <c r="U6957" s="3"/>
      <c r="V6957" s="3"/>
      <c r="W6957" s="3"/>
      <c r="X6957" s="3"/>
      <c r="Y6957" s="3"/>
    </row>
    <row r="6958">
      <c r="A6958" s="3"/>
      <c r="B6958" s="3"/>
      <c r="C6958" s="3"/>
      <c r="D6958" s="3"/>
      <c r="E6958" s="3"/>
      <c r="F6958" s="3"/>
      <c r="G6958" s="3"/>
      <c r="H6958" s="3"/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  <c r="T6958" s="3"/>
      <c r="U6958" s="3"/>
      <c r="V6958" s="3"/>
      <c r="W6958" s="3"/>
      <c r="X6958" s="3"/>
      <c r="Y6958" s="3"/>
    </row>
    <row r="6959">
      <c r="A6959" s="3"/>
      <c r="B6959" s="3"/>
      <c r="C6959" s="3"/>
      <c r="D6959" s="3"/>
      <c r="E6959" s="3"/>
      <c r="F6959" s="3"/>
      <c r="G6959" s="3"/>
      <c r="H6959" s="3"/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  <c r="T6959" s="3"/>
      <c r="U6959" s="3"/>
      <c r="V6959" s="3"/>
      <c r="W6959" s="3"/>
      <c r="X6959" s="3"/>
      <c r="Y6959" s="3"/>
    </row>
    <row r="6960">
      <c r="A6960" s="3"/>
      <c r="B6960" s="3"/>
      <c r="C6960" s="3"/>
      <c r="D6960" s="3"/>
      <c r="E6960" s="3"/>
      <c r="F6960" s="3"/>
      <c r="G6960" s="3"/>
      <c r="H6960" s="3"/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  <c r="T6960" s="3"/>
      <c r="U6960" s="3"/>
      <c r="V6960" s="3"/>
      <c r="W6960" s="3"/>
      <c r="X6960" s="3"/>
      <c r="Y6960" s="3"/>
    </row>
    <row r="6961">
      <c r="A6961" s="3"/>
      <c r="B6961" s="3"/>
      <c r="C6961" s="3"/>
      <c r="D6961" s="3"/>
      <c r="E6961" s="3"/>
      <c r="F6961" s="3"/>
      <c r="G6961" s="3"/>
      <c r="H6961" s="3"/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  <c r="T6961" s="3"/>
      <c r="U6961" s="3"/>
      <c r="V6961" s="3"/>
      <c r="W6961" s="3"/>
      <c r="X6961" s="3"/>
      <c r="Y6961" s="3"/>
    </row>
    <row r="6962">
      <c r="A6962" s="3"/>
      <c r="B6962" s="3"/>
      <c r="C6962" s="3"/>
      <c r="D6962" s="3"/>
      <c r="E6962" s="3"/>
      <c r="F6962" s="3"/>
      <c r="G6962" s="3"/>
      <c r="H6962" s="3"/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  <c r="T6962" s="3"/>
      <c r="U6962" s="3"/>
      <c r="V6962" s="3"/>
      <c r="W6962" s="3"/>
      <c r="X6962" s="3"/>
      <c r="Y6962" s="3"/>
    </row>
    <row r="6963">
      <c r="A6963" s="3"/>
      <c r="B6963" s="3"/>
      <c r="C6963" s="3"/>
      <c r="D6963" s="3"/>
      <c r="E6963" s="3"/>
      <c r="F6963" s="3"/>
      <c r="G6963" s="3"/>
      <c r="H6963" s="3"/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  <c r="T6963" s="3"/>
      <c r="U6963" s="3"/>
      <c r="V6963" s="3"/>
      <c r="W6963" s="3"/>
      <c r="X6963" s="3"/>
      <c r="Y6963" s="3"/>
    </row>
    <row r="6964">
      <c r="A6964" s="3"/>
      <c r="B6964" s="3"/>
      <c r="C6964" s="3"/>
      <c r="D6964" s="3"/>
      <c r="E6964" s="3"/>
      <c r="F6964" s="3"/>
      <c r="G6964" s="3"/>
      <c r="H6964" s="3"/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  <c r="T6964" s="3"/>
      <c r="U6964" s="3"/>
      <c r="V6964" s="3"/>
      <c r="W6964" s="3"/>
      <c r="X6964" s="3"/>
      <c r="Y6964" s="3"/>
    </row>
    <row r="6965">
      <c r="A6965" s="3"/>
      <c r="B6965" s="3"/>
      <c r="C6965" s="3"/>
      <c r="D6965" s="3"/>
      <c r="E6965" s="3"/>
      <c r="F6965" s="3"/>
      <c r="G6965" s="3"/>
      <c r="H6965" s="3"/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  <c r="T6965" s="3"/>
      <c r="U6965" s="3"/>
      <c r="V6965" s="3"/>
      <c r="W6965" s="3"/>
      <c r="X6965" s="3"/>
      <c r="Y6965" s="3"/>
    </row>
    <row r="6966">
      <c r="A6966" s="3"/>
      <c r="B6966" s="3"/>
      <c r="C6966" s="3"/>
      <c r="D6966" s="3"/>
      <c r="E6966" s="3"/>
      <c r="F6966" s="3"/>
      <c r="G6966" s="3"/>
      <c r="H6966" s="3"/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  <c r="T6966" s="3"/>
      <c r="U6966" s="3"/>
      <c r="V6966" s="3"/>
      <c r="W6966" s="3"/>
      <c r="X6966" s="3"/>
      <c r="Y6966" s="3"/>
    </row>
    <row r="6967">
      <c r="A6967" s="3"/>
      <c r="B6967" s="3"/>
      <c r="C6967" s="3"/>
      <c r="D6967" s="3"/>
      <c r="E6967" s="3"/>
      <c r="F6967" s="3"/>
      <c r="G6967" s="3"/>
      <c r="H6967" s="3"/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  <c r="T6967" s="3"/>
      <c r="U6967" s="3"/>
      <c r="V6967" s="3"/>
      <c r="W6967" s="3"/>
      <c r="X6967" s="3"/>
      <c r="Y6967" s="3"/>
    </row>
    <row r="6968">
      <c r="A6968" s="3"/>
      <c r="B6968" s="3"/>
      <c r="C6968" s="3"/>
      <c r="D6968" s="3"/>
      <c r="E6968" s="3"/>
      <c r="F6968" s="3"/>
      <c r="G6968" s="3"/>
      <c r="H6968" s="3"/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  <c r="T6968" s="3"/>
      <c r="U6968" s="3"/>
      <c r="V6968" s="3"/>
      <c r="W6968" s="3"/>
      <c r="X6968" s="3"/>
      <c r="Y6968" s="3"/>
    </row>
    <row r="6969">
      <c r="A6969" s="3"/>
      <c r="B6969" s="3"/>
      <c r="C6969" s="3"/>
      <c r="D6969" s="3"/>
      <c r="E6969" s="3"/>
      <c r="F6969" s="3"/>
      <c r="G6969" s="3"/>
      <c r="H6969" s="3"/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  <c r="T6969" s="3"/>
      <c r="U6969" s="3"/>
      <c r="V6969" s="3"/>
      <c r="W6969" s="3"/>
      <c r="X6969" s="3"/>
      <c r="Y6969" s="3"/>
    </row>
    <row r="6970">
      <c r="A6970" s="3"/>
      <c r="B6970" s="3"/>
      <c r="C6970" s="3"/>
      <c r="D6970" s="3"/>
      <c r="E6970" s="3"/>
      <c r="F6970" s="3"/>
      <c r="G6970" s="3"/>
      <c r="H6970" s="3"/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  <c r="T6970" s="3"/>
      <c r="U6970" s="3"/>
      <c r="V6970" s="3"/>
      <c r="W6970" s="3"/>
      <c r="X6970" s="3"/>
      <c r="Y6970" s="3"/>
    </row>
    <row r="6971">
      <c r="A6971" s="3"/>
      <c r="B6971" s="3"/>
      <c r="C6971" s="3"/>
      <c r="D6971" s="3"/>
      <c r="E6971" s="3"/>
      <c r="F6971" s="3"/>
      <c r="G6971" s="3"/>
      <c r="H6971" s="3"/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  <c r="T6971" s="3"/>
      <c r="U6971" s="3"/>
      <c r="V6971" s="3"/>
      <c r="W6971" s="3"/>
      <c r="X6971" s="3"/>
      <c r="Y6971" s="3"/>
    </row>
    <row r="6972">
      <c r="A6972" s="3"/>
      <c r="B6972" s="3"/>
      <c r="C6972" s="3"/>
      <c r="D6972" s="3"/>
      <c r="E6972" s="3"/>
      <c r="F6972" s="3"/>
      <c r="G6972" s="3"/>
      <c r="H6972" s="3"/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  <c r="T6972" s="3"/>
      <c r="U6972" s="3"/>
      <c r="V6972" s="3"/>
      <c r="W6972" s="3"/>
      <c r="X6972" s="3"/>
      <c r="Y6972" s="3"/>
    </row>
    <row r="6973">
      <c r="A6973" s="3"/>
      <c r="B6973" s="3"/>
      <c r="C6973" s="3"/>
      <c r="D6973" s="3"/>
      <c r="E6973" s="3"/>
      <c r="F6973" s="3"/>
      <c r="G6973" s="3"/>
      <c r="H6973" s="3"/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  <c r="T6973" s="3"/>
      <c r="U6973" s="3"/>
      <c r="V6973" s="3"/>
      <c r="W6973" s="3"/>
      <c r="X6973" s="3"/>
      <c r="Y6973" s="3"/>
    </row>
    <row r="6974">
      <c r="A6974" s="3"/>
      <c r="B6974" s="3"/>
      <c r="C6974" s="3"/>
      <c r="D6974" s="3"/>
      <c r="E6974" s="3"/>
      <c r="F6974" s="3"/>
      <c r="G6974" s="3"/>
      <c r="H6974" s="3"/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  <c r="T6974" s="3"/>
      <c r="U6974" s="3"/>
      <c r="V6974" s="3"/>
      <c r="W6974" s="3"/>
      <c r="X6974" s="3"/>
      <c r="Y6974" s="3"/>
    </row>
    <row r="6975">
      <c r="A6975" s="3"/>
      <c r="B6975" s="3"/>
      <c r="C6975" s="3"/>
      <c r="D6975" s="3"/>
      <c r="E6975" s="3"/>
      <c r="F6975" s="3"/>
      <c r="G6975" s="3"/>
      <c r="H6975" s="3"/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  <c r="T6975" s="3"/>
      <c r="U6975" s="3"/>
      <c r="V6975" s="3"/>
      <c r="W6975" s="3"/>
      <c r="X6975" s="3"/>
      <c r="Y6975" s="3"/>
    </row>
    <row r="6976">
      <c r="A6976" s="3"/>
      <c r="B6976" s="3"/>
      <c r="C6976" s="3"/>
      <c r="D6976" s="3"/>
      <c r="E6976" s="3"/>
      <c r="F6976" s="3"/>
      <c r="G6976" s="3"/>
      <c r="H6976" s="3"/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  <c r="T6976" s="3"/>
      <c r="U6976" s="3"/>
      <c r="V6976" s="3"/>
      <c r="W6976" s="3"/>
      <c r="X6976" s="3"/>
      <c r="Y6976" s="3"/>
    </row>
    <row r="6977">
      <c r="A6977" s="3"/>
      <c r="B6977" s="3"/>
      <c r="C6977" s="3"/>
      <c r="D6977" s="3"/>
      <c r="E6977" s="3"/>
      <c r="F6977" s="3"/>
      <c r="G6977" s="3"/>
      <c r="H6977" s="3"/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  <c r="T6977" s="3"/>
      <c r="U6977" s="3"/>
      <c r="V6977" s="3"/>
      <c r="W6977" s="3"/>
      <c r="X6977" s="3"/>
      <c r="Y6977" s="3"/>
    </row>
    <row r="6978">
      <c r="A6978" s="3"/>
      <c r="B6978" s="3"/>
      <c r="C6978" s="3"/>
      <c r="D6978" s="3"/>
      <c r="E6978" s="3"/>
      <c r="F6978" s="3"/>
      <c r="G6978" s="3"/>
      <c r="H6978" s="3"/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  <c r="T6978" s="3"/>
      <c r="U6978" s="3"/>
      <c r="V6978" s="3"/>
      <c r="W6978" s="3"/>
      <c r="X6978" s="3"/>
      <c r="Y6978" s="3"/>
    </row>
    <row r="6979">
      <c r="A6979" s="3"/>
      <c r="B6979" s="3"/>
      <c r="C6979" s="3"/>
      <c r="D6979" s="3"/>
      <c r="E6979" s="3"/>
      <c r="F6979" s="3"/>
      <c r="G6979" s="3"/>
      <c r="H6979" s="3"/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  <c r="T6979" s="3"/>
      <c r="U6979" s="3"/>
      <c r="V6979" s="3"/>
      <c r="W6979" s="3"/>
      <c r="X6979" s="3"/>
      <c r="Y6979" s="3"/>
    </row>
    <row r="6980">
      <c r="A6980" s="3"/>
      <c r="B6980" s="3"/>
      <c r="C6980" s="3"/>
      <c r="D6980" s="3"/>
      <c r="E6980" s="3"/>
      <c r="F6980" s="3"/>
      <c r="G6980" s="3"/>
      <c r="H6980" s="3"/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  <c r="T6980" s="3"/>
      <c r="U6980" s="3"/>
      <c r="V6980" s="3"/>
      <c r="W6980" s="3"/>
      <c r="X6980" s="3"/>
      <c r="Y6980" s="3"/>
    </row>
    <row r="6981">
      <c r="A6981" s="3"/>
      <c r="B6981" s="3"/>
      <c r="C6981" s="3"/>
      <c r="D6981" s="3"/>
      <c r="E6981" s="3"/>
      <c r="F6981" s="3"/>
      <c r="G6981" s="3"/>
      <c r="H6981" s="3"/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  <c r="T6981" s="3"/>
      <c r="U6981" s="3"/>
      <c r="V6981" s="3"/>
      <c r="W6981" s="3"/>
      <c r="X6981" s="3"/>
      <c r="Y6981" s="3"/>
    </row>
    <row r="6982">
      <c r="A6982" s="3"/>
      <c r="B6982" s="3"/>
      <c r="C6982" s="3"/>
      <c r="D6982" s="3"/>
      <c r="E6982" s="3"/>
      <c r="F6982" s="3"/>
      <c r="G6982" s="3"/>
      <c r="H6982" s="3"/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  <c r="T6982" s="3"/>
      <c r="U6982" s="3"/>
      <c r="V6982" s="3"/>
      <c r="W6982" s="3"/>
      <c r="X6982" s="3"/>
      <c r="Y6982" s="3"/>
    </row>
    <row r="6983">
      <c r="A6983" s="3"/>
      <c r="B6983" s="3"/>
      <c r="C6983" s="3"/>
      <c r="D6983" s="3"/>
      <c r="E6983" s="3"/>
      <c r="F6983" s="3"/>
      <c r="G6983" s="3"/>
      <c r="H6983" s="3"/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  <c r="T6983" s="3"/>
      <c r="U6983" s="3"/>
      <c r="V6983" s="3"/>
      <c r="W6983" s="3"/>
      <c r="X6983" s="3"/>
      <c r="Y6983" s="3"/>
    </row>
    <row r="6984">
      <c r="A6984" s="3"/>
      <c r="B6984" s="3"/>
      <c r="C6984" s="3"/>
      <c r="D6984" s="3"/>
      <c r="E6984" s="3"/>
      <c r="F6984" s="3"/>
      <c r="G6984" s="3"/>
      <c r="H6984" s="3"/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  <c r="T6984" s="3"/>
      <c r="U6984" s="3"/>
      <c r="V6984" s="3"/>
      <c r="W6984" s="3"/>
      <c r="X6984" s="3"/>
      <c r="Y6984" s="3"/>
    </row>
    <row r="6985">
      <c r="A6985" s="3"/>
      <c r="B6985" s="3"/>
      <c r="C6985" s="3"/>
      <c r="D6985" s="3"/>
      <c r="E6985" s="3"/>
      <c r="F6985" s="3"/>
      <c r="G6985" s="3"/>
      <c r="H6985" s="3"/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  <c r="T6985" s="3"/>
      <c r="U6985" s="3"/>
      <c r="V6985" s="3"/>
      <c r="W6985" s="3"/>
      <c r="X6985" s="3"/>
      <c r="Y6985" s="3"/>
    </row>
    <row r="6986">
      <c r="A6986" s="3"/>
      <c r="B6986" s="3"/>
      <c r="C6986" s="3"/>
      <c r="D6986" s="3"/>
      <c r="E6986" s="3"/>
      <c r="F6986" s="3"/>
      <c r="G6986" s="3"/>
      <c r="H6986" s="3"/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  <c r="T6986" s="3"/>
      <c r="U6986" s="3"/>
      <c r="V6986" s="3"/>
      <c r="W6986" s="3"/>
      <c r="X6986" s="3"/>
      <c r="Y6986" s="3"/>
    </row>
    <row r="6987">
      <c r="A6987" s="3"/>
      <c r="B6987" s="3"/>
      <c r="C6987" s="3"/>
      <c r="D6987" s="3"/>
      <c r="E6987" s="3"/>
      <c r="F6987" s="3"/>
      <c r="G6987" s="3"/>
      <c r="H6987" s="3"/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  <c r="T6987" s="3"/>
      <c r="U6987" s="3"/>
      <c r="V6987" s="3"/>
      <c r="W6987" s="3"/>
      <c r="X6987" s="3"/>
      <c r="Y6987" s="3"/>
    </row>
    <row r="6988">
      <c r="A6988" s="3"/>
      <c r="B6988" s="3"/>
      <c r="C6988" s="3"/>
      <c r="D6988" s="3"/>
      <c r="E6988" s="3"/>
      <c r="F6988" s="3"/>
      <c r="G6988" s="3"/>
      <c r="H6988" s="3"/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  <c r="T6988" s="3"/>
      <c r="U6988" s="3"/>
      <c r="V6988" s="3"/>
      <c r="W6988" s="3"/>
      <c r="X6988" s="3"/>
      <c r="Y6988" s="3"/>
    </row>
    <row r="6989">
      <c r="A6989" s="3"/>
      <c r="B6989" s="3"/>
      <c r="C6989" s="3"/>
      <c r="D6989" s="3"/>
      <c r="E6989" s="3"/>
      <c r="F6989" s="3"/>
      <c r="G6989" s="3"/>
      <c r="H6989" s="3"/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  <c r="T6989" s="3"/>
      <c r="U6989" s="3"/>
      <c r="V6989" s="3"/>
      <c r="W6989" s="3"/>
      <c r="X6989" s="3"/>
      <c r="Y6989" s="3"/>
    </row>
    <row r="6990">
      <c r="A6990" s="3"/>
      <c r="B6990" s="3"/>
      <c r="C6990" s="3"/>
      <c r="D6990" s="3"/>
      <c r="E6990" s="3"/>
      <c r="F6990" s="3"/>
      <c r="G6990" s="3"/>
      <c r="H6990" s="3"/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  <c r="T6990" s="3"/>
      <c r="U6990" s="3"/>
      <c r="V6990" s="3"/>
      <c r="W6990" s="3"/>
      <c r="X6990" s="3"/>
      <c r="Y6990" s="3"/>
    </row>
    <row r="6991">
      <c r="A6991" s="3"/>
      <c r="B6991" s="3"/>
      <c r="C6991" s="3"/>
      <c r="D6991" s="3"/>
      <c r="E6991" s="3"/>
      <c r="F6991" s="3"/>
      <c r="G6991" s="3"/>
      <c r="H6991" s="3"/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  <c r="T6991" s="3"/>
      <c r="U6991" s="3"/>
      <c r="V6991" s="3"/>
      <c r="W6991" s="3"/>
      <c r="X6991" s="3"/>
      <c r="Y6991" s="3"/>
    </row>
    <row r="6992">
      <c r="A6992" s="3"/>
      <c r="B6992" s="3"/>
      <c r="C6992" s="3"/>
      <c r="D6992" s="3"/>
      <c r="E6992" s="3"/>
      <c r="F6992" s="3"/>
      <c r="G6992" s="3"/>
      <c r="H6992" s="3"/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  <c r="T6992" s="3"/>
      <c r="U6992" s="3"/>
      <c r="V6992" s="3"/>
      <c r="W6992" s="3"/>
      <c r="X6992" s="3"/>
      <c r="Y6992" s="3"/>
    </row>
    <row r="6993">
      <c r="A6993" s="3"/>
      <c r="B6993" s="3"/>
      <c r="C6993" s="3"/>
      <c r="D6993" s="3"/>
      <c r="E6993" s="3"/>
      <c r="F6993" s="3"/>
      <c r="G6993" s="3"/>
      <c r="H6993" s="3"/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  <c r="T6993" s="3"/>
      <c r="U6993" s="3"/>
      <c r="V6993" s="3"/>
      <c r="W6993" s="3"/>
      <c r="X6993" s="3"/>
      <c r="Y6993" s="3"/>
    </row>
    <row r="6994">
      <c r="A6994" s="3"/>
      <c r="B6994" s="3"/>
      <c r="C6994" s="3"/>
      <c r="D6994" s="3"/>
      <c r="E6994" s="3"/>
      <c r="F6994" s="3"/>
      <c r="G6994" s="3"/>
      <c r="H6994" s="3"/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  <c r="T6994" s="3"/>
      <c r="U6994" s="3"/>
      <c r="V6994" s="3"/>
      <c r="W6994" s="3"/>
      <c r="X6994" s="3"/>
      <c r="Y6994" s="3"/>
    </row>
    <row r="6995">
      <c r="A6995" s="3"/>
      <c r="B6995" s="3"/>
      <c r="C6995" s="3"/>
      <c r="D6995" s="3"/>
      <c r="E6995" s="3"/>
      <c r="F6995" s="3"/>
      <c r="G6995" s="3"/>
      <c r="H6995" s="3"/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  <c r="T6995" s="3"/>
      <c r="U6995" s="3"/>
      <c r="V6995" s="3"/>
      <c r="W6995" s="3"/>
      <c r="X6995" s="3"/>
      <c r="Y6995" s="3"/>
    </row>
    <row r="6996">
      <c r="A6996" s="3"/>
      <c r="B6996" s="3"/>
      <c r="C6996" s="3"/>
      <c r="D6996" s="3"/>
      <c r="E6996" s="3"/>
      <c r="F6996" s="3"/>
      <c r="G6996" s="3"/>
      <c r="H6996" s="3"/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  <c r="T6996" s="3"/>
      <c r="U6996" s="3"/>
      <c r="V6996" s="3"/>
      <c r="W6996" s="3"/>
      <c r="X6996" s="3"/>
      <c r="Y6996" s="3"/>
    </row>
    <row r="6997">
      <c r="A6997" s="3"/>
      <c r="B6997" s="3"/>
      <c r="C6997" s="3"/>
      <c r="D6997" s="3"/>
      <c r="E6997" s="3"/>
      <c r="F6997" s="3"/>
      <c r="G6997" s="3"/>
      <c r="H6997" s="3"/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  <c r="T6997" s="3"/>
      <c r="U6997" s="3"/>
      <c r="V6997" s="3"/>
      <c r="W6997" s="3"/>
      <c r="X6997" s="3"/>
      <c r="Y6997" s="3"/>
    </row>
    <row r="6998">
      <c r="A6998" s="3"/>
      <c r="B6998" s="3"/>
      <c r="C6998" s="3"/>
      <c r="D6998" s="3"/>
      <c r="E6998" s="3"/>
      <c r="F6998" s="3"/>
      <c r="G6998" s="3"/>
      <c r="H6998" s="3"/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  <c r="T6998" s="3"/>
      <c r="U6998" s="3"/>
      <c r="V6998" s="3"/>
      <c r="W6998" s="3"/>
      <c r="X6998" s="3"/>
      <c r="Y6998" s="3"/>
    </row>
    <row r="6999">
      <c r="A6999" s="3"/>
      <c r="B6999" s="3"/>
      <c r="C6999" s="3"/>
      <c r="D6999" s="3"/>
      <c r="E6999" s="3"/>
      <c r="F6999" s="3"/>
      <c r="G6999" s="3"/>
      <c r="H6999" s="3"/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  <c r="T6999" s="3"/>
      <c r="U6999" s="3"/>
      <c r="V6999" s="3"/>
      <c r="W6999" s="3"/>
      <c r="X6999" s="3"/>
      <c r="Y6999" s="3"/>
    </row>
    <row r="7000">
      <c r="A7000" s="3"/>
      <c r="B7000" s="3"/>
      <c r="C7000" s="3"/>
      <c r="D7000" s="3"/>
      <c r="E7000" s="3"/>
      <c r="F7000" s="3"/>
      <c r="G7000" s="3"/>
      <c r="H7000" s="3"/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  <c r="T7000" s="3"/>
      <c r="U7000" s="3"/>
      <c r="V7000" s="3"/>
      <c r="W7000" s="3"/>
      <c r="X7000" s="3"/>
      <c r="Y7000" s="3"/>
    </row>
    <row r="7001">
      <c r="A7001" s="3"/>
      <c r="B7001" s="3"/>
      <c r="C7001" s="3"/>
      <c r="D7001" s="3"/>
      <c r="E7001" s="3"/>
      <c r="F7001" s="3"/>
      <c r="G7001" s="3"/>
      <c r="H7001" s="3"/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  <c r="T7001" s="3"/>
      <c r="U7001" s="3"/>
      <c r="V7001" s="3"/>
      <c r="W7001" s="3"/>
      <c r="X7001" s="3"/>
      <c r="Y7001" s="3"/>
    </row>
    <row r="7002">
      <c r="A7002" s="3"/>
      <c r="B7002" s="3"/>
      <c r="C7002" s="3"/>
      <c r="D7002" s="3"/>
      <c r="E7002" s="3"/>
      <c r="F7002" s="3"/>
      <c r="G7002" s="3"/>
      <c r="H7002" s="3"/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  <c r="T7002" s="3"/>
      <c r="U7002" s="3"/>
      <c r="V7002" s="3"/>
      <c r="W7002" s="3"/>
      <c r="X7002" s="3"/>
      <c r="Y7002" s="3"/>
    </row>
    <row r="7003">
      <c r="A7003" s="3"/>
      <c r="B7003" s="3"/>
      <c r="C7003" s="3"/>
      <c r="D7003" s="3"/>
      <c r="E7003" s="3"/>
      <c r="F7003" s="3"/>
      <c r="G7003" s="3"/>
      <c r="H7003" s="3"/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  <c r="T7003" s="3"/>
      <c r="U7003" s="3"/>
      <c r="V7003" s="3"/>
      <c r="W7003" s="3"/>
      <c r="X7003" s="3"/>
      <c r="Y7003" s="3"/>
    </row>
    <row r="7004">
      <c r="A7004" s="3"/>
      <c r="B7004" s="3"/>
      <c r="C7004" s="3"/>
      <c r="D7004" s="3"/>
      <c r="E7004" s="3"/>
      <c r="F7004" s="3"/>
      <c r="G7004" s="3"/>
      <c r="H7004" s="3"/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  <c r="T7004" s="3"/>
      <c r="U7004" s="3"/>
      <c r="V7004" s="3"/>
      <c r="W7004" s="3"/>
      <c r="X7004" s="3"/>
      <c r="Y7004" s="3"/>
    </row>
    <row r="7005">
      <c r="A7005" s="3"/>
      <c r="B7005" s="3"/>
      <c r="C7005" s="3"/>
      <c r="D7005" s="3"/>
      <c r="E7005" s="3"/>
      <c r="F7005" s="3"/>
      <c r="G7005" s="3"/>
      <c r="H7005" s="3"/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  <c r="T7005" s="3"/>
      <c r="U7005" s="3"/>
      <c r="V7005" s="3"/>
      <c r="W7005" s="3"/>
      <c r="X7005" s="3"/>
      <c r="Y7005" s="3"/>
    </row>
    <row r="7006">
      <c r="A7006" s="3"/>
      <c r="B7006" s="3"/>
      <c r="C7006" s="3"/>
      <c r="D7006" s="3"/>
      <c r="E7006" s="3"/>
      <c r="F7006" s="3"/>
      <c r="G7006" s="3"/>
      <c r="H7006" s="3"/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  <c r="T7006" s="3"/>
      <c r="U7006" s="3"/>
      <c r="V7006" s="3"/>
      <c r="W7006" s="3"/>
      <c r="X7006" s="3"/>
      <c r="Y7006" s="3"/>
    </row>
    <row r="7007">
      <c r="A7007" s="3"/>
      <c r="B7007" s="3"/>
      <c r="C7007" s="3"/>
      <c r="D7007" s="3"/>
      <c r="E7007" s="3"/>
      <c r="F7007" s="3"/>
      <c r="G7007" s="3"/>
      <c r="H7007" s="3"/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  <c r="T7007" s="3"/>
      <c r="U7007" s="3"/>
      <c r="V7007" s="3"/>
      <c r="W7007" s="3"/>
      <c r="X7007" s="3"/>
      <c r="Y7007" s="3"/>
    </row>
    <row r="7008">
      <c r="A7008" s="3"/>
      <c r="B7008" s="3"/>
      <c r="C7008" s="3"/>
      <c r="D7008" s="3"/>
      <c r="E7008" s="3"/>
      <c r="F7008" s="3"/>
      <c r="G7008" s="3"/>
      <c r="H7008" s="3"/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  <c r="T7008" s="3"/>
      <c r="U7008" s="3"/>
      <c r="V7008" s="3"/>
      <c r="W7008" s="3"/>
      <c r="X7008" s="3"/>
      <c r="Y7008" s="3"/>
    </row>
    <row r="7009">
      <c r="A7009" s="3"/>
      <c r="B7009" s="3"/>
      <c r="C7009" s="3"/>
      <c r="D7009" s="3"/>
      <c r="E7009" s="3"/>
      <c r="F7009" s="3"/>
      <c r="G7009" s="3"/>
      <c r="H7009" s="3"/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  <c r="T7009" s="3"/>
      <c r="U7009" s="3"/>
      <c r="V7009" s="3"/>
      <c r="W7009" s="3"/>
      <c r="X7009" s="3"/>
      <c r="Y7009" s="3"/>
    </row>
    <row r="7010">
      <c r="A7010" s="3"/>
      <c r="B7010" s="3"/>
      <c r="C7010" s="3"/>
      <c r="D7010" s="3"/>
      <c r="E7010" s="3"/>
      <c r="F7010" s="3"/>
      <c r="G7010" s="3"/>
      <c r="H7010" s="3"/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  <c r="T7010" s="3"/>
      <c r="U7010" s="3"/>
      <c r="V7010" s="3"/>
      <c r="W7010" s="3"/>
      <c r="X7010" s="3"/>
      <c r="Y7010" s="3"/>
    </row>
    <row r="7011">
      <c r="A7011" s="3"/>
      <c r="B7011" s="3"/>
      <c r="C7011" s="3"/>
      <c r="D7011" s="3"/>
      <c r="E7011" s="3"/>
      <c r="F7011" s="3"/>
      <c r="G7011" s="3"/>
      <c r="H7011" s="3"/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  <c r="T7011" s="3"/>
      <c r="U7011" s="3"/>
      <c r="V7011" s="3"/>
      <c r="W7011" s="3"/>
      <c r="X7011" s="3"/>
      <c r="Y7011" s="3"/>
    </row>
    <row r="7012">
      <c r="A7012" s="3"/>
      <c r="B7012" s="3"/>
      <c r="C7012" s="3"/>
      <c r="D7012" s="3"/>
      <c r="E7012" s="3"/>
      <c r="F7012" s="3"/>
      <c r="G7012" s="3"/>
      <c r="H7012" s="3"/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  <c r="T7012" s="3"/>
      <c r="U7012" s="3"/>
      <c r="V7012" s="3"/>
      <c r="W7012" s="3"/>
      <c r="X7012" s="3"/>
      <c r="Y7012" s="3"/>
    </row>
    <row r="7013">
      <c r="A7013" s="3"/>
      <c r="B7013" s="3"/>
      <c r="C7013" s="3"/>
      <c r="D7013" s="3"/>
      <c r="E7013" s="3"/>
      <c r="F7013" s="3"/>
      <c r="G7013" s="3"/>
      <c r="H7013" s="3"/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  <c r="T7013" s="3"/>
      <c r="U7013" s="3"/>
      <c r="V7013" s="3"/>
      <c r="W7013" s="3"/>
      <c r="X7013" s="3"/>
      <c r="Y7013" s="3"/>
    </row>
    <row r="7014">
      <c r="A7014" s="3"/>
      <c r="B7014" s="3"/>
      <c r="C7014" s="3"/>
      <c r="D7014" s="3"/>
      <c r="E7014" s="3"/>
      <c r="F7014" s="3"/>
      <c r="G7014" s="3"/>
      <c r="H7014" s="3"/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  <c r="T7014" s="3"/>
      <c r="U7014" s="3"/>
      <c r="V7014" s="3"/>
      <c r="W7014" s="3"/>
      <c r="X7014" s="3"/>
      <c r="Y7014" s="3"/>
    </row>
    <row r="7015">
      <c r="A7015" s="3"/>
      <c r="B7015" s="3"/>
      <c r="C7015" s="3"/>
      <c r="D7015" s="3"/>
      <c r="E7015" s="3"/>
      <c r="F7015" s="3"/>
      <c r="G7015" s="3"/>
      <c r="H7015" s="3"/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  <c r="T7015" s="3"/>
      <c r="U7015" s="3"/>
      <c r="V7015" s="3"/>
      <c r="W7015" s="3"/>
      <c r="X7015" s="3"/>
      <c r="Y7015" s="3"/>
    </row>
    <row r="7016">
      <c r="A7016" s="3"/>
      <c r="B7016" s="3"/>
      <c r="C7016" s="3"/>
      <c r="D7016" s="3"/>
      <c r="E7016" s="3"/>
      <c r="F7016" s="3"/>
      <c r="G7016" s="3"/>
      <c r="H7016" s="3"/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  <c r="T7016" s="3"/>
      <c r="U7016" s="3"/>
      <c r="V7016" s="3"/>
      <c r="W7016" s="3"/>
      <c r="X7016" s="3"/>
      <c r="Y7016" s="3"/>
    </row>
    <row r="7017">
      <c r="A7017" s="3"/>
      <c r="B7017" s="3"/>
      <c r="C7017" s="3"/>
      <c r="D7017" s="3"/>
      <c r="E7017" s="3"/>
      <c r="F7017" s="3"/>
      <c r="G7017" s="3"/>
      <c r="H7017" s="3"/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  <c r="T7017" s="3"/>
      <c r="U7017" s="3"/>
      <c r="V7017" s="3"/>
      <c r="W7017" s="3"/>
      <c r="X7017" s="3"/>
      <c r="Y7017" s="3"/>
    </row>
    <row r="7018">
      <c r="A7018" s="3"/>
      <c r="B7018" s="3"/>
      <c r="C7018" s="3"/>
      <c r="D7018" s="3"/>
      <c r="E7018" s="3"/>
      <c r="F7018" s="3"/>
      <c r="G7018" s="3"/>
      <c r="H7018" s="3"/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  <c r="T7018" s="3"/>
      <c r="U7018" s="3"/>
      <c r="V7018" s="3"/>
      <c r="W7018" s="3"/>
      <c r="X7018" s="3"/>
      <c r="Y7018" s="3"/>
    </row>
    <row r="7019">
      <c r="A7019" s="3"/>
      <c r="B7019" s="3"/>
      <c r="C7019" s="3"/>
      <c r="D7019" s="3"/>
      <c r="E7019" s="3"/>
      <c r="F7019" s="3"/>
      <c r="G7019" s="3"/>
      <c r="H7019" s="3"/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  <c r="T7019" s="3"/>
      <c r="U7019" s="3"/>
      <c r="V7019" s="3"/>
      <c r="W7019" s="3"/>
      <c r="X7019" s="3"/>
      <c r="Y7019" s="3"/>
    </row>
    <row r="7020">
      <c r="A7020" s="3"/>
      <c r="B7020" s="3"/>
      <c r="C7020" s="3"/>
      <c r="D7020" s="3"/>
      <c r="E7020" s="3"/>
      <c r="F7020" s="3"/>
      <c r="G7020" s="3"/>
      <c r="H7020" s="3"/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  <c r="T7020" s="3"/>
      <c r="U7020" s="3"/>
      <c r="V7020" s="3"/>
      <c r="W7020" s="3"/>
      <c r="X7020" s="3"/>
      <c r="Y7020" s="3"/>
    </row>
    <row r="7021">
      <c r="A7021" s="3"/>
      <c r="B7021" s="3"/>
      <c r="C7021" s="3"/>
      <c r="D7021" s="3"/>
      <c r="E7021" s="3"/>
      <c r="F7021" s="3"/>
      <c r="G7021" s="3"/>
      <c r="H7021" s="3"/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  <c r="T7021" s="3"/>
      <c r="U7021" s="3"/>
      <c r="V7021" s="3"/>
      <c r="W7021" s="3"/>
      <c r="X7021" s="3"/>
      <c r="Y7021" s="3"/>
    </row>
    <row r="7022">
      <c r="A7022" s="3"/>
      <c r="B7022" s="3"/>
      <c r="C7022" s="3"/>
      <c r="D7022" s="3"/>
      <c r="E7022" s="3"/>
      <c r="F7022" s="3"/>
      <c r="G7022" s="3"/>
      <c r="H7022" s="3"/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  <c r="T7022" s="3"/>
      <c r="U7022" s="3"/>
      <c r="V7022" s="3"/>
      <c r="W7022" s="3"/>
      <c r="X7022" s="3"/>
      <c r="Y7022" s="3"/>
    </row>
    <row r="7023">
      <c r="A7023" s="3"/>
      <c r="B7023" s="3"/>
      <c r="C7023" s="3"/>
      <c r="D7023" s="3"/>
      <c r="E7023" s="3"/>
      <c r="F7023" s="3"/>
      <c r="G7023" s="3"/>
      <c r="H7023" s="3"/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  <c r="T7023" s="3"/>
      <c r="U7023" s="3"/>
      <c r="V7023" s="3"/>
      <c r="W7023" s="3"/>
      <c r="X7023" s="3"/>
      <c r="Y7023" s="3"/>
    </row>
    <row r="7024">
      <c r="A7024" s="3"/>
      <c r="B7024" s="3"/>
      <c r="C7024" s="3"/>
      <c r="D7024" s="3"/>
      <c r="E7024" s="3"/>
      <c r="F7024" s="3"/>
      <c r="G7024" s="3"/>
      <c r="H7024" s="3"/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  <c r="T7024" s="3"/>
      <c r="U7024" s="3"/>
      <c r="V7024" s="3"/>
      <c r="W7024" s="3"/>
      <c r="X7024" s="3"/>
      <c r="Y7024" s="3"/>
    </row>
    <row r="7025">
      <c r="A7025" s="3"/>
      <c r="B7025" s="3"/>
      <c r="C7025" s="3"/>
      <c r="D7025" s="3"/>
      <c r="E7025" s="3"/>
      <c r="F7025" s="3"/>
      <c r="G7025" s="3"/>
      <c r="H7025" s="3"/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  <c r="T7025" s="3"/>
      <c r="U7025" s="3"/>
      <c r="V7025" s="3"/>
      <c r="W7025" s="3"/>
      <c r="X7025" s="3"/>
      <c r="Y7025" s="3"/>
    </row>
    <row r="7026">
      <c r="A7026" s="3"/>
      <c r="B7026" s="3"/>
      <c r="C7026" s="3"/>
      <c r="D7026" s="3"/>
      <c r="E7026" s="3"/>
      <c r="F7026" s="3"/>
      <c r="G7026" s="3"/>
      <c r="H7026" s="3"/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  <c r="T7026" s="3"/>
      <c r="U7026" s="3"/>
      <c r="V7026" s="3"/>
      <c r="W7026" s="3"/>
      <c r="X7026" s="3"/>
      <c r="Y7026" s="3"/>
    </row>
    <row r="7027">
      <c r="A7027" s="3"/>
      <c r="B7027" s="3"/>
      <c r="C7027" s="3"/>
      <c r="D7027" s="3"/>
      <c r="E7027" s="3"/>
      <c r="F7027" s="3"/>
      <c r="G7027" s="3"/>
      <c r="H7027" s="3"/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  <c r="T7027" s="3"/>
      <c r="U7027" s="3"/>
      <c r="V7027" s="3"/>
      <c r="W7027" s="3"/>
      <c r="X7027" s="3"/>
      <c r="Y7027" s="3"/>
    </row>
    <row r="7028">
      <c r="A7028" s="3"/>
      <c r="B7028" s="3"/>
      <c r="C7028" s="3"/>
      <c r="D7028" s="3"/>
      <c r="E7028" s="3"/>
      <c r="F7028" s="3"/>
      <c r="G7028" s="3"/>
      <c r="H7028" s="3"/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  <c r="T7028" s="3"/>
      <c r="U7028" s="3"/>
      <c r="V7028" s="3"/>
      <c r="W7028" s="3"/>
      <c r="X7028" s="3"/>
      <c r="Y7028" s="3"/>
    </row>
    <row r="7029">
      <c r="A7029" s="3"/>
      <c r="B7029" s="3"/>
      <c r="C7029" s="3"/>
      <c r="D7029" s="3"/>
      <c r="E7029" s="3"/>
      <c r="F7029" s="3"/>
      <c r="G7029" s="3"/>
      <c r="H7029" s="3"/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  <c r="T7029" s="3"/>
      <c r="U7029" s="3"/>
      <c r="V7029" s="3"/>
      <c r="W7029" s="3"/>
      <c r="X7029" s="3"/>
      <c r="Y7029" s="3"/>
    </row>
    <row r="7030">
      <c r="A7030" s="3"/>
      <c r="B7030" s="3"/>
      <c r="C7030" s="3"/>
      <c r="D7030" s="3"/>
      <c r="E7030" s="3"/>
      <c r="F7030" s="3"/>
      <c r="G7030" s="3"/>
      <c r="H7030" s="3"/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  <c r="T7030" s="3"/>
      <c r="U7030" s="3"/>
      <c r="V7030" s="3"/>
      <c r="W7030" s="3"/>
      <c r="X7030" s="3"/>
      <c r="Y7030" s="3"/>
    </row>
    <row r="7031">
      <c r="A7031" s="3"/>
      <c r="B7031" s="3"/>
      <c r="C7031" s="3"/>
      <c r="D7031" s="3"/>
      <c r="E7031" s="3"/>
      <c r="F7031" s="3"/>
      <c r="G7031" s="3"/>
      <c r="H7031" s="3"/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  <c r="T7031" s="3"/>
      <c r="U7031" s="3"/>
      <c r="V7031" s="3"/>
      <c r="W7031" s="3"/>
      <c r="X7031" s="3"/>
      <c r="Y7031" s="3"/>
    </row>
    <row r="7032">
      <c r="A7032" s="3"/>
      <c r="B7032" s="3"/>
      <c r="C7032" s="3"/>
      <c r="D7032" s="3"/>
      <c r="E7032" s="3"/>
      <c r="F7032" s="3"/>
      <c r="G7032" s="3"/>
      <c r="H7032" s="3"/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  <c r="T7032" s="3"/>
      <c r="U7032" s="3"/>
      <c r="V7032" s="3"/>
      <c r="W7032" s="3"/>
      <c r="X7032" s="3"/>
      <c r="Y7032" s="3"/>
    </row>
    <row r="7033">
      <c r="A7033" s="3"/>
      <c r="B7033" s="3"/>
      <c r="C7033" s="3"/>
      <c r="D7033" s="3"/>
      <c r="E7033" s="3"/>
      <c r="F7033" s="3"/>
      <c r="G7033" s="3"/>
      <c r="H7033" s="3"/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  <c r="T7033" s="3"/>
      <c r="U7033" s="3"/>
      <c r="V7033" s="3"/>
      <c r="W7033" s="3"/>
      <c r="X7033" s="3"/>
      <c r="Y7033" s="3"/>
    </row>
    <row r="7034">
      <c r="A7034" s="3"/>
      <c r="B7034" s="3"/>
      <c r="C7034" s="3"/>
      <c r="D7034" s="3"/>
      <c r="E7034" s="3"/>
      <c r="F7034" s="3"/>
      <c r="G7034" s="3"/>
      <c r="H7034" s="3"/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  <c r="T7034" s="3"/>
      <c r="U7034" s="3"/>
      <c r="V7034" s="3"/>
      <c r="W7034" s="3"/>
      <c r="X7034" s="3"/>
      <c r="Y7034" s="3"/>
    </row>
    <row r="7035">
      <c r="A7035" s="3"/>
      <c r="B7035" s="3"/>
      <c r="C7035" s="3"/>
      <c r="D7035" s="3"/>
      <c r="E7035" s="3"/>
      <c r="F7035" s="3"/>
      <c r="G7035" s="3"/>
      <c r="H7035" s="3"/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  <c r="T7035" s="3"/>
      <c r="U7035" s="3"/>
      <c r="V7035" s="3"/>
      <c r="W7035" s="3"/>
      <c r="X7035" s="3"/>
      <c r="Y7035" s="3"/>
    </row>
    <row r="7036">
      <c r="A7036" s="3"/>
      <c r="B7036" s="3"/>
      <c r="C7036" s="3"/>
      <c r="D7036" s="3"/>
      <c r="E7036" s="3"/>
      <c r="F7036" s="3"/>
      <c r="G7036" s="3"/>
      <c r="H7036" s="3"/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  <c r="T7036" s="3"/>
      <c r="U7036" s="3"/>
      <c r="V7036" s="3"/>
      <c r="W7036" s="3"/>
      <c r="X7036" s="3"/>
      <c r="Y7036" s="3"/>
    </row>
    <row r="7037">
      <c r="A7037" s="3"/>
      <c r="B7037" s="3"/>
      <c r="C7037" s="3"/>
      <c r="D7037" s="3"/>
      <c r="E7037" s="3"/>
      <c r="F7037" s="3"/>
      <c r="G7037" s="3"/>
      <c r="H7037" s="3"/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  <c r="T7037" s="3"/>
      <c r="U7037" s="3"/>
      <c r="V7037" s="3"/>
      <c r="W7037" s="3"/>
      <c r="X7037" s="3"/>
      <c r="Y7037" s="3"/>
    </row>
    <row r="7038">
      <c r="A7038" s="3"/>
      <c r="B7038" s="3"/>
      <c r="C7038" s="3"/>
      <c r="D7038" s="3"/>
      <c r="E7038" s="3"/>
      <c r="F7038" s="3"/>
      <c r="G7038" s="3"/>
      <c r="H7038" s="3"/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  <c r="T7038" s="3"/>
      <c r="U7038" s="3"/>
      <c r="V7038" s="3"/>
      <c r="W7038" s="3"/>
      <c r="X7038" s="3"/>
      <c r="Y7038" s="3"/>
    </row>
    <row r="7039">
      <c r="A7039" s="3"/>
      <c r="B7039" s="3"/>
      <c r="C7039" s="3"/>
      <c r="D7039" s="3"/>
      <c r="E7039" s="3"/>
      <c r="F7039" s="3"/>
      <c r="G7039" s="3"/>
      <c r="H7039" s="3"/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  <c r="T7039" s="3"/>
      <c r="U7039" s="3"/>
      <c r="V7039" s="3"/>
      <c r="W7039" s="3"/>
      <c r="X7039" s="3"/>
      <c r="Y7039" s="3"/>
    </row>
    <row r="7040">
      <c r="A7040" s="3"/>
      <c r="B7040" s="3"/>
      <c r="C7040" s="3"/>
      <c r="D7040" s="3"/>
      <c r="E7040" s="3"/>
      <c r="F7040" s="3"/>
      <c r="G7040" s="3"/>
      <c r="H7040" s="3"/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  <c r="T7040" s="3"/>
      <c r="U7040" s="3"/>
      <c r="V7040" s="3"/>
      <c r="W7040" s="3"/>
      <c r="X7040" s="3"/>
      <c r="Y7040" s="3"/>
    </row>
    <row r="7041">
      <c r="A7041" s="3"/>
      <c r="B7041" s="3"/>
      <c r="C7041" s="3"/>
      <c r="D7041" s="3"/>
      <c r="E7041" s="3"/>
      <c r="F7041" s="3"/>
      <c r="G7041" s="3"/>
      <c r="H7041" s="3"/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  <c r="T7041" s="3"/>
      <c r="U7041" s="3"/>
      <c r="V7041" s="3"/>
      <c r="W7041" s="3"/>
      <c r="X7041" s="3"/>
      <c r="Y7041" s="3"/>
    </row>
    <row r="7042">
      <c r="A7042" s="3"/>
      <c r="B7042" s="3"/>
      <c r="C7042" s="3"/>
      <c r="D7042" s="3"/>
      <c r="E7042" s="3"/>
      <c r="F7042" s="3"/>
      <c r="G7042" s="3"/>
      <c r="H7042" s="3"/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  <c r="T7042" s="3"/>
      <c r="U7042" s="3"/>
      <c r="V7042" s="3"/>
      <c r="W7042" s="3"/>
      <c r="X7042" s="3"/>
      <c r="Y7042" s="3"/>
    </row>
    <row r="7043">
      <c r="A7043" s="3"/>
      <c r="B7043" s="3"/>
      <c r="C7043" s="3"/>
      <c r="D7043" s="3"/>
      <c r="E7043" s="3"/>
      <c r="F7043" s="3"/>
      <c r="G7043" s="3"/>
      <c r="H7043" s="3"/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  <c r="T7043" s="3"/>
      <c r="U7043" s="3"/>
      <c r="V7043" s="3"/>
      <c r="W7043" s="3"/>
      <c r="X7043" s="3"/>
      <c r="Y7043" s="3"/>
    </row>
    <row r="7044">
      <c r="A7044" s="3"/>
      <c r="B7044" s="3"/>
      <c r="C7044" s="3"/>
      <c r="D7044" s="3"/>
      <c r="E7044" s="3"/>
      <c r="F7044" s="3"/>
      <c r="G7044" s="3"/>
      <c r="H7044" s="3"/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  <c r="T7044" s="3"/>
      <c r="U7044" s="3"/>
      <c r="V7044" s="3"/>
      <c r="W7044" s="3"/>
      <c r="X7044" s="3"/>
      <c r="Y7044" s="3"/>
    </row>
    <row r="7045">
      <c r="A7045" s="3"/>
      <c r="B7045" s="3"/>
      <c r="C7045" s="3"/>
      <c r="D7045" s="3"/>
      <c r="E7045" s="3"/>
      <c r="F7045" s="3"/>
      <c r="G7045" s="3"/>
      <c r="H7045" s="3"/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  <c r="T7045" s="3"/>
      <c r="U7045" s="3"/>
      <c r="V7045" s="3"/>
      <c r="W7045" s="3"/>
      <c r="X7045" s="3"/>
      <c r="Y7045" s="3"/>
    </row>
    <row r="7046">
      <c r="A7046" s="3"/>
      <c r="B7046" s="3"/>
      <c r="C7046" s="3"/>
      <c r="D7046" s="3"/>
      <c r="E7046" s="3"/>
      <c r="F7046" s="3"/>
      <c r="G7046" s="3"/>
      <c r="H7046" s="3"/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  <c r="T7046" s="3"/>
      <c r="U7046" s="3"/>
      <c r="V7046" s="3"/>
      <c r="W7046" s="3"/>
      <c r="X7046" s="3"/>
      <c r="Y7046" s="3"/>
    </row>
    <row r="7047">
      <c r="A7047" s="3"/>
      <c r="B7047" s="3"/>
      <c r="C7047" s="3"/>
      <c r="D7047" s="3"/>
      <c r="E7047" s="3"/>
      <c r="F7047" s="3"/>
      <c r="G7047" s="3"/>
      <c r="H7047" s="3"/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  <c r="T7047" s="3"/>
      <c r="U7047" s="3"/>
      <c r="V7047" s="3"/>
      <c r="W7047" s="3"/>
      <c r="X7047" s="3"/>
      <c r="Y7047" s="3"/>
    </row>
    <row r="7048">
      <c r="A7048" s="3"/>
      <c r="B7048" s="3"/>
      <c r="C7048" s="3"/>
      <c r="D7048" s="3"/>
      <c r="E7048" s="3"/>
      <c r="F7048" s="3"/>
      <c r="G7048" s="3"/>
      <c r="H7048" s="3"/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  <c r="T7048" s="3"/>
      <c r="U7048" s="3"/>
      <c r="V7048" s="3"/>
      <c r="W7048" s="3"/>
      <c r="X7048" s="3"/>
      <c r="Y7048" s="3"/>
    </row>
    <row r="7049">
      <c r="A7049" s="3"/>
      <c r="B7049" s="3"/>
      <c r="C7049" s="3"/>
      <c r="D7049" s="3"/>
      <c r="E7049" s="3"/>
      <c r="F7049" s="3"/>
      <c r="G7049" s="3"/>
      <c r="H7049" s="3"/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  <c r="T7049" s="3"/>
      <c r="U7049" s="3"/>
      <c r="V7049" s="3"/>
      <c r="W7049" s="3"/>
      <c r="X7049" s="3"/>
      <c r="Y7049" s="3"/>
    </row>
    <row r="7050">
      <c r="A7050" s="3"/>
      <c r="B7050" s="3"/>
      <c r="C7050" s="3"/>
      <c r="D7050" s="3"/>
      <c r="E7050" s="3"/>
      <c r="F7050" s="3"/>
      <c r="G7050" s="3"/>
      <c r="H7050" s="3"/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  <c r="T7050" s="3"/>
      <c r="U7050" s="3"/>
      <c r="V7050" s="3"/>
      <c r="W7050" s="3"/>
      <c r="X7050" s="3"/>
      <c r="Y7050" s="3"/>
    </row>
    <row r="7051">
      <c r="A7051" s="3"/>
      <c r="B7051" s="3"/>
      <c r="C7051" s="3"/>
      <c r="D7051" s="3"/>
      <c r="E7051" s="3"/>
      <c r="F7051" s="3"/>
      <c r="G7051" s="3"/>
      <c r="H7051" s="3"/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  <c r="T7051" s="3"/>
      <c r="U7051" s="3"/>
      <c r="V7051" s="3"/>
      <c r="W7051" s="3"/>
      <c r="X7051" s="3"/>
      <c r="Y7051" s="3"/>
    </row>
    <row r="7052">
      <c r="A7052" s="3"/>
      <c r="B7052" s="3"/>
      <c r="C7052" s="3"/>
      <c r="D7052" s="3"/>
      <c r="E7052" s="3"/>
      <c r="F7052" s="3"/>
      <c r="G7052" s="3"/>
      <c r="H7052" s="3"/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  <c r="T7052" s="3"/>
      <c r="U7052" s="3"/>
      <c r="V7052" s="3"/>
      <c r="W7052" s="3"/>
      <c r="X7052" s="3"/>
      <c r="Y7052" s="3"/>
    </row>
    <row r="7053">
      <c r="A7053" s="3"/>
      <c r="B7053" s="3"/>
      <c r="C7053" s="3"/>
      <c r="D7053" s="3"/>
      <c r="E7053" s="3"/>
      <c r="F7053" s="3"/>
      <c r="G7053" s="3"/>
      <c r="H7053" s="3"/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  <c r="T7053" s="3"/>
      <c r="U7053" s="3"/>
      <c r="V7053" s="3"/>
      <c r="W7053" s="3"/>
      <c r="X7053" s="3"/>
      <c r="Y7053" s="3"/>
    </row>
    <row r="7054">
      <c r="A7054" s="3"/>
      <c r="B7054" s="3"/>
      <c r="C7054" s="3"/>
      <c r="D7054" s="3"/>
      <c r="E7054" s="3"/>
      <c r="F7054" s="3"/>
      <c r="G7054" s="3"/>
      <c r="H7054" s="3"/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  <c r="T7054" s="3"/>
      <c r="U7054" s="3"/>
      <c r="V7054" s="3"/>
      <c r="W7054" s="3"/>
      <c r="X7054" s="3"/>
      <c r="Y7054" s="3"/>
    </row>
    <row r="7055">
      <c r="A7055" s="3"/>
      <c r="B7055" s="3"/>
      <c r="C7055" s="3"/>
      <c r="D7055" s="3"/>
      <c r="E7055" s="3"/>
      <c r="F7055" s="3"/>
      <c r="G7055" s="3"/>
      <c r="H7055" s="3"/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  <c r="T7055" s="3"/>
      <c r="U7055" s="3"/>
      <c r="V7055" s="3"/>
      <c r="W7055" s="3"/>
      <c r="X7055" s="3"/>
      <c r="Y7055" s="3"/>
    </row>
    <row r="7056">
      <c r="A7056" s="3"/>
      <c r="B7056" s="3"/>
      <c r="C7056" s="3"/>
      <c r="D7056" s="3"/>
      <c r="E7056" s="3"/>
      <c r="F7056" s="3"/>
      <c r="G7056" s="3"/>
      <c r="H7056" s="3"/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  <c r="T7056" s="3"/>
      <c r="U7056" s="3"/>
      <c r="V7056" s="3"/>
      <c r="W7056" s="3"/>
      <c r="X7056" s="3"/>
      <c r="Y7056" s="3"/>
    </row>
    <row r="7057">
      <c r="A7057" s="3"/>
      <c r="B7057" s="3"/>
      <c r="C7057" s="3"/>
      <c r="D7057" s="3"/>
      <c r="E7057" s="3"/>
      <c r="F7057" s="3"/>
      <c r="G7057" s="3"/>
      <c r="H7057" s="3"/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  <c r="T7057" s="3"/>
      <c r="U7057" s="3"/>
      <c r="V7057" s="3"/>
      <c r="W7057" s="3"/>
      <c r="X7057" s="3"/>
      <c r="Y7057" s="3"/>
    </row>
    <row r="7058">
      <c r="A7058" s="3"/>
      <c r="B7058" s="3"/>
      <c r="C7058" s="3"/>
      <c r="D7058" s="3"/>
      <c r="E7058" s="3"/>
      <c r="F7058" s="3"/>
      <c r="G7058" s="3"/>
      <c r="H7058" s="3"/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  <c r="T7058" s="3"/>
      <c r="U7058" s="3"/>
      <c r="V7058" s="3"/>
      <c r="W7058" s="3"/>
      <c r="X7058" s="3"/>
      <c r="Y7058" s="3"/>
    </row>
    <row r="7059">
      <c r="A7059" s="3"/>
      <c r="B7059" s="3"/>
      <c r="C7059" s="3"/>
      <c r="D7059" s="3"/>
      <c r="E7059" s="3"/>
      <c r="F7059" s="3"/>
      <c r="G7059" s="3"/>
      <c r="H7059" s="3"/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  <c r="T7059" s="3"/>
      <c r="U7059" s="3"/>
      <c r="V7059" s="3"/>
      <c r="W7059" s="3"/>
      <c r="X7059" s="3"/>
      <c r="Y7059" s="3"/>
    </row>
    <row r="7060">
      <c r="A7060" s="3"/>
      <c r="B7060" s="3"/>
      <c r="C7060" s="3"/>
      <c r="D7060" s="3"/>
      <c r="E7060" s="3"/>
      <c r="F7060" s="3"/>
      <c r="G7060" s="3"/>
      <c r="H7060" s="3"/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  <c r="T7060" s="3"/>
      <c r="U7060" s="3"/>
      <c r="V7060" s="3"/>
      <c r="W7060" s="3"/>
      <c r="X7060" s="3"/>
      <c r="Y7060" s="3"/>
    </row>
    <row r="7061">
      <c r="A7061" s="3"/>
      <c r="B7061" s="3"/>
      <c r="C7061" s="3"/>
      <c r="D7061" s="3"/>
      <c r="E7061" s="3"/>
      <c r="F7061" s="3"/>
      <c r="G7061" s="3"/>
      <c r="H7061" s="3"/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  <c r="T7061" s="3"/>
      <c r="U7061" s="3"/>
      <c r="V7061" s="3"/>
      <c r="W7061" s="3"/>
      <c r="X7061" s="3"/>
      <c r="Y7061" s="3"/>
    </row>
    <row r="7062">
      <c r="A7062" s="3"/>
      <c r="B7062" s="3"/>
      <c r="C7062" s="3"/>
      <c r="D7062" s="3"/>
      <c r="E7062" s="3"/>
      <c r="F7062" s="3"/>
      <c r="G7062" s="3"/>
      <c r="H7062" s="3"/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  <c r="T7062" s="3"/>
      <c r="U7062" s="3"/>
      <c r="V7062" s="3"/>
      <c r="W7062" s="3"/>
      <c r="X7062" s="3"/>
      <c r="Y7062" s="3"/>
    </row>
    <row r="7063">
      <c r="A7063" s="3"/>
      <c r="B7063" s="3"/>
      <c r="C7063" s="3"/>
      <c r="D7063" s="3"/>
      <c r="E7063" s="3"/>
      <c r="F7063" s="3"/>
      <c r="G7063" s="3"/>
      <c r="H7063" s="3"/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  <c r="T7063" s="3"/>
      <c r="U7063" s="3"/>
      <c r="V7063" s="3"/>
      <c r="W7063" s="3"/>
      <c r="X7063" s="3"/>
      <c r="Y7063" s="3"/>
    </row>
    <row r="7064">
      <c r="A7064" s="3"/>
      <c r="B7064" s="3"/>
      <c r="C7064" s="3"/>
      <c r="D7064" s="3"/>
      <c r="E7064" s="3"/>
      <c r="F7064" s="3"/>
      <c r="G7064" s="3"/>
      <c r="H7064" s="3"/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  <c r="T7064" s="3"/>
      <c r="U7064" s="3"/>
      <c r="V7064" s="3"/>
      <c r="W7064" s="3"/>
      <c r="X7064" s="3"/>
      <c r="Y7064" s="3"/>
    </row>
    <row r="7065">
      <c r="A7065" s="3"/>
      <c r="B7065" s="3"/>
      <c r="C7065" s="3"/>
      <c r="D7065" s="3"/>
      <c r="E7065" s="3"/>
      <c r="F7065" s="3"/>
      <c r="G7065" s="3"/>
      <c r="H7065" s="3"/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  <c r="T7065" s="3"/>
      <c r="U7065" s="3"/>
      <c r="V7065" s="3"/>
      <c r="W7065" s="3"/>
      <c r="X7065" s="3"/>
      <c r="Y7065" s="3"/>
    </row>
    <row r="7066">
      <c r="A7066" s="3"/>
      <c r="B7066" s="3"/>
      <c r="C7066" s="3"/>
      <c r="D7066" s="3"/>
      <c r="E7066" s="3"/>
      <c r="F7066" s="3"/>
      <c r="G7066" s="3"/>
      <c r="H7066" s="3"/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  <c r="T7066" s="3"/>
      <c r="U7066" s="3"/>
      <c r="V7066" s="3"/>
      <c r="W7066" s="3"/>
      <c r="X7066" s="3"/>
      <c r="Y7066" s="3"/>
    </row>
    <row r="7067">
      <c r="A7067" s="3"/>
      <c r="B7067" s="3"/>
      <c r="C7067" s="3"/>
      <c r="D7067" s="3"/>
      <c r="E7067" s="3"/>
      <c r="F7067" s="3"/>
      <c r="G7067" s="3"/>
      <c r="H7067" s="3"/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  <c r="T7067" s="3"/>
      <c r="U7067" s="3"/>
      <c r="V7067" s="3"/>
      <c r="W7067" s="3"/>
      <c r="X7067" s="3"/>
      <c r="Y7067" s="3"/>
    </row>
    <row r="7068">
      <c r="A7068" s="3"/>
      <c r="B7068" s="3"/>
      <c r="C7068" s="3"/>
      <c r="D7068" s="3"/>
      <c r="E7068" s="3"/>
      <c r="F7068" s="3"/>
      <c r="G7068" s="3"/>
      <c r="H7068" s="3"/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  <c r="T7068" s="3"/>
      <c r="U7068" s="3"/>
      <c r="V7068" s="3"/>
      <c r="W7068" s="3"/>
      <c r="X7068" s="3"/>
      <c r="Y7068" s="3"/>
    </row>
    <row r="7069">
      <c r="A7069" s="3"/>
      <c r="B7069" s="3"/>
      <c r="C7069" s="3"/>
      <c r="D7069" s="3"/>
      <c r="E7069" s="3"/>
      <c r="F7069" s="3"/>
      <c r="G7069" s="3"/>
      <c r="H7069" s="3"/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  <c r="T7069" s="3"/>
      <c r="U7069" s="3"/>
      <c r="V7069" s="3"/>
      <c r="W7069" s="3"/>
      <c r="X7069" s="3"/>
      <c r="Y7069" s="3"/>
    </row>
    <row r="7070">
      <c r="A7070" s="3"/>
      <c r="B7070" s="3"/>
      <c r="C7070" s="3"/>
      <c r="D7070" s="3"/>
      <c r="E7070" s="3"/>
      <c r="F7070" s="3"/>
      <c r="G7070" s="3"/>
      <c r="H7070" s="3"/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  <c r="T7070" s="3"/>
      <c r="U7070" s="3"/>
      <c r="V7070" s="3"/>
      <c r="W7070" s="3"/>
      <c r="X7070" s="3"/>
      <c r="Y7070" s="3"/>
    </row>
    <row r="7071">
      <c r="A7071" s="3"/>
      <c r="B7071" s="3"/>
      <c r="C7071" s="3"/>
      <c r="D7071" s="3"/>
      <c r="E7071" s="3"/>
      <c r="F7071" s="3"/>
      <c r="G7071" s="3"/>
      <c r="H7071" s="3"/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  <c r="T7071" s="3"/>
      <c r="U7071" s="3"/>
      <c r="V7071" s="3"/>
      <c r="W7071" s="3"/>
      <c r="X7071" s="3"/>
      <c r="Y7071" s="3"/>
    </row>
    <row r="7072">
      <c r="A7072" s="3"/>
      <c r="B7072" s="3"/>
      <c r="C7072" s="3"/>
      <c r="D7072" s="3"/>
      <c r="E7072" s="3"/>
      <c r="F7072" s="3"/>
      <c r="G7072" s="3"/>
      <c r="H7072" s="3"/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  <c r="T7072" s="3"/>
      <c r="U7072" s="3"/>
      <c r="V7072" s="3"/>
      <c r="W7072" s="3"/>
      <c r="X7072" s="3"/>
      <c r="Y7072" s="3"/>
    </row>
    <row r="7073">
      <c r="A7073" s="3"/>
      <c r="B7073" s="3"/>
      <c r="C7073" s="3"/>
      <c r="D7073" s="3"/>
      <c r="E7073" s="3"/>
      <c r="F7073" s="3"/>
      <c r="G7073" s="3"/>
      <c r="H7073" s="3"/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  <c r="T7073" s="3"/>
      <c r="U7073" s="3"/>
      <c r="V7073" s="3"/>
      <c r="W7073" s="3"/>
      <c r="X7073" s="3"/>
      <c r="Y7073" s="3"/>
    </row>
    <row r="7074">
      <c r="A7074" s="3"/>
      <c r="B7074" s="3"/>
      <c r="C7074" s="3"/>
      <c r="D7074" s="3"/>
      <c r="E7074" s="3"/>
      <c r="F7074" s="3"/>
      <c r="G7074" s="3"/>
      <c r="H7074" s="3"/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  <c r="T7074" s="3"/>
      <c r="U7074" s="3"/>
      <c r="V7074" s="3"/>
      <c r="W7074" s="3"/>
      <c r="X7074" s="3"/>
      <c r="Y7074" s="3"/>
    </row>
    <row r="7075">
      <c r="A7075" s="3"/>
      <c r="B7075" s="3"/>
      <c r="C7075" s="3"/>
      <c r="D7075" s="3"/>
      <c r="E7075" s="3"/>
      <c r="F7075" s="3"/>
      <c r="G7075" s="3"/>
      <c r="H7075" s="3"/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  <c r="T7075" s="3"/>
      <c r="U7075" s="3"/>
      <c r="V7075" s="3"/>
      <c r="W7075" s="3"/>
      <c r="X7075" s="3"/>
      <c r="Y7075" s="3"/>
    </row>
    <row r="7076">
      <c r="A7076" s="3"/>
      <c r="B7076" s="3"/>
      <c r="C7076" s="3"/>
      <c r="D7076" s="3"/>
      <c r="E7076" s="3"/>
      <c r="F7076" s="3"/>
      <c r="G7076" s="3"/>
      <c r="H7076" s="3"/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  <c r="T7076" s="3"/>
      <c r="U7076" s="3"/>
      <c r="V7076" s="3"/>
      <c r="W7076" s="3"/>
      <c r="X7076" s="3"/>
      <c r="Y7076" s="3"/>
    </row>
    <row r="7077">
      <c r="A7077" s="3"/>
      <c r="B7077" s="3"/>
      <c r="C7077" s="3"/>
      <c r="D7077" s="3"/>
      <c r="E7077" s="3"/>
      <c r="F7077" s="3"/>
      <c r="G7077" s="3"/>
      <c r="H7077" s="3"/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  <c r="T7077" s="3"/>
      <c r="U7077" s="3"/>
      <c r="V7077" s="3"/>
      <c r="W7077" s="3"/>
      <c r="X7077" s="3"/>
      <c r="Y7077" s="3"/>
    </row>
    <row r="7078">
      <c r="A7078" s="3"/>
      <c r="B7078" s="3"/>
      <c r="C7078" s="3"/>
      <c r="D7078" s="3"/>
      <c r="E7078" s="3"/>
      <c r="F7078" s="3"/>
      <c r="G7078" s="3"/>
      <c r="H7078" s="3"/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  <c r="T7078" s="3"/>
      <c r="U7078" s="3"/>
      <c r="V7078" s="3"/>
      <c r="W7078" s="3"/>
      <c r="X7078" s="3"/>
      <c r="Y7078" s="3"/>
    </row>
    <row r="7079">
      <c r="A7079" s="3"/>
      <c r="B7079" s="3"/>
      <c r="C7079" s="3"/>
      <c r="D7079" s="3"/>
      <c r="E7079" s="3"/>
      <c r="F7079" s="3"/>
      <c r="G7079" s="3"/>
      <c r="H7079" s="3"/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  <c r="T7079" s="3"/>
      <c r="U7079" s="3"/>
      <c r="V7079" s="3"/>
      <c r="W7079" s="3"/>
      <c r="X7079" s="3"/>
      <c r="Y7079" s="3"/>
    </row>
    <row r="7080">
      <c r="A7080" s="3"/>
      <c r="B7080" s="3"/>
      <c r="C7080" s="3"/>
      <c r="D7080" s="3"/>
      <c r="E7080" s="3"/>
      <c r="F7080" s="3"/>
      <c r="G7080" s="3"/>
      <c r="H7080" s="3"/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  <c r="T7080" s="3"/>
      <c r="U7080" s="3"/>
      <c r="V7080" s="3"/>
      <c r="W7080" s="3"/>
      <c r="X7080" s="3"/>
      <c r="Y7080" s="3"/>
    </row>
    <row r="7081">
      <c r="A7081" s="3"/>
      <c r="B7081" s="3"/>
      <c r="C7081" s="3"/>
      <c r="D7081" s="3"/>
      <c r="E7081" s="3"/>
      <c r="F7081" s="3"/>
      <c r="G7081" s="3"/>
      <c r="H7081" s="3"/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  <c r="T7081" s="3"/>
      <c r="U7081" s="3"/>
      <c r="V7081" s="3"/>
      <c r="W7081" s="3"/>
      <c r="X7081" s="3"/>
      <c r="Y7081" s="3"/>
    </row>
    <row r="7082">
      <c r="A7082" s="3"/>
      <c r="B7082" s="3"/>
      <c r="C7082" s="3"/>
      <c r="D7082" s="3"/>
      <c r="E7082" s="3"/>
      <c r="F7082" s="3"/>
      <c r="G7082" s="3"/>
      <c r="H7082" s="3"/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  <c r="T7082" s="3"/>
      <c r="U7082" s="3"/>
      <c r="V7082" s="3"/>
      <c r="W7082" s="3"/>
      <c r="X7082" s="3"/>
      <c r="Y7082" s="3"/>
    </row>
    <row r="7083">
      <c r="A7083" s="3"/>
      <c r="B7083" s="3"/>
      <c r="C7083" s="3"/>
      <c r="D7083" s="3"/>
      <c r="E7083" s="3"/>
      <c r="F7083" s="3"/>
      <c r="G7083" s="3"/>
      <c r="H7083" s="3"/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  <c r="T7083" s="3"/>
      <c r="U7083" s="3"/>
      <c r="V7083" s="3"/>
      <c r="W7083" s="3"/>
      <c r="X7083" s="3"/>
      <c r="Y7083" s="3"/>
    </row>
    <row r="7084">
      <c r="A7084" s="3"/>
      <c r="B7084" s="3"/>
      <c r="C7084" s="3"/>
      <c r="D7084" s="3"/>
      <c r="E7084" s="3"/>
      <c r="F7084" s="3"/>
      <c r="G7084" s="3"/>
      <c r="H7084" s="3"/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  <c r="T7084" s="3"/>
      <c r="U7084" s="3"/>
      <c r="V7084" s="3"/>
      <c r="W7084" s="3"/>
      <c r="X7084" s="3"/>
      <c r="Y7084" s="3"/>
    </row>
    <row r="7085">
      <c r="A7085" s="3"/>
      <c r="B7085" s="3"/>
      <c r="C7085" s="3"/>
      <c r="D7085" s="3"/>
      <c r="E7085" s="3"/>
      <c r="F7085" s="3"/>
      <c r="G7085" s="3"/>
      <c r="H7085" s="3"/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  <c r="T7085" s="3"/>
      <c r="U7085" s="3"/>
      <c r="V7085" s="3"/>
      <c r="W7085" s="3"/>
      <c r="X7085" s="3"/>
      <c r="Y7085" s="3"/>
    </row>
    <row r="7086">
      <c r="A7086" s="3"/>
      <c r="B7086" s="3"/>
      <c r="C7086" s="3"/>
      <c r="D7086" s="3"/>
      <c r="E7086" s="3"/>
      <c r="F7086" s="3"/>
      <c r="G7086" s="3"/>
      <c r="H7086" s="3"/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  <c r="T7086" s="3"/>
      <c r="U7086" s="3"/>
      <c r="V7086" s="3"/>
      <c r="W7086" s="3"/>
      <c r="X7086" s="3"/>
      <c r="Y7086" s="3"/>
    </row>
    <row r="7087">
      <c r="A7087" s="3"/>
      <c r="B7087" s="3"/>
      <c r="C7087" s="3"/>
      <c r="D7087" s="3"/>
      <c r="E7087" s="3"/>
      <c r="F7087" s="3"/>
      <c r="G7087" s="3"/>
      <c r="H7087" s="3"/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  <c r="T7087" s="3"/>
      <c r="U7087" s="3"/>
      <c r="V7087" s="3"/>
      <c r="W7087" s="3"/>
      <c r="X7087" s="3"/>
      <c r="Y7087" s="3"/>
    </row>
    <row r="7088">
      <c r="A7088" s="3"/>
      <c r="B7088" s="3"/>
      <c r="C7088" s="3"/>
      <c r="D7088" s="3"/>
      <c r="E7088" s="3"/>
      <c r="F7088" s="3"/>
      <c r="G7088" s="3"/>
      <c r="H7088" s="3"/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  <c r="T7088" s="3"/>
      <c r="U7088" s="3"/>
      <c r="V7088" s="3"/>
      <c r="W7088" s="3"/>
      <c r="X7088" s="3"/>
      <c r="Y7088" s="3"/>
    </row>
    <row r="7089">
      <c r="A7089" s="3"/>
      <c r="B7089" s="3"/>
      <c r="C7089" s="3"/>
      <c r="D7089" s="3"/>
      <c r="E7089" s="3"/>
      <c r="F7089" s="3"/>
      <c r="G7089" s="3"/>
      <c r="H7089" s="3"/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  <c r="T7089" s="3"/>
      <c r="U7089" s="3"/>
      <c r="V7089" s="3"/>
      <c r="W7089" s="3"/>
      <c r="X7089" s="3"/>
      <c r="Y7089" s="3"/>
    </row>
    <row r="7090">
      <c r="A7090" s="3"/>
      <c r="B7090" s="3"/>
      <c r="C7090" s="3"/>
      <c r="D7090" s="3"/>
      <c r="E7090" s="3"/>
      <c r="F7090" s="3"/>
      <c r="G7090" s="3"/>
      <c r="H7090" s="3"/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  <c r="T7090" s="3"/>
      <c r="U7090" s="3"/>
      <c r="V7090" s="3"/>
      <c r="W7090" s="3"/>
      <c r="X7090" s="3"/>
      <c r="Y7090" s="3"/>
    </row>
    <row r="7091">
      <c r="A7091" s="3"/>
      <c r="B7091" s="3"/>
      <c r="C7091" s="3"/>
      <c r="D7091" s="3"/>
      <c r="E7091" s="3"/>
      <c r="F7091" s="3"/>
      <c r="G7091" s="3"/>
      <c r="H7091" s="3"/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  <c r="T7091" s="3"/>
      <c r="U7091" s="3"/>
      <c r="V7091" s="3"/>
      <c r="W7091" s="3"/>
      <c r="X7091" s="3"/>
      <c r="Y7091" s="3"/>
    </row>
    <row r="7092">
      <c r="A7092" s="3"/>
      <c r="B7092" s="3"/>
      <c r="C7092" s="3"/>
      <c r="D7092" s="3"/>
      <c r="E7092" s="3"/>
      <c r="F7092" s="3"/>
      <c r="G7092" s="3"/>
      <c r="H7092" s="3"/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  <c r="T7092" s="3"/>
      <c r="U7092" s="3"/>
      <c r="V7092" s="3"/>
      <c r="W7092" s="3"/>
      <c r="X7092" s="3"/>
      <c r="Y7092" s="3"/>
    </row>
    <row r="7093">
      <c r="A7093" s="3"/>
      <c r="B7093" s="3"/>
      <c r="C7093" s="3"/>
      <c r="D7093" s="3"/>
      <c r="E7093" s="3"/>
      <c r="F7093" s="3"/>
      <c r="G7093" s="3"/>
      <c r="H7093" s="3"/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  <c r="T7093" s="3"/>
      <c r="U7093" s="3"/>
      <c r="V7093" s="3"/>
      <c r="W7093" s="3"/>
      <c r="X7093" s="3"/>
      <c r="Y7093" s="3"/>
    </row>
    <row r="7094">
      <c r="A7094" s="3"/>
      <c r="B7094" s="3"/>
      <c r="C7094" s="3"/>
      <c r="D7094" s="3"/>
      <c r="E7094" s="3"/>
      <c r="F7094" s="3"/>
      <c r="G7094" s="3"/>
      <c r="H7094" s="3"/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  <c r="T7094" s="3"/>
      <c r="U7094" s="3"/>
      <c r="V7094" s="3"/>
      <c r="W7094" s="3"/>
      <c r="X7094" s="3"/>
      <c r="Y7094" s="3"/>
    </row>
    <row r="7095">
      <c r="A7095" s="3"/>
      <c r="B7095" s="3"/>
      <c r="C7095" s="3"/>
      <c r="D7095" s="3"/>
      <c r="E7095" s="3"/>
      <c r="F7095" s="3"/>
      <c r="G7095" s="3"/>
      <c r="H7095" s="3"/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  <c r="T7095" s="3"/>
      <c r="U7095" s="3"/>
      <c r="V7095" s="3"/>
      <c r="W7095" s="3"/>
      <c r="X7095" s="3"/>
      <c r="Y7095" s="3"/>
    </row>
    <row r="7096">
      <c r="A7096" s="3"/>
      <c r="B7096" s="3"/>
      <c r="C7096" s="3"/>
      <c r="D7096" s="3"/>
      <c r="E7096" s="3"/>
      <c r="F7096" s="3"/>
      <c r="G7096" s="3"/>
      <c r="H7096" s="3"/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  <c r="T7096" s="3"/>
      <c r="U7096" s="3"/>
      <c r="V7096" s="3"/>
      <c r="W7096" s="3"/>
      <c r="X7096" s="3"/>
      <c r="Y7096" s="3"/>
    </row>
    <row r="7097">
      <c r="A7097" s="3"/>
      <c r="B7097" s="3"/>
      <c r="C7097" s="3"/>
      <c r="D7097" s="3"/>
      <c r="E7097" s="3"/>
      <c r="F7097" s="3"/>
      <c r="G7097" s="3"/>
      <c r="H7097" s="3"/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  <c r="T7097" s="3"/>
      <c r="U7097" s="3"/>
      <c r="V7097" s="3"/>
      <c r="W7097" s="3"/>
      <c r="X7097" s="3"/>
      <c r="Y7097" s="3"/>
    </row>
    <row r="7098">
      <c r="A7098" s="3"/>
      <c r="B7098" s="3"/>
      <c r="C7098" s="3"/>
      <c r="D7098" s="3"/>
      <c r="E7098" s="3"/>
      <c r="F7098" s="3"/>
      <c r="G7098" s="3"/>
      <c r="H7098" s="3"/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  <c r="T7098" s="3"/>
      <c r="U7098" s="3"/>
      <c r="V7098" s="3"/>
      <c r="W7098" s="3"/>
      <c r="X7098" s="3"/>
      <c r="Y7098" s="3"/>
    </row>
    <row r="7099">
      <c r="A7099" s="3"/>
      <c r="B7099" s="3"/>
      <c r="C7099" s="3"/>
      <c r="D7099" s="3"/>
      <c r="E7099" s="3"/>
      <c r="F7099" s="3"/>
      <c r="G7099" s="3"/>
      <c r="H7099" s="3"/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  <c r="T7099" s="3"/>
      <c r="U7099" s="3"/>
      <c r="V7099" s="3"/>
      <c r="W7099" s="3"/>
      <c r="X7099" s="3"/>
      <c r="Y7099" s="3"/>
    </row>
    <row r="7100">
      <c r="A7100" s="3"/>
      <c r="B7100" s="3"/>
      <c r="C7100" s="3"/>
      <c r="D7100" s="3"/>
      <c r="E7100" s="3"/>
      <c r="F7100" s="3"/>
      <c r="G7100" s="3"/>
      <c r="H7100" s="3"/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  <c r="T7100" s="3"/>
      <c r="U7100" s="3"/>
      <c r="V7100" s="3"/>
      <c r="W7100" s="3"/>
      <c r="X7100" s="3"/>
      <c r="Y7100" s="3"/>
    </row>
    <row r="7101">
      <c r="A7101" s="3"/>
      <c r="B7101" s="3"/>
      <c r="C7101" s="3"/>
      <c r="D7101" s="3"/>
      <c r="E7101" s="3"/>
      <c r="F7101" s="3"/>
      <c r="G7101" s="3"/>
      <c r="H7101" s="3"/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  <c r="T7101" s="3"/>
      <c r="U7101" s="3"/>
      <c r="V7101" s="3"/>
      <c r="W7101" s="3"/>
      <c r="X7101" s="3"/>
      <c r="Y7101" s="3"/>
    </row>
    <row r="7102">
      <c r="A7102" s="3"/>
      <c r="B7102" s="3"/>
      <c r="C7102" s="3"/>
      <c r="D7102" s="3"/>
      <c r="E7102" s="3"/>
      <c r="F7102" s="3"/>
      <c r="G7102" s="3"/>
      <c r="H7102" s="3"/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  <c r="T7102" s="3"/>
      <c r="U7102" s="3"/>
      <c r="V7102" s="3"/>
      <c r="W7102" s="3"/>
      <c r="X7102" s="3"/>
      <c r="Y7102" s="3"/>
    </row>
    <row r="7103">
      <c r="A7103" s="3"/>
      <c r="B7103" s="3"/>
      <c r="C7103" s="3"/>
      <c r="D7103" s="3"/>
      <c r="E7103" s="3"/>
      <c r="F7103" s="3"/>
      <c r="G7103" s="3"/>
      <c r="H7103" s="3"/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  <c r="T7103" s="3"/>
      <c r="U7103" s="3"/>
      <c r="V7103" s="3"/>
      <c r="W7103" s="3"/>
      <c r="X7103" s="3"/>
      <c r="Y7103" s="3"/>
    </row>
    <row r="7104">
      <c r="A7104" s="3"/>
      <c r="B7104" s="3"/>
      <c r="C7104" s="3"/>
      <c r="D7104" s="3"/>
      <c r="E7104" s="3"/>
      <c r="F7104" s="3"/>
      <c r="G7104" s="3"/>
      <c r="H7104" s="3"/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  <c r="T7104" s="3"/>
      <c r="U7104" s="3"/>
      <c r="V7104" s="3"/>
      <c r="W7104" s="3"/>
      <c r="X7104" s="3"/>
      <c r="Y7104" s="3"/>
    </row>
    <row r="7105">
      <c r="A7105" s="3"/>
      <c r="B7105" s="3"/>
      <c r="C7105" s="3"/>
      <c r="D7105" s="3"/>
      <c r="E7105" s="3"/>
      <c r="F7105" s="3"/>
      <c r="G7105" s="3"/>
      <c r="H7105" s="3"/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  <c r="T7105" s="3"/>
      <c r="U7105" s="3"/>
      <c r="V7105" s="3"/>
      <c r="W7105" s="3"/>
      <c r="X7105" s="3"/>
      <c r="Y7105" s="3"/>
    </row>
    <row r="7106">
      <c r="A7106" s="3"/>
      <c r="B7106" s="3"/>
      <c r="C7106" s="3"/>
      <c r="D7106" s="3"/>
      <c r="E7106" s="3"/>
      <c r="F7106" s="3"/>
      <c r="G7106" s="3"/>
      <c r="H7106" s="3"/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  <c r="T7106" s="3"/>
      <c r="U7106" s="3"/>
      <c r="V7106" s="3"/>
      <c r="W7106" s="3"/>
      <c r="X7106" s="3"/>
      <c r="Y7106" s="3"/>
    </row>
    <row r="7107">
      <c r="A7107" s="3"/>
      <c r="B7107" s="3"/>
      <c r="C7107" s="3"/>
      <c r="D7107" s="3"/>
      <c r="E7107" s="3"/>
      <c r="F7107" s="3"/>
      <c r="G7107" s="3"/>
      <c r="H7107" s="3"/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  <c r="T7107" s="3"/>
      <c r="U7107" s="3"/>
      <c r="V7107" s="3"/>
      <c r="W7107" s="3"/>
      <c r="X7107" s="3"/>
      <c r="Y7107" s="3"/>
    </row>
    <row r="7108">
      <c r="A7108" s="3"/>
      <c r="B7108" s="3"/>
      <c r="C7108" s="3"/>
      <c r="D7108" s="3"/>
      <c r="E7108" s="3"/>
      <c r="F7108" s="3"/>
      <c r="G7108" s="3"/>
      <c r="H7108" s="3"/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  <c r="T7108" s="3"/>
      <c r="U7108" s="3"/>
      <c r="V7108" s="3"/>
      <c r="W7108" s="3"/>
      <c r="X7108" s="3"/>
      <c r="Y7108" s="3"/>
    </row>
    <row r="7109">
      <c r="A7109" s="3"/>
      <c r="B7109" s="3"/>
      <c r="C7109" s="3"/>
      <c r="D7109" s="3"/>
      <c r="E7109" s="3"/>
      <c r="F7109" s="3"/>
      <c r="G7109" s="3"/>
      <c r="H7109" s="3"/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  <c r="T7109" s="3"/>
      <c r="U7109" s="3"/>
      <c r="V7109" s="3"/>
      <c r="W7109" s="3"/>
      <c r="X7109" s="3"/>
      <c r="Y7109" s="3"/>
    </row>
    <row r="7110">
      <c r="A7110" s="3"/>
      <c r="B7110" s="3"/>
      <c r="C7110" s="3"/>
      <c r="D7110" s="3"/>
      <c r="E7110" s="3"/>
      <c r="F7110" s="3"/>
      <c r="G7110" s="3"/>
      <c r="H7110" s="3"/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  <c r="T7110" s="3"/>
      <c r="U7110" s="3"/>
      <c r="V7110" s="3"/>
      <c r="W7110" s="3"/>
      <c r="X7110" s="3"/>
      <c r="Y7110" s="3"/>
    </row>
    <row r="7111">
      <c r="A7111" s="3"/>
      <c r="B7111" s="3"/>
      <c r="C7111" s="3"/>
      <c r="D7111" s="3"/>
      <c r="E7111" s="3"/>
      <c r="F7111" s="3"/>
      <c r="G7111" s="3"/>
      <c r="H7111" s="3"/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  <c r="T7111" s="3"/>
      <c r="U7111" s="3"/>
      <c r="V7111" s="3"/>
      <c r="W7111" s="3"/>
      <c r="X7111" s="3"/>
      <c r="Y7111" s="3"/>
    </row>
    <row r="7112">
      <c r="A7112" s="3"/>
      <c r="B7112" s="3"/>
      <c r="C7112" s="3"/>
      <c r="D7112" s="3"/>
      <c r="E7112" s="3"/>
      <c r="F7112" s="3"/>
      <c r="G7112" s="3"/>
      <c r="H7112" s="3"/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  <c r="T7112" s="3"/>
      <c r="U7112" s="3"/>
      <c r="V7112" s="3"/>
      <c r="W7112" s="3"/>
      <c r="X7112" s="3"/>
      <c r="Y7112" s="3"/>
    </row>
    <row r="7113">
      <c r="A7113" s="3"/>
      <c r="B7113" s="3"/>
      <c r="C7113" s="3"/>
      <c r="D7113" s="3"/>
      <c r="E7113" s="3"/>
      <c r="F7113" s="3"/>
      <c r="G7113" s="3"/>
      <c r="H7113" s="3"/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  <c r="T7113" s="3"/>
      <c r="U7113" s="3"/>
      <c r="V7113" s="3"/>
      <c r="W7113" s="3"/>
      <c r="X7113" s="3"/>
      <c r="Y7113" s="3"/>
    </row>
    <row r="7114">
      <c r="A7114" s="3"/>
      <c r="B7114" s="3"/>
      <c r="C7114" s="3"/>
      <c r="D7114" s="3"/>
      <c r="E7114" s="3"/>
      <c r="F7114" s="3"/>
      <c r="G7114" s="3"/>
      <c r="H7114" s="3"/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  <c r="T7114" s="3"/>
      <c r="U7114" s="3"/>
      <c r="V7114" s="3"/>
      <c r="W7114" s="3"/>
      <c r="X7114" s="3"/>
      <c r="Y7114" s="3"/>
    </row>
    <row r="7115">
      <c r="A7115" s="3"/>
      <c r="B7115" s="3"/>
      <c r="C7115" s="3"/>
      <c r="D7115" s="3"/>
      <c r="E7115" s="3"/>
      <c r="F7115" s="3"/>
      <c r="G7115" s="3"/>
      <c r="H7115" s="3"/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  <c r="T7115" s="3"/>
      <c r="U7115" s="3"/>
      <c r="V7115" s="3"/>
      <c r="W7115" s="3"/>
      <c r="X7115" s="3"/>
      <c r="Y7115" s="3"/>
    </row>
    <row r="7116">
      <c r="A7116" s="3"/>
      <c r="B7116" s="3"/>
      <c r="C7116" s="3"/>
      <c r="D7116" s="3"/>
      <c r="E7116" s="3"/>
      <c r="F7116" s="3"/>
      <c r="G7116" s="3"/>
      <c r="H7116" s="3"/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  <c r="T7116" s="3"/>
      <c r="U7116" s="3"/>
      <c r="V7116" s="3"/>
      <c r="W7116" s="3"/>
      <c r="X7116" s="3"/>
      <c r="Y7116" s="3"/>
    </row>
    <row r="7117">
      <c r="A7117" s="3"/>
      <c r="B7117" s="3"/>
      <c r="C7117" s="3"/>
      <c r="D7117" s="3"/>
      <c r="E7117" s="3"/>
      <c r="F7117" s="3"/>
      <c r="G7117" s="3"/>
      <c r="H7117" s="3"/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  <c r="T7117" s="3"/>
      <c r="U7117" s="3"/>
      <c r="V7117" s="3"/>
      <c r="W7117" s="3"/>
      <c r="X7117" s="3"/>
      <c r="Y7117" s="3"/>
    </row>
    <row r="7118">
      <c r="A7118" s="3"/>
      <c r="B7118" s="3"/>
      <c r="C7118" s="3"/>
      <c r="D7118" s="3"/>
      <c r="E7118" s="3"/>
      <c r="F7118" s="3"/>
      <c r="G7118" s="3"/>
      <c r="H7118" s="3"/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  <c r="T7118" s="3"/>
      <c r="U7118" s="3"/>
      <c r="V7118" s="3"/>
      <c r="W7118" s="3"/>
      <c r="X7118" s="3"/>
      <c r="Y7118" s="3"/>
    </row>
    <row r="7119">
      <c r="A7119" s="3"/>
      <c r="B7119" s="3"/>
      <c r="C7119" s="3"/>
      <c r="D7119" s="3"/>
      <c r="E7119" s="3"/>
      <c r="F7119" s="3"/>
      <c r="G7119" s="3"/>
      <c r="H7119" s="3"/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  <c r="T7119" s="3"/>
      <c r="U7119" s="3"/>
      <c r="V7119" s="3"/>
      <c r="W7119" s="3"/>
      <c r="X7119" s="3"/>
      <c r="Y7119" s="3"/>
    </row>
    <row r="7120">
      <c r="A7120" s="3"/>
      <c r="B7120" s="3"/>
      <c r="C7120" s="3"/>
      <c r="D7120" s="3"/>
      <c r="E7120" s="3"/>
      <c r="F7120" s="3"/>
      <c r="G7120" s="3"/>
      <c r="H7120" s="3"/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  <c r="T7120" s="3"/>
      <c r="U7120" s="3"/>
      <c r="V7120" s="3"/>
      <c r="W7120" s="3"/>
      <c r="X7120" s="3"/>
      <c r="Y7120" s="3"/>
    </row>
    <row r="7121">
      <c r="A7121" s="3"/>
      <c r="B7121" s="3"/>
      <c r="C7121" s="3"/>
      <c r="D7121" s="3"/>
      <c r="E7121" s="3"/>
      <c r="F7121" s="3"/>
      <c r="G7121" s="3"/>
      <c r="H7121" s="3"/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  <c r="T7121" s="3"/>
      <c r="U7121" s="3"/>
      <c r="V7121" s="3"/>
      <c r="W7121" s="3"/>
      <c r="X7121" s="3"/>
      <c r="Y7121" s="3"/>
    </row>
    <row r="7122">
      <c r="A7122" s="3"/>
      <c r="B7122" s="3"/>
      <c r="C7122" s="3"/>
      <c r="D7122" s="3"/>
      <c r="E7122" s="3"/>
      <c r="F7122" s="3"/>
      <c r="G7122" s="3"/>
      <c r="H7122" s="3"/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  <c r="T7122" s="3"/>
      <c r="U7122" s="3"/>
      <c r="V7122" s="3"/>
      <c r="W7122" s="3"/>
      <c r="X7122" s="3"/>
      <c r="Y7122" s="3"/>
    </row>
    <row r="7123">
      <c r="A7123" s="3"/>
      <c r="B7123" s="3"/>
      <c r="C7123" s="3"/>
      <c r="D7123" s="3"/>
      <c r="E7123" s="3"/>
      <c r="F7123" s="3"/>
      <c r="G7123" s="3"/>
      <c r="H7123" s="3"/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  <c r="T7123" s="3"/>
      <c r="U7123" s="3"/>
      <c r="V7123" s="3"/>
      <c r="W7123" s="3"/>
      <c r="X7123" s="3"/>
      <c r="Y7123" s="3"/>
    </row>
    <row r="7124">
      <c r="A7124" s="3"/>
      <c r="B7124" s="3"/>
      <c r="C7124" s="3"/>
      <c r="D7124" s="3"/>
      <c r="E7124" s="3"/>
      <c r="F7124" s="3"/>
      <c r="G7124" s="3"/>
      <c r="H7124" s="3"/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  <c r="T7124" s="3"/>
      <c r="U7124" s="3"/>
      <c r="V7124" s="3"/>
      <c r="W7124" s="3"/>
      <c r="X7124" s="3"/>
      <c r="Y7124" s="3"/>
    </row>
    <row r="7125">
      <c r="A7125" s="3"/>
      <c r="B7125" s="3"/>
      <c r="C7125" s="3"/>
      <c r="D7125" s="3"/>
      <c r="E7125" s="3"/>
      <c r="F7125" s="3"/>
      <c r="G7125" s="3"/>
      <c r="H7125" s="3"/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  <c r="T7125" s="3"/>
      <c r="U7125" s="3"/>
      <c r="V7125" s="3"/>
      <c r="W7125" s="3"/>
      <c r="X7125" s="3"/>
      <c r="Y7125" s="3"/>
    </row>
    <row r="7126">
      <c r="A7126" s="3"/>
      <c r="B7126" s="3"/>
      <c r="C7126" s="3"/>
      <c r="D7126" s="3"/>
      <c r="E7126" s="3"/>
      <c r="F7126" s="3"/>
      <c r="G7126" s="3"/>
      <c r="H7126" s="3"/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  <c r="T7126" s="3"/>
      <c r="U7126" s="3"/>
      <c r="V7126" s="3"/>
      <c r="W7126" s="3"/>
      <c r="X7126" s="3"/>
      <c r="Y7126" s="3"/>
    </row>
    <row r="7127">
      <c r="A7127" s="3"/>
      <c r="B7127" s="3"/>
      <c r="C7127" s="3"/>
      <c r="D7127" s="3"/>
      <c r="E7127" s="3"/>
      <c r="F7127" s="3"/>
      <c r="G7127" s="3"/>
      <c r="H7127" s="3"/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  <c r="T7127" s="3"/>
      <c r="U7127" s="3"/>
      <c r="V7127" s="3"/>
      <c r="W7127" s="3"/>
      <c r="X7127" s="3"/>
      <c r="Y7127" s="3"/>
    </row>
    <row r="7128">
      <c r="A7128" s="3"/>
      <c r="B7128" s="3"/>
      <c r="C7128" s="3"/>
      <c r="D7128" s="3"/>
      <c r="E7128" s="3"/>
      <c r="F7128" s="3"/>
      <c r="G7128" s="3"/>
      <c r="H7128" s="3"/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  <c r="T7128" s="3"/>
      <c r="U7128" s="3"/>
      <c r="V7128" s="3"/>
      <c r="W7128" s="3"/>
      <c r="X7128" s="3"/>
      <c r="Y7128" s="3"/>
    </row>
    <row r="7129">
      <c r="A7129" s="3"/>
      <c r="B7129" s="3"/>
      <c r="C7129" s="3"/>
      <c r="D7129" s="3"/>
      <c r="E7129" s="3"/>
      <c r="F7129" s="3"/>
      <c r="G7129" s="3"/>
      <c r="H7129" s="3"/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  <c r="T7129" s="3"/>
      <c r="U7129" s="3"/>
      <c r="V7129" s="3"/>
      <c r="W7129" s="3"/>
      <c r="X7129" s="3"/>
      <c r="Y7129" s="3"/>
    </row>
    <row r="7130">
      <c r="A7130" s="3"/>
      <c r="B7130" s="3"/>
      <c r="C7130" s="3"/>
      <c r="D7130" s="3"/>
      <c r="E7130" s="3"/>
      <c r="F7130" s="3"/>
      <c r="G7130" s="3"/>
      <c r="H7130" s="3"/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  <c r="T7130" s="3"/>
      <c r="U7130" s="3"/>
      <c r="V7130" s="3"/>
      <c r="W7130" s="3"/>
      <c r="X7130" s="3"/>
      <c r="Y7130" s="3"/>
    </row>
    <row r="7131">
      <c r="A7131" s="3"/>
      <c r="B7131" s="3"/>
      <c r="C7131" s="3"/>
      <c r="D7131" s="3"/>
      <c r="E7131" s="3"/>
      <c r="F7131" s="3"/>
      <c r="G7131" s="3"/>
      <c r="H7131" s="3"/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  <c r="T7131" s="3"/>
      <c r="U7131" s="3"/>
      <c r="V7131" s="3"/>
      <c r="W7131" s="3"/>
      <c r="X7131" s="3"/>
      <c r="Y7131" s="3"/>
    </row>
    <row r="7132">
      <c r="A7132" s="3"/>
      <c r="B7132" s="3"/>
      <c r="C7132" s="3"/>
      <c r="D7132" s="3"/>
      <c r="E7132" s="3"/>
      <c r="F7132" s="3"/>
      <c r="G7132" s="3"/>
      <c r="H7132" s="3"/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  <c r="T7132" s="3"/>
      <c r="U7132" s="3"/>
      <c r="V7132" s="3"/>
      <c r="W7132" s="3"/>
      <c r="X7132" s="3"/>
      <c r="Y7132" s="3"/>
    </row>
    <row r="7133">
      <c r="A7133" s="3"/>
      <c r="B7133" s="3"/>
      <c r="C7133" s="3"/>
      <c r="D7133" s="3"/>
      <c r="E7133" s="3"/>
      <c r="F7133" s="3"/>
      <c r="G7133" s="3"/>
      <c r="H7133" s="3"/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  <c r="T7133" s="3"/>
      <c r="U7133" s="3"/>
      <c r="V7133" s="3"/>
      <c r="W7133" s="3"/>
      <c r="X7133" s="3"/>
      <c r="Y7133" s="3"/>
    </row>
    <row r="7134">
      <c r="A7134" s="3"/>
      <c r="B7134" s="3"/>
      <c r="C7134" s="3"/>
      <c r="D7134" s="3"/>
      <c r="E7134" s="3"/>
      <c r="F7134" s="3"/>
      <c r="G7134" s="3"/>
      <c r="H7134" s="3"/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  <c r="T7134" s="3"/>
      <c r="U7134" s="3"/>
      <c r="V7134" s="3"/>
      <c r="W7134" s="3"/>
      <c r="X7134" s="3"/>
      <c r="Y7134" s="3"/>
    </row>
    <row r="7135">
      <c r="A7135" s="3"/>
      <c r="B7135" s="3"/>
      <c r="C7135" s="3"/>
      <c r="D7135" s="3"/>
      <c r="E7135" s="3"/>
      <c r="F7135" s="3"/>
      <c r="G7135" s="3"/>
      <c r="H7135" s="3"/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  <c r="T7135" s="3"/>
      <c r="U7135" s="3"/>
      <c r="V7135" s="3"/>
      <c r="W7135" s="3"/>
      <c r="X7135" s="3"/>
      <c r="Y7135" s="3"/>
    </row>
    <row r="7136">
      <c r="A7136" s="3"/>
      <c r="B7136" s="3"/>
      <c r="C7136" s="3"/>
      <c r="D7136" s="3"/>
      <c r="E7136" s="3"/>
      <c r="F7136" s="3"/>
      <c r="G7136" s="3"/>
      <c r="H7136" s="3"/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  <c r="T7136" s="3"/>
      <c r="U7136" s="3"/>
      <c r="V7136" s="3"/>
      <c r="W7136" s="3"/>
      <c r="X7136" s="3"/>
      <c r="Y7136" s="3"/>
    </row>
    <row r="7137">
      <c r="A7137" s="3"/>
      <c r="B7137" s="3"/>
      <c r="C7137" s="3"/>
      <c r="D7137" s="3"/>
      <c r="E7137" s="3"/>
      <c r="F7137" s="3"/>
      <c r="G7137" s="3"/>
      <c r="H7137" s="3"/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  <c r="T7137" s="3"/>
      <c r="U7137" s="3"/>
      <c r="V7137" s="3"/>
      <c r="W7137" s="3"/>
      <c r="X7137" s="3"/>
      <c r="Y7137" s="3"/>
    </row>
    <row r="7138">
      <c r="A7138" s="3"/>
      <c r="B7138" s="3"/>
      <c r="C7138" s="3"/>
      <c r="D7138" s="3"/>
      <c r="E7138" s="3"/>
      <c r="F7138" s="3"/>
      <c r="G7138" s="3"/>
      <c r="H7138" s="3"/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  <c r="T7138" s="3"/>
      <c r="U7138" s="3"/>
      <c r="V7138" s="3"/>
      <c r="W7138" s="3"/>
      <c r="X7138" s="3"/>
      <c r="Y7138" s="3"/>
    </row>
    <row r="7139">
      <c r="A7139" s="3"/>
      <c r="B7139" s="3"/>
      <c r="C7139" s="3"/>
      <c r="D7139" s="3"/>
      <c r="E7139" s="3"/>
      <c r="F7139" s="3"/>
      <c r="G7139" s="3"/>
      <c r="H7139" s="3"/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  <c r="T7139" s="3"/>
      <c r="U7139" s="3"/>
      <c r="V7139" s="3"/>
      <c r="W7139" s="3"/>
      <c r="X7139" s="3"/>
      <c r="Y7139" s="3"/>
    </row>
    <row r="7140">
      <c r="A7140" s="3"/>
      <c r="B7140" s="3"/>
      <c r="C7140" s="3"/>
      <c r="D7140" s="3"/>
      <c r="E7140" s="3"/>
      <c r="F7140" s="3"/>
      <c r="G7140" s="3"/>
      <c r="H7140" s="3"/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  <c r="T7140" s="3"/>
      <c r="U7140" s="3"/>
      <c r="V7140" s="3"/>
      <c r="W7140" s="3"/>
      <c r="X7140" s="3"/>
      <c r="Y7140" s="3"/>
    </row>
    <row r="7141">
      <c r="A7141" s="3"/>
      <c r="B7141" s="3"/>
      <c r="C7141" s="3"/>
      <c r="D7141" s="3"/>
      <c r="E7141" s="3"/>
      <c r="F7141" s="3"/>
      <c r="G7141" s="3"/>
      <c r="H7141" s="3"/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  <c r="T7141" s="3"/>
      <c r="U7141" s="3"/>
      <c r="V7141" s="3"/>
      <c r="W7141" s="3"/>
      <c r="X7141" s="3"/>
      <c r="Y7141" s="3"/>
    </row>
    <row r="7142">
      <c r="A7142" s="3"/>
      <c r="B7142" s="3"/>
      <c r="C7142" s="3"/>
      <c r="D7142" s="3"/>
      <c r="E7142" s="3"/>
      <c r="F7142" s="3"/>
      <c r="G7142" s="3"/>
      <c r="H7142" s="3"/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  <c r="T7142" s="3"/>
      <c r="U7142" s="3"/>
      <c r="V7142" s="3"/>
      <c r="W7142" s="3"/>
      <c r="X7142" s="3"/>
      <c r="Y7142" s="3"/>
    </row>
    <row r="7143">
      <c r="A7143" s="3"/>
      <c r="B7143" s="3"/>
      <c r="C7143" s="3"/>
      <c r="D7143" s="3"/>
      <c r="E7143" s="3"/>
      <c r="F7143" s="3"/>
      <c r="G7143" s="3"/>
      <c r="H7143" s="3"/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  <c r="T7143" s="3"/>
      <c r="U7143" s="3"/>
      <c r="V7143" s="3"/>
      <c r="W7143" s="3"/>
      <c r="X7143" s="3"/>
      <c r="Y7143" s="3"/>
    </row>
    <row r="7144">
      <c r="A7144" s="3"/>
      <c r="B7144" s="3"/>
      <c r="C7144" s="3"/>
      <c r="D7144" s="3"/>
      <c r="E7144" s="3"/>
      <c r="F7144" s="3"/>
      <c r="G7144" s="3"/>
      <c r="H7144" s="3"/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  <c r="T7144" s="3"/>
      <c r="U7144" s="3"/>
      <c r="V7144" s="3"/>
      <c r="W7144" s="3"/>
      <c r="X7144" s="3"/>
      <c r="Y7144" s="3"/>
    </row>
    <row r="7145">
      <c r="A7145" s="3"/>
      <c r="B7145" s="3"/>
      <c r="C7145" s="3"/>
      <c r="D7145" s="3"/>
      <c r="E7145" s="3"/>
      <c r="F7145" s="3"/>
      <c r="G7145" s="3"/>
      <c r="H7145" s="3"/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  <c r="T7145" s="3"/>
      <c r="U7145" s="3"/>
      <c r="V7145" s="3"/>
      <c r="W7145" s="3"/>
      <c r="X7145" s="3"/>
      <c r="Y7145" s="3"/>
    </row>
    <row r="7146">
      <c r="A7146" s="3"/>
      <c r="B7146" s="3"/>
      <c r="C7146" s="3"/>
      <c r="D7146" s="3"/>
      <c r="E7146" s="3"/>
      <c r="F7146" s="3"/>
      <c r="G7146" s="3"/>
      <c r="H7146" s="3"/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  <c r="T7146" s="3"/>
      <c r="U7146" s="3"/>
      <c r="V7146" s="3"/>
      <c r="W7146" s="3"/>
      <c r="X7146" s="3"/>
      <c r="Y7146" s="3"/>
    </row>
    <row r="7147">
      <c r="A7147" s="3"/>
      <c r="B7147" s="3"/>
      <c r="C7147" s="3"/>
      <c r="D7147" s="3"/>
      <c r="E7147" s="3"/>
      <c r="F7147" s="3"/>
      <c r="G7147" s="3"/>
      <c r="H7147" s="3"/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  <c r="T7147" s="3"/>
      <c r="U7147" s="3"/>
      <c r="V7147" s="3"/>
      <c r="W7147" s="3"/>
      <c r="X7147" s="3"/>
      <c r="Y7147" s="3"/>
    </row>
    <row r="7148">
      <c r="A7148" s="3"/>
      <c r="B7148" s="3"/>
      <c r="C7148" s="3"/>
      <c r="D7148" s="3"/>
      <c r="E7148" s="3"/>
      <c r="F7148" s="3"/>
      <c r="G7148" s="3"/>
      <c r="H7148" s="3"/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  <c r="T7148" s="3"/>
      <c r="U7148" s="3"/>
      <c r="V7148" s="3"/>
      <c r="W7148" s="3"/>
      <c r="X7148" s="3"/>
      <c r="Y7148" s="3"/>
    </row>
    <row r="7149">
      <c r="A7149" s="3"/>
      <c r="B7149" s="3"/>
      <c r="C7149" s="3"/>
      <c r="D7149" s="3"/>
      <c r="E7149" s="3"/>
      <c r="F7149" s="3"/>
      <c r="G7149" s="3"/>
      <c r="H7149" s="3"/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  <c r="T7149" s="3"/>
      <c r="U7149" s="3"/>
      <c r="V7149" s="3"/>
      <c r="W7149" s="3"/>
      <c r="X7149" s="3"/>
      <c r="Y7149" s="3"/>
    </row>
    <row r="7150">
      <c r="A7150" s="3"/>
      <c r="B7150" s="3"/>
      <c r="C7150" s="3"/>
      <c r="D7150" s="3"/>
      <c r="E7150" s="3"/>
      <c r="F7150" s="3"/>
      <c r="G7150" s="3"/>
      <c r="H7150" s="3"/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  <c r="T7150" s="3"/>
      <c r="U7150" s="3"/>
      <c r="V7150" s="3"/>
      <c r="W7150" s="3"/>
      <c r="X7150" s="3"/>
      <c r="Y7150" s="3"/>
    </row>
    <row r="7151">
      <c r="A7151" s="3"/>
      <c r="B7151" s="3"/>
      <c r="C7151" s="3"/>
      <c r="D7151" s="3"/>
      <c r="E7151" s="3"/>
      <c r="F7151" s="3"/>
      <c r="G7151" s="3"/>
      <c r="H7151" s="3"/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  <c r="T7151" s="3"/>
      <c r="U7151" s="3"/>
      <c r="V7151" s="3"/>
      <c r="W7151" s="3"/>
      <c r="X7151" s="3"/>
      <c r="Y7151" s="3"/>
    </row>
    <row r="7152">
      <c r="A7152" s="3"/>
      <c r="B7152" s="3"/>
      <c r="C7152" s="3"/>
      <c r="D7152" s="3"/>
      <c r="E7152" s="3"/>
      <c r="F7152" s="3"/>
      <c r="G7152" s="3"/>
      <c r="H7152" s="3"/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  <c r="T7152" s="3"/>
      <c r="U7152" s="3"/>
      <c r="V7152" s="3"/>
      <c r="W7152" s="3"/>
      <c r="X7152" s="3"/>
      <c r="Y7152" s="3"/>
    </row>
    <row r="7153">
      <c r="A7153" s="3"/>
      <c r="B7153" s="3"/>
      <c r="C7153" s="3"/>
      <c r="D7153" s="3"/>
      <c r="E7153" s="3"/>
      <c r="F7153" s="3"/>
      <c r="G7153" s="3"/>
      <c r="H7153" s="3"/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  <c r="T7153" s="3"/>
      <c r="U7153" s="3"/>
      <c r="V7153" s="3"/>
      <c r="W7153" s="3"/>
      <c r="X7153" s="3"/>
      <c r="Y7153" s="3"/>
    </row>
    <row r="7154">
      <c r="A7154" s="3"/>
      <c r="B7154" s="3"/>
      <c r="C7154" s="3"/>
      <c r="D7154" s="3"/>
      <c r="E7154" s="3"/>
      <c r="F7154" s="3"/>
      <c r="G7154" s="3"/>
      <c r="H7154" s="3"/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  <c r="T7154" s="3"/>
      <c r="U7154" s="3"/>
      <c r="V7154" s="3"/>
      <c r="W7154" s="3"/>
      <c r="X7154" s="3"/>
      <c r="Y7154" s="3"/>
    </row>
    <row r="7155">
      <c r="A7155" s="3"/>
      <c r="B7155" s="3"/>
      <c r="C7155" s="3"/>
      <c r="D7155" s="3"/>
      <c r="E7155" s="3"/>
      <c r="F7155" s="3"/>
      <c r="G7155" s="3"/>
      <c r="H7155" s="3"/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  <c r="T7155" s="3"/>
      <c r="U7155" s="3"/>
      <c r="V7155" s="3"/>
      <c r="W7155" s="3"/>
      <c r="X7155" s="3"/>
      <c r="Y7155" s="3"/>
    </row>
    <row r="7156">
      <c r="A7156" s="3"/>
      <c r="B7156" s="3"/>
      <c r="C7156" s="3"/>
      <c r="D7156" s="3"/>
      <c r="E7156" s="3"/>
      <c r="F7156" s="3"/>
      <c r="G7156" s="3"/>
      <c r="H7156" s="3"/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  <c r="T7156" s="3"/>
      <c r="U7156" s="3"/>
      <c r="V7156" s="3"/>
      <c r="W7156" s="3"/>
      <c r="X7156" s="3"/>
      <c r="Y7156" s="3"/>
    </row>
    <row r="7157">
      <c r="A7157" s="3"/>
      <c r="B7157" s="3"/>
      <c r="C7157" s="3"/>
      <c r="D7157" s="3"/>
      <c r="E7157" s="3"/>
      <c r="F7157" s="3"/>
      <c r="G7157" s="3"/>
      <c r="H7157" s="3"/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  <c r="T7157" s="3"/>
      <c r="U7157" s="3"/>
      <c r="V7157" s="3"/>
      <c r="W7157" s="3"/>
      <c r="X7157" s="3"/>
      <c r="Y7157" s="3"/>
    </row>
    <row r="7158">
      <c r="A7158" s="3"/>
      <c r="B7158" s="3"/>
      <c r="C7158" s="3"/>
      <c r="D7158" s="3"/>
      <c r="E7158" s="3"/>
      <c r="F7158" s="3"/>
      <c r="G7158" s="3"/>
      <c r="H7158" s="3"/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  <c r="T7158" s="3"/>
      <c r="U7158" s="3"/>
      <c r="V7158" s="3"/>
      <c r="W7158" s="3"/>
      <c r="X7158" s="3"/>
      <c r="Y7158" s="3"/>
    </row>
    <row r="7159">
      <c r="A7159" s="3"/>
      <c r="B7159" s="3"/>
      <c r="C7159" s="3"/>
      <c r="D7159" s="3"/>
      <c r="E7159" s="3"/>
      <c r="F7159" s="3"/>
      <c r="G7159" s="3"/>
      <c r="H7159" s="3"/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  <c r="T7159" s="3"/>
      <c r="U7159" s="3"/>
      <c r="V7159" s="3"/>
      <c r="W7159" s="3"/>
      <c r="X7159" s="3"/>
      <c r="Y7159" s="3"/>
    </row>
    <row r="7160">
      <c r="A7160" s="3"/>
      <c r="B7160" s="3"/>
      <c r="C7160" s="3"/>
      <c r="D7160" s="3"/>
      <c r="E7160" s="3"/>
      <c r="F7160" s="3"/>
      <c r="G7160" s="3"/>
      <c r="H7160" s="3"/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  <c r="T7160" s="3"/>
      <c r="U7160" s="3"/>
      <c r="V7160" s="3"/>
      <c r="W7160" s="3"/>
      <c r="X7160" s="3"/>
      <c r="Y7160" s="3"/>
    </row>
    <row r="7161">
      <c r="A7161" s="3"/>
      <c r="B7161" s="3"/>
      <c r="C7161" s="3"/>
      <c r="D7161" s="3"/>
      <c r="E7161" s="3"/>
      <c r="F7161" s="3"/>
      <c r="G7161" s="3"/>
      <c r="H7161" s="3"/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  <c r="T7161" s="3"/>
      <c r="U7161" s="3"/>
      <c r="V7161" s="3"/>
      <c r="W7161" s="3"/>
      <c r="X7161" s="3"/>
      <c r="Y7161" s="3"/>
    </row>
    <row r="7162">
      <c r="A7162" s="3"/>
      <c r="B7162" s="3"/>
      <c r="C7162" s="3"/>
      <c r="D7162" s="3"/>
      <c r="E7162" s="3"/>
      <c r="F7162" s="3"/>
      <c r="G7162" s="3"/>
      <c r="H7162" s="3"/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  <c r="T7162" s="3"/>
      <c r="U7162" s="3"/>
      <c r="V7162" s="3"/>
      <c r="W7162" s="3"/>
      <c r="X7162" s="3"/>
      <c r="Y7162" s="3"/>
    </row>
    <row r="7163">
      <c r="A7163" s="3"/>
      <c r="B7163" s="3"/>
      <c r="C7163" s="3"/>
      <c r="D7163" s="3"/>
      <c r="E7163" s="3"/>
      <c r="F7163" s="3"/>
      <c r="G7163" s="3"/>
      <c r="H7163" s="3"/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  <c r="T7163" s="3"/>
      <c r="U7163" s="3"/>
      <c r="V7163" s="3"/>
      <c r="W7163" s="3"/>
      <c r="X7163" s="3"/>
      <c r="Y7163" s="3"/>
    </row>
    <row r="7164">
      <c r="A7164" s="3"/>
      <c r="B7164" s="3"/>
      <c r="C7164" s="3"/>
      <c r="D7164" s="3"/>
      <c r="E7164" s="3"/>
      <c r="F7164" s="3"/>
      <c r="G7164" s="3"/>
      <c r="H7164" s="3"/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  <c r="T7164" s="3"/>
      <c r="U7164" s="3"/>
      <c r="V7164" s="3"/>
      <c r="W7164" s="3"/>
      <c r="X7164" s="3"/>
      <c r="Y7164" s="3"/>
    </row>
    <row r="7165">
      <c r="A7165" s="3"/>
      <c r="B7165" s="3"/>
      <c r="C7165" s="3"/>
      <c r="D7165" s="3"/>
      <c r="E7165" s="3"/>
      <c r="F7165" s="3"/>
      <c r="G7165" s="3"/>
      <c r="H7165" s="3"/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  <c r="T7165" s="3"/>
      <c r="U7165" s="3"/>
      <c r="V7165" s="3"/>
      <c r="W7165" s="3"/>
      <c r="X7165" s="3"/>
      <c r="Y7165" s="3"/>
    </row>
    <row r="7166">
      <c r="A7166" s="3"/>
      <c r="B7166" s="3"/>
      <c r="C7166" s="3"/>
      <c r="D7166" s="3"/>
      <c r="E7166" s="3"/>
      <c r="F7166" s="3"/>
      <c r="G7166" s="3"/>
      <c r="H7166" s="3"/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  <c r="T7166" s="3"/>
      <c r="U7166" s="3"/>
      <c r="V7166" s="3"/>
      <c r="W7166" s="3"/>
      <c r="X7166" s="3"/>
      <c r="Y7166" s="3"/>
    </row>
    <row r="7167">
      <c r="A7167" s="3"/>
      <c r="B7167" s="3"/>
      <c r="C7167" s="3"/>
      <c r="D7167" s="3"/>
      <c r="E7167" s="3"/>
      <c r="F7167" s="3"/>
      <c r="G7167" s="3"/>
      <c r="H7167" s="3"/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  <c r="T7167" s="3"/>
      <c r="U7167" s="3"/>
      <c r="V7167" s="3"/>
      <c r="W7167" s="3"/>
      <c r="X7167" s="3"/>
      <c r="Y7167" s="3"/>
    </row>
    <row r="7168">
      <c r="A7168" s="3"/>
      <c r="B7168" s="3"/>
      <c r="C7168" s="3"/>
      <c r="D7168" s="3"/>
      <c r="E7168" s="3"/>
      <c r="F7168" s="3"/>
      <c r="G7168" s="3"/>
      <c r="H7168" s="3"/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  <c r="T7168" s="3"/>
      <c r="U7168" s="3"/>
      <c r="V7168" s="3"/>
      <c r="W7168" s="3"/>
      <c r="X7168" s="3"/>
      <c r="Y7168" s="3"/>
    </row>
    <row r="7169">
      <c r="A7169" s="3"/>
      <c r="B7169" s="3"/>
      <c r="C7169" s="3"/>
      <c r="D7169" s="3"/>
      <c r="E7169" s="3"/>
      <c r="F7169" s="3"/>
      <c r="G7169" s="3"/>
      <c r="H7169" s="3"/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  <c r="T7169" s="3"/>
      <c r="U7169" s="3"/>
      <c r="V7169" s="3"/>
      <c r="W7169" s="3"/>
      <c r="X7169" s="3"/>
      <c r="Y7169" s="3"/>
    </row>
    <row r="7170">
      <c r="A7170" s="3"/>
      <c r="B7170" s="3"/>
      <c r="C7170" s="3"/>
      <c r="D7170" s="3"/>
      <c r="E7170" s="3"/>
      <c r="F7170" s="3"/>
      <c r="G7170" s="3"/>
      <c r="H7170" s="3"/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  <c r="T7170" s="3"/>
      <c r="U7170" s="3"/>
      <c r="V7170" s="3"/>
      <c r="W7170" s="3"/>
      <c r="X7170" s="3"/>
      <c r="Y7170" s="3"/>
    </row>
    <row r="7171">
      <c r="A7171" s="3"/>
      <c r="B7171" s="3"/>
      <c r="C7171" s="3"/>
      <c r="D7171" s="3"/>
      <c r="E7171" s="3"/>
      <c r="F7171" s="3"/>
      <c r="G7171" s="3"/>
      <c r="H7171" s="3"/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  <c r="T7171" s="3"/>
      <c r="U7171" s="3"/>
      <c r="V7171" s="3"/>
      <c r="W7171" s="3"/>
      <c r="X7171" s="3"/>
      <c r="Y7171" s="3"/>
    </row>
    <row r="7172">
      <c r="A7172" s="3"/>
      <c r="B7172" s="3"/>
      <c r="C7172" s="3"/>
      <c r="D7172" s="3"/>
      <c r="E7172" s="3"/>
      <c r="F7172" s="3"/>
      <c r="G7172" s="3"/>
      <c r="H7172" s="3"/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  <c r="T7172" s="3"/>
      <c r="U7172" s="3"/>
      <c r="V7172" s="3"/>
      <c r="W7172" s="3"/>
      <c r="X7172" s="3"/>
      <c r="Y7172" s="3"/>
    </row>
    <row r="7173">
      <c r="A7173" s="3"/>
      <c r="B7173" s="3"/>
      <c r="C7173" s="3"/>
      <c r="D7173" s="3"/>
      <c r="E7173" s="3"/>
      <c r="F7173" s="3"/>
      <c r="G7173" s="3"/>
      <c r="H7173" s="3"/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  <c r="T7173" s="3"/>
      <c r="U7173" s="3"/>
      <c r="V7173" s="3"/>
      <c r="W7173" s="3"/>
      <c r="X7173" s="3"/>
      <c r="Y7173" s="3"/>
    </row>
    <row r="7174">
      <c r="A7174" s="3"/>
      <c r="B7174" s="3"/>
      <c r="C7174" s="3"/>
      <c r="D7174" s="3"/>
      <c r="E7174" s="3"/>
      <c r="F7174" s="3"/>
      <c r="G7174" s="3"/>
      <c r="H7174" s="3"/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  <c r="T7174" s="3"/>
      <c r="U7174" s="3"/>
      <c r="V7174" s="3"/>
      <c r="W7174" s="3"/>
      <c r="X7174" s="3"/>
      <c r="Y7174" s="3"/>
    </row>
    <row r="7175">
      <c r="A7175" s="3"/>
      <c r="B7175" s="3"/>
      <c r="C7175" s="3"/>
      <c r="D7175" s="3"/>
      <c r="E7175" s="3"/>
      <c r="F7175" s="3"/>
      <c r="G7175" s="3"/>
      <c r="H7175" s="3"/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  <c r="T7175" s="3"/>
      <c r="U7175" s="3"/>
      <c r="V7175" s="3"/>
      <c r="W7175" s="3"/>
      <c r="X7175" s="3"/>
      <c r="Y7175" s="3"/>
    </row>
    <row r="7176">
      <c r="A7176" s="3"/>
      <c r="B7176" s="3"/>
      <c r="C7176" s="3"/>
      <c r="D7176" s="3"/>
      <c r="E7176" s="3"/>
      <c r="F7176" s="3"/>
      <c r="G7176" s="3"/>
      <c r="H7176" s="3"/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  <c r="T7176" s="3"/>
      <c r="U7176" s="3"/>
      <c r="V7176" s="3"/>
      <c r="W7176" s="3"/>
      <c r="X7176" s="3"/>
      <c r="Y7176" s="3"/>
    </row>
    <row r="7177">
      <c r="A7177" s="3"/>
      <c r="B7177" s="3"/>
      <c r="C7177" s="3"/>
      <c r="D7177" s="3"/>
      <c r="E7177" s="3"/>
      <c r="F7177" s="3"/>
      <c r="G7177" s="3"/>
      <c r="H7177" s="3"/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  <c r="T7177" s="3"/>
      <c r="U7177" s="3"/>
      <c r="V7177" s="3"/>
      <c r="W7177" s="3"/>
      <c r="X7177" s="3"/>
      <c r="Y7177" s="3"/>
    </row>
    <row r="7178">
      <c r="A7178" s="3"/>
      <c r="B7178" s="3"/>
      <c r="C7178" s="3"/>
      <c r="D7178" s="3"/>
      <c r="E7178" s="3"/>
      <c r="F7178" s="3"/>
      <c r="G7178" s="3"/>
      <c r="H7178" s="3"/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  <c r="T7178" s="3"/>
      <c r="U7178" s="3"/>
      <c r="V7178" s="3"/>
      <c r="W7178" s="3"/>
      <c r="X7178" s="3"/>
      <c r="Y7178" s="3"/>
    </row>
    <row r="7179">
      <c r="A7179" s="3"/>
      <c r="B7179" s="3"/>
      <c r="C7179" s="3"/>
      <c r="D7179" s="3"/>
      <c r="E7179" s="3"/>
      <c r="F7179" s="3"/>
      <c r="G7179" s="3"/>
      <c r="H7179" s="3"/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  <c r="T7179" s="3"/>
      <c r="U7179" s="3"/>
      <c r="V7179" s="3"/>
      <c r="W7179" s="3"/>
      <c r="X7179" s="3"/>
      <c r="Y7179" s="3"/>
    </row>
    <row r="7180">
      <c r="A7180" s="3"/>
      <c r="B7180" s="3"/>
      <c r="C7180" s="3"/>
      <c r="D7180" s="3"/>
      <c r="E7180" s="3"/>
      <c r="F7180" s="3"/>
      <c r="G7180" s="3"/>
      <c r="H7180" s="3"/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  <c r="T7180" s="3"/>
      <c r="U7180" s="3"/>
      <c r="V7180" s="3"/>
      <c r="W7180" s="3"/>
      <c r="X7180" s="3"/>
      <c r="Y7180" s="3"/>
    </row>
    <row r="7181">
      <c r="A7181" s="3"/>
      <c r="B7181" s="3"/>
      <c r="C7181" s="3"/>
      <c r="D7181" s="3"/>
      <c r="E7181" s="3"/>
      <c r="F7181" s="3"/>
      <c r="G7181" s="3"/>
      <c r="H7181" s="3"/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  <c r="T7181" s="3"/>
      <c r="U7181" s="3"/>
      <c r="V7181" s="3"/>
      <c r="W7181" s="3"/>
      <c r="X7181" s="3"/>
      <c r="Y7181" s="3"/>
    </row>
    <row r="7182">
      <c r="A7182" s="3"/>
      <c r="B7182" s="3"/>
      <c r="C7182" s="3"/>
      <c r="D7182" s="3"/>
      <c r="E7182" s="3"/>
      <c r="F7182" s="3"/>
      <c r="G7182" s="3"/>
      <c r="H7182" s="3"/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  <c r="T7182" s="3"/>
      <c r="U7182" s="3"/>
      <c r="V7182" s="3"/>
      <c r="W7182" s="3"/>
      <c r="X7182" s="3"/>
      <c r="Y7182" s="3"/>
    </row>
    <row r="7183">
      <c r="A7183" s="3"/>
      <c r="B7183" s="3"/>
      <c r="C7183" s="3"/>
      <c r="D7183" s="3"/>
      <c r="E7183" s="3"/>
      <c r="F7183" s="3"/>
      <c r="G7183" s="3"/>
      <c r="H7183" s="3"/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  <c r="T7183" s="3"/>
      <c r="U7183" s="3"/>
      <c r="V7183" s="3"/>
      <c r="W7183" s="3"/>
      <c r="X7183" s="3"/>
      <c r="Y7183" s="3"/>
    </row>
    <row r="7184">
      <c r="A7184" s="3"/>
      <c r="B7184" s="3"/>
      <c r="C7184" s="3"/>
      <c r="D7184" s="3"/>
      <c r="E7184" s="3"/>
      <c r="F7184" s="3"/>
      <c r="G7184" s="3"/>
      <c r="H7184" s="3"/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  <c r="T7184" s="3"/>
      <c r="U7184" s="3"/>
      <c r="V7184" s="3"/>
      <c r="W7184" s="3"/>
      <c r="X7184" s="3"/>
      <c r="Y7184" s="3"/>
    </row>
    <row r="7185">
      <c r="A7185" s="3"/>
      <c r="B7185" s="3"/>
      <c r="C7185" s="3"/>
      <c r="D7185" s="3"/>
      <c r="E7185" s="3"/>
      <c r="F7185" s="3"/>
      <c r="G7185" s="3"/>
      <c r="H7185" s="3"/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  <c r="T7185" s="3"/>
      <c r="U7185" s="3"/>
      <c r="V7185" s="3"/>
      <c r="W7185" s="3"/>
      <c r="X7185" s="3"/>
      <c r="Y7185" s="3"/>
    </row>
    <row r="7186">
      <c r="A7186" s="3"/>
      <c r="B7186" s="3"/>
      <c r="C7186" s="3"/>
      <c r="D7186" s="3"/>
      <c r="E7186" s="3"/>
      <c r="F7186" s="3"/>
      <c r="G7186" s="3"/>
      <c r="H7186" s="3"/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  <c r="T7186" s="3"/>
      <c r="U7186" s="3"/>
      <c r="V7186" s="3"/>
      <c r="W7186" s="3"/>
      <c r="X7186" s="3"/>
      <c r="Y7186" s="3"/>
    </row>
    <row r="7187">
      <c r="A7187" s="3"/>
      <c r="B7187" s="3"/>
      <c r="C7187" s="3"/>
      <c r="D7187" s="3"/>
      <c r="E7187" s="3"/>
      <c r="F7187" s="3"/>
      <c r="G7187" s="3"/>
      <c r="H7187" s="3"/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  <c r="T7187" s="3"/>
      <c r="U7187" s="3"/>
      <c r="V7187" s="3"/>
      <c r="W7187" s="3"/>
      <c r="X7187" s="3"/>
      <c r="Y7187" s="3"/>
    </row>
    <row r="7188">
      <c r="A7188" s="3"/>
      <c r="B7188" s="3"/>
      <c r="C7188" s="3"/>
      <c r="D7188" s="3"/>
      <c r="E7188" s="3"/>
      <c r="F7188" s="3"/>
      <c r="G7188" s="3"/>
      <c r="H7188" s="3"/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  <c r="T7188" s="3"/>
      <c r="U7188" s="3"/>
      <c r="V7188" s="3"/>
      <c r="W7188" s="3"/>
      <c r="X7188" s="3"/>
      <c r="Y7188" s="3"/>
    </row>
    <row r="7189">
      <c r="A7189" s="3"/>
      <c r="B7189" s="3"/>
      <c r="C7189" s="3"/>
      <c r="D7189" s="3"/>
      <c r="E7189" s="3"/>
      <c r="F7189" s="3"/>
      <c r="G7189" s="3"/>
      <c r="H7189" s="3"/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  <c r="T7189" s="3"/>
      <c r="U7189" s="3"/>
      <c r="V7189" s="3"/>
      <c r="W7189" s="3"/>
      <c r="X7189" s="3"/>
      <c r="Y7189" s="3"/>
    </row>
    <row r="7190">
      <c r="A7190" s="3"/>
      <c r="B7190" s="3"/>
      <c r="C7190" s="3"/>
      <c r="D7190" s="3"/>
      <c r="E7190" s="3"/>
      <c r="F7190" s="3"/>
      <c r="G7190" s="3"/>
      <c r="H7190" s="3"/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  <c r="T7190" s="3"/>
      <c r="U7190" s="3"/>
      <c r="V7190" s="3"/>
      <c r="W7190" s="3"/>
      <c r="X7190" s="3"/>
      <c r="Y7190" s="3"/>
    </row>
    <row r="7191">
      <c r="A7191" s="3"/>
      <c r="B7191" s="3"/>
      <c r="C7191" s="3"/>
      <c r="D7191" s="3"/>
      <c r="E7191" s="3"/>
      <c r="F7191" s="3"/>
      <c r="G7191" s="3"/>
      <c r="H7191" s="3"/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  <c r="T7191" s="3"/>
      <c r="U7191" s="3"/>
      <c r="V7191" s="3"/>
      <c r="W7191" s="3"/>
      <c r="X7191" s="3"/>
      <c r="Y7191" s="3"/>
    </row>
    <row r="7192">
      <c r="A7192" s="3"/>
      <c r="B7192" s="3"/>
      <c r="C7192" s="3"/>
      <c r="D7192" s="3"/>
      <c r="E7192" s="3"/>
      <c r="F7192" s="3"/>
      <c r="G7192" s="3"/>
      <c r="H7192" s="3"/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  <c r="T7192" s="3"/>
      <c r="U7192" s="3"/>
      <c r="V7192" s="3"/>
      <c r="W7192" s="3"/>
      <c r="X7192" s="3"/>
      <c r="Y7192" s="3"/>
    </row>
    <row r="7193">
      <c r="A7193" s="3"/>
      <c r="B7193" s="3"/>
      <c r="C7193" s="3"/>
      <c r="D7193" s="3"/>
      <c r="E7193" s="3"/>
      <c r="F7193" s="3"/>
      <c r="G7193" s="3"/>
      <c r="H7193" s="3"/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  <c r="T7193" s="3"/>
      <c r="U7193" s="3"/>
      <c r="V7193" s="3"/>
      <c r="W7193" s="3"/>
      <c r="X7193" s="3"/>
      <c r="Y7193" s="3"/>
    </row>
    <row r="7194">
      <c r="A7194" s="3"/>
      <c r="B7194" s="3"/>
      <c r="C7194" s="3"/>
      <c r="D7194" s="3"/>
      <c r="E7194" s="3"/>
      <c r="F7194" s="3"/>
      <c r="G7194" s="3"/>
      <c r="H7194" s="3"/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  <c r="T7194" s="3"/>
      <c r="U7194" s="3"/>
      <c r="V7194" s="3"/>
      <c r="W7194" s="3"/>
      <c r="X7194" s="3"/>
      <c r="Y7194" s="3"/>
    </row>
    <row r="7195">
      <c r="A7195" s="3"/>
      <c r="B7195" s="3"/>
      <c r="C7195" s="3"/>
      <c r="D7195" s="3"/>
      <c r="E7195" s="3"/>
      <c r="F7195" s="3"/>
      <c r="G7195" s="3"/>
      <c r="H7195" s="3"/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  <c r="T7195" s="3"/>
      <c r="U7195" s="3"/>
      <c r="V7195" s="3"/>
      <c r="W7195" s="3"/>
      <c r="X7195" s="3"/>
      <c r="Y7195" s="3"/>
    </row>
    <row r="7196">
      <c r="A7196" s="3"/>
      <c r="B7196" s="3"/>
      <c r="C7196" s="3"/>
      <c r="D7196" s="3"/>
      <c r="E7196" s="3"/>
      <c r="F7196" s="3"/>
      <c r="G7196" s="3"/>
      <c r="H7196" s="3"/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  <c r="T7196" s="3"/>
      <c r="U7196" s="3"/>
      <c r="V7196" s="3"/>
      <c r="W7196" s="3"/>
      <c r="X7196" s="3"/>
      <c r="Y7196" s="3"/>
    </row>
    <row r="7197">
      <c r="A7197" s="3"/>
      <c r="B7197" s="3"/>
      <c r="C7197" s="3"/>
      <c r="D7197" s="3"/>
      <c r="E7197" s="3"/>
      <c r="F7197" s="3"/>
      <c r="G7197" s="3"/>
      <c r="H7197" s="3"/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  <c r="T7197" s="3"/>
      <c r="U7197" s="3"/>
      <c r="V7197" s="3"/>
      <c r="W7197" s="3"/>
      <c r="X7197" s="3"/>
      <c r="Y7197" s="3"/>
    </row>
    <row r="7198">
      <c r="A7198" s="3"/>
      <c r="B7198" s="3"/>
      <c r="C7198" s="3"/>
      <c r="D7198" s="3"/>
      <c r="E7198" s="3"/>
      <c r="F7198" s="3"/>
      <c r="G7198" s="3"/>
      <c r="H7198" s="3"/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  <c r="T7198" s="3"/>
      <c r="U7198" s="3"/>
      <c r="V7198" s="3"/>
      <c r="W7198" s="3"/>
      <c r="X7198" s="3"/>
      <c r="Y7198" s="3"/>
    </row>
    <row r="7199">
      <c r="A7199" s="3"/>
      <c r="B7199" s="3"/>
      <c r="C7199" s="3"/>
      <c r="D7199" s="3"/>
      <c r="E7199" s="3"/>
      <c r="F7199" s="3"/>
      <c r="G7199" s="3"/>
      <c r="H7199" s="3"/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  <c r="T7199" s="3"/>
      <c r="U7199" s="3"/>
      <c r="V7199" s="3"/>
      <c r="W7199" s="3"/>
      <c r="X7199" s="3"/>
      <c r="Y7199" s="3"/>
    </row>
    <row r="7200">
      <c r="A7200" s="3"/>
      <c r="B7200" s="3"/>
      <c r="C7200" s="3"/>
      <c r="D7200" s="3"/>
      <c r="E7200" s="3"/>
      <c r="F7200" s="3"/>
      <c r="G7200" s="3"/>
      <c r="H7200" s="3"/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  <c r="T7200" s="3"/>
      <c r="U7200" s="3"/>
      <c r="V7200" s="3"/>
      <c r="W7200" s="3"/>
      <c r="X7200" s="3"/>
      <c r="Y7200" s="3"/>
    </row>
    <row r="7201">
      <c r="A7201" s="3"/>
      <c r="B7201" s="3"/>
      <c r="C7201" s="3"/>
      <c r="D7201" s="3"/>
      <c r="E7201" s="3"/>
      <c r="F7201" s="3"/>
      <c r="G7201" s="3"/>
      <c r="H7201" s="3"/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  <c r="T7201" s="3"/>
      <c r="U7201" s="3"/>
      <c r="V7201" s="3"/>
      <c r="W7201" s="3"/>
      <c r="X7201" s="3"/>
      <c r="Y7201" s="3"/>
    </row>
    <row r="7202">
      <c r="A7202" s="3"/>
      <c r="B7202" s="3"/>
      <c r="C7202" s="3"/>
      <c r="D7202" s="3"/>
      <c r="E7202" s="3"/>
      <c r="F7202" s="3"/>
      <c r="G7202" s="3"/>
      <c r="H7202" s="3"/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  <c r="T7202" s="3"/>
      <c r="U7202" s="3"/>
      <c r="V7202" s="3"/>
      <c r="W7202" s="3"/>
      <c r="X7202" s="3"/>
      <c r="Y7202" s="3"/>
    </row>
    <row r="7203">
      <c r="A7203" s="3"/>
      <c r="B7203" s="3"/>
      <c r="C7203" s="3"/>
      <c r="D7203" s="3"/>
      <c r="E7203" s="3"/>
      <c r="F7203" s="3"/>
      <c r="G7203" s="3"/>
      <c r="H7203" s="3"/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  <c r="T7203" s="3"/>
      <c r="U7203" s="3"/>
      <c r="V7203" s="3"/>
      <c r="W7203" s="3"/>
      <c r="X7203" s="3"/>
      <c r="Y7203" s="3"/>
    </row>
    <row r="7204">
      <c r="A7204" s="3"/>
      <c r="B7204" s="3"/>
      <c r="C7204" s="3"/>
      <c r="D7204" s="3"/>
      <c r="E7204" s="3"/>
      <c r="F7204" s="3"/>
      <c r="G7204" s="3"/>
      <c r="H7204" s="3"/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  <c r="T7204" s="3"/>
      <c r="U7204" s="3"/>
      <c r="V7204" s="3"/>
      <c r="W7204" s="3"/>
      <c r="X7204" s="3"/>
      <c r="Y7204" s="3"/>
    </row>
    <row r="7205">
      <c r="A7205" s="3"/>
      <c r="B7205" s="3"/>
      <c r="C7205" s="3"/>
      <c r="D7205" s="3"/>
      <c r="E7205" s="3"/>
      <c r="F7205" s="3"/>
      <c r="G7205" s="3"/>
      <c r="H7205" s="3"/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  <c r="T7205" s="3"/>
      <c r="U7205" s="3"/>
      <c r="V7205" s="3"/>
      <c r="W7205" s="3"/>
      <c r="X7205" s="3"/>
      <c r="Y7205" s="3"/>
    </row>
    <row r="7206">
      <c r="A7206" s="3"/>
      <c r="B7206" s="3"/>
      <c r="C7206" s="3"/>
      <c r="D7206" s="3"/>
      <c r="E7206" s="3"/>
      <c r="F7206" s="3"/>
      <c r="G7206" s="3"/>
      <c r="H7206" s="3"/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  <c r="T7206" s="3"/>
      <c r="U7206" s="3"/>
      <c r="V7206" s="3"/>
      <c r="W7206" s="3"/>
      <c r="X7206" s="3"/>
      <c r="Y7206" s="3"/>
    </row>
    <row r="7207">
      <c r="A7207" s="3"/>
      <c r="B7207" s="3"/>
      <c r="C7207" s="3"/>
      <c r="D7207" s="3"/>
      <c r="E7207" s="3"/>
      <c r="F7207" s="3"/>
      <c r="G7207" s="3"/>
      <c r="H7207" s="3"/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  <c r="T7207" s="3"/>
      <c r="U7207" s="3"/>
      <c r="V7207" s="3"/>
      <c r="W7207" s="3"/>
      <c r="X7207" s="3"/>
      <c r="Y7207" s="3"/>
    </row>
    <row r="7208">
      <c r="A7208" s="3"/>
      <c r="B7208" s="3"/>
      <c r="C7208" s="3"/>
      <c r="D7208" s="3"/>
      <c r="E7208" s="3"/>
      <c r="F7208" s="3"/>
      <c r="G7208" s="3"/>
      <c r="H7208" s="3"/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  <c r="T7208" s="3"/>
      <c r="U7208" s="3"/>
      <c r="V7208" s="3"/>
      <c r="W7208" s="3"/>
      <c r="X7208" s="3"/>
      <c r="Y7208" s="3"/>
    </row>
    <row r="7209">
      <c r="A7209" s="3"/>
      <c r="B7209" s="3"/>
      <c r="C7209" s="3"/>
      <c r="D7209" s="3"/>
      <c r="E7209" s="3"/>
      <c r="F7209" s="3"/>
      <c r="G7209" s="3"/>
      <c r="H7209" s="3"/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  <c r="T7209" s="3"/>
      <c r="U7209" s="3"/>
      <c r="V7209" s="3"/>
      <c r="W7209" s="3"/>
      <c r="X7209" s="3"/>
      <c r="Y7209" s="3"/>
    </row>
    <row r="7210">
      <c r="A7210" s="3"/>
      <c r="B7210" s="3"/>
      <c r="C7210" s="3"/>
      <c r="D7210" s="3"/>
      <c r="E7210" s="3"/>
      <c r="F7210" s="3"/>
      <c r="G7210" s="3"/>
      <c r="H7210" s="3"/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  <c r="T7210" s="3"/>
      <c r="U7210" s="3"/>
      <c r="V7210" s="3"/>
      <c r="W7210" s="3"/>
      <c r="X7210" s="3"/>
      <c r="Y7210" s="3"/>
    </row>
    <row r="7211">
      <c r="A7211" s="3"/>
      <c r="B7211" s="3"/>
      <c r="C7211" s="3"/>
      <c r="D7211" s="3"/>
      <c r="E7211" s="3"/>
      <c r="F7211" s="3"/>
      <c r="G7211" s="3"/>
      <c r="H7211" s="3"/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  <c r="T7211" s="3"/>
      <c r="U7211" s="3"/>
      <c r="V7211" s="3"/>
      <c r="W7211" s="3"/>
      <c r="X7211" s="3"/>
      <c r="Y7211" s="3"/>
    </row>
    <row r="7212">
      <c r="A7212" s="3"/>
      <c r="B7212" s="3"/>
      <c r="C7212" s="3"/>
      <c r="D7212" s="3"/>
      <c r="E7212" s="3"/>
      <c r="F7212" s="3"/>
      <c r="G7212" s="3"/>
      <c r="H7212" s="3"/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  <c r="T7212" s="3"/>
      <c r="U7212" s="3"/>
      <c r="V7212" s="3"/>
      <c r="W7212" s="3"/>
      <c r="X7212" s="3"/>
      <c r="Y7212" s="3"/>
    </row>
    <row r="7213">
      <c r="A7213" s="3"/>
      <c r="B7213" s="3"/>
      <c r="C7213" s="3"/>
      <c r="D7213" s="3"/>
      <c r="E7213" s="3"/>
      <c r="F7213" s="3"/>
      <c r="G7213" s="3"/>
      <c r="H7213" s="3"/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  <c r="T7213" s="3"/>
      <c r="U7213" s="3"/>
      <c r="V7213" s="3"/>
      <c r="W7213" s="3"/>
      <c r="X7213" s="3"/>
      <c r="Y7213" s="3"/>
    </row>
    <row r="7214">
      <c r="A7214" s="3"/>
      <c r="B7214" s="3"/>
      <c r="C7214" s="3"/>
      <c r="D7214" s="3"/>
      <c r="E7214" s="3"/>
      <c r="F7214" s="3"/>
      <c r="G7214" s="3"/>
      <c r="H7214" s="3"/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  <c r="T7214" s="3"/>
      <c r="U7214" s="3"/>
      <c r="V7214" s="3"/>
      <c r="W7214" s="3"/>
      <c r="X7214" s="3"/>
      <c r="Y7214" s="3"/>
    </row>
    <row r="7215">
      <c r="A7215" s="3"/>
      <c r="B7215" s="3"/>
      <c r="C7215" s="3"/>
      <c r="D7215" s="3"/>
      <c r="E7215" s="3"/>
      <c r="F7215" s="3"/>
      <c r="G7215" s="3"/>
      <c r="H7215" s="3"/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  <c r="T7215" s="3"/>
      <c r="U7215" s="3"/>
      <c r="V7215" s="3"/>
      <c r="W7215" s="3"/>
      <c r="X7215" s="3"/>
      <c r="Y7215" s="3"/>
    </row>
    <row r="7216">
      <c r="A7216" s="3"/>
      <c r="B7216" s="3"/>
      <c r="C7216" s="3"/>
      <c r="D7216" s="3"/>
      <c r="E7216" s="3"/>
      <c r="F7216" s="3"/>
      <c r="G7216" s="3"/>
      <c r="H7216" s="3"/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  <c r="T7216" s="3"/>
      <c r="U7216" s="3"/>
      <c r="V7216" s="3"/>
      <c r="W7216" s="3"/>
      <c r="X7216" s="3"/>
      <c r="Y7216" s="3"/>
    </row>
    <row r="7217">
      <c r="A7217" s="3"/>
      <c r="B7217" s="3"/>
      <c r="C7217" s="3"/>
      <c r="D7217" s="3"/>
      <c r="E7217" s="3"/>
      <c r="F7217" s="3"/>
      <c r="G7217" s="3"/>
      <c r="H7217" s="3"/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  <c r="T7217" s="3"/>
      <c r="U7217" s="3"/>
      <c r="V7217" s="3"/>
      <c r="W7217" s="3"/>
      <c r="X7217" s="3"/>
      <c r="Y7217" s="3"/>
    </row>
    <row r="7218">
      <c r="A7218" s="3"/>
      <c r="B7218" s="3"/>
      <c r="C7218" s="3"/>
      <c r="D7218" s="3"/>
      <c r="E7218" s="3"/>
      <c r="F7218" s="3"/>
      <c r="G7218" s="3"/>
      <c r="H7218" s="3"/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  <c r="T7218" s="3"/>
      <c r="U7218" s="3"/>
      <c r="V7218" s="3"/>
      <c r="W7218" s="3"/>
      <c r="X7218" s="3"/>
      <c r="Y7218" s="3"/>
    </row>
    <row r="7219">
      <c r="A7219" s="3"/>
      <c r="B7219" s="3"/>
      <c r="C7219" s="3"/>
      <c r="D7219" s="3"/>
      <c r="E7219" s="3"/>
      <c r="F7219" s="3"/>
      <c r="G7219" s="3"/>
      <c r="H7219" s="3"/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  <c r="T7219" s="3"/>
      <c r="U7219" s="3"/>
      <c r="V7219" s="3"/>
      <c r="W7219" s="3"/>
      <c r="X7219" s="3"/>
      <c r="Y7219" s="3"/>
    </row>
    <row r="7220">
      <c r="A7220" s="3"/>
      <c r="B7220" s="3"/>
      <c r="C7220" s="3"/>
      <c r="D7220" s="3"/>
      <c r="E7220" s="3"/>
      <c r="F7220" s="3"/>
      <c r="G7220" s="3"/>
      <c r="H7220" s="3"/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  <c r="T7220" s="3"/>
      <c r="U7220" s="3"/>
      <c r="V7220" s="3"/>
      <c r="W7220" s="3"/>
      <c r="X7220" s="3"/>
      <c r="Y7220" s="3"/>
    </row>
    <row r="7221">
      <c r="A7221" s="3"/>
      <c r="B7221" s="3"/>
      <c r="C7221" s="3"/>
      <c r="D7221" s="3"/>
      <c r="E7221" s="3"/>
      <c r="F7221" s="3"/>
      <c r="G7221" s="3"/>
      <c r="H7221" s="3"/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  <c r="T7221" s="3"/>
      <c r="U7221" s="3"/>
      <c r="V7221" s="3"/>
      <c r="W7221" s="3"/>
      <c r="X7221" s="3"/>
      <c r="Y7221" s="3"/>
    </row>
    <row r="7222">
      <c r="A7222" s="3"/>
      <c r="B7222" s="3"/>
      <c r="C7222" s="3"/>
      <c r="D7222" s="3"/>
      <c r="E7222" s="3"/>
      <c r="F7222" s="3"/>
      <c r="G7222" s="3"/>
      <c r="H7222" s="3"/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  <c r="T7222" s="3"/>
      <c r="U7222" s="3"/>
      <c r="V7222" s="3"/>
      <c r="W7222" s="3"/>
      <c r="X7222" s="3"/>
      <c r="Y7222" s="3"/>
    </row>
    <row r="7223">
      <c r="A7223" s="3"/>
      <c r="B7223" s="3"/>
      <c r="C7223" s="3"/>
      <c r="D7223" s="3"/>
      <c r="E7223" s="3"/>
      <c r="F7223" s="3"/>
      <c r="G7223" s="3"/>
      <c r="H7223" s="3"/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  <c r="T7223" s="3"/>
      <c r="U7223" s="3"/>
      <c r="V7223" s="3"/>
      <c r="W7223" s="3"/>
      <c r="X7223" s="3"/>
      <c r="Y7223" s="3"/>
    </row>
    <row r="7224">
      <c r="A7224" s="3"/>
      <c r="B7224" s="3"/>
      <c r="C7224" s="3"/>
      <c r="D7224" s="3"/>
      <c r="E7224" s="3"/>
      <c r="F7224" s="3"/>
      <c r="G7224" s="3"/>
      <c r="H7224" s="3"/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  <c r="T7224" s="3"/>
      <c r="U7224" s="3"/>
      <c r="V7224" s="3"/>
      <c r="W7224" s="3"/>
      <c r="X7224" s="3"/>
      <c r="Y7224" s="3"/>
    </row>
    <row r="7225">
      <c r="A7225" s="3"/>
      <c r="B7225" s="3"/>
      <c r="C7225" s="3"/>
      <c r="D7225" s="3"/>
      <c r="E7225" s="3"/>
      <c r="F7225" s="3"/>
      <c r="G7225" s="3"/>
      <c r="H7225" s="3"/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  <c r="T7225" s="3"/>
      <c r="U7225" s="3"/>
      <c r="V7225" s="3"/>
      <c r="W7225" s="3"/>
      <c r="X7225" s="3"/>
      <c r="Y7225" s="3"/>
    </row>
    <row r="7226">
      <c r="A7226" s="3"/>
      <c r="B7226" s="3"/>
      <c r="C7226" s="3"/>
      <c r="D7226" s="3"/>
      <c r="E7226" s="3"/>
      <c r="F7226" s="3"/>
      <c r="G7226" s="3"/>
      <c r="H7226" s="3"/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  <c r="T7226" s="3"/>
      <c r="U7226" s="3"/>
      <c r="V7226" s="3"/>
      <c r="W7226" s="3"/>
      <c r="X7226" s="3"/>
      <c r="Y7226" s="3"/>
    </row>
    <row r="7227">
      <c r="A7227" s="3"/>
      <c r="B7227" s="3"/>
      <c r="C7227" s="3"/>
      <c r="D7227" s="3"/>
      <c r="E7227" s="3"/>
      <c r="F7227" s="3"/>
      <c r="G7227" s="3"/>
      <c r="H7227" s="3"/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  <c r="T7227" s="3"/>
      <c r="U7227" s="3"/>
      <c r="V7227" s="3"/>
      <c r="W7227" s="3"/>
      <c r="X7227" s="3"/>
      <c r="Y7227" s="3"/>
    </row>
    <row r="7228">
      <c r="A7228" s="3"/>
      <c r="B7228" s="3"/>
      <c r="C7228" s="3"/>
      <c r="D7228" s="3"/>
      <c r="E7228" s="3"/>
      <c r="F7228" s="3"/>
      <c r="G7228" s="3"/>
      <c r="H7228" s="3"/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  <c r="T7228" s="3"/>
      <c r="U7228" s="3"/>
      <c r="V7228" s="3"/>
      <c r="W7228" s="3"/>
      <c r="X7228" s="3"/>
      <c r="Y7228" s="3"/>
    </row>
    <row r="7229">
      <c r="A7229" s="3"/>
      <c r="B7229" s="3"/>
      <c r="C7229" s="3"/>
      <c r="D7229" s="3"/>
      <c r="E7229" s="3"/>
      <c r="F7229" s="3"/>
      <c r="G7229" s="3"/>
      <c r="H7229" s="3"/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  <c r="T7229" s="3"/>
      <c r="U7229" s="3"/>
      <c r="V7229" s="3"/>
      <c r="W7229" s="3"/>
      <c r="X7229" s="3"/>
      <c r="Y7229" s="3"/>
    </row>
    <row r="7230">
      <c r="A7230" s="3"/>
      <c r="B7230" s="3"/>
      <c r="C7230" s="3"/>
      <c r="D7230" s="3"/>
      <c r="E7230" s="3"/>
      <c r="F7230" s="3"/>
      <c r="G7230" s="3"/>
      <c r="H7230" s="3"/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  <c r="T7230" s="3"/>
      <c r="U7230" s="3"/>
      <c r="V7230" s="3"/>
      <c r="W7230" s="3"/>
      <c r="X7230" s="3"/>
      <c r="Y7230" s="3"/>
    </row>
    <row r="7231">
      <c r="A7231" s="3"/>
      <c r="B7231" s="3"/>
      <c r="C7231" s="3"/>
      <c r="D7231" s="3"/>
      <c r="E7231" s="3"/>
      <c r="F7231" s="3"/>
      <c r="G7231" s="3"/>
      <c r="H7231" s="3"/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  <c r="T7231" s="3"/>
      <c r="U7231" s="3"/>
      <c r="V7231" s="3"/>
      <c r="W7231" s="3"/>
      <c r="X7231" s="3"/>
      <c r="Y7231" s="3"/>
    </row>
    <row r="7232">
      <c r="A7232" s="3"/>
      <c r="B7232" s="3"/>
      <c r="C7232" s="3"/>
      <c r="D7232" s="3"/>
      <c r="E7232" s="3"/>
      <c r="F7232" s="3"/>
      <c r="G7232" s="3"/>
      <c r="H7232" s="3"/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  <c r="T7232" s="3"/>
      <c r="U7232" s="3"/>
      <c r="V7232" s="3"/>
      <c r="W7232" s="3"/>
      <c r="X7232" s="3"/>
      <c r="Y7232" s="3"/>
    </row>
    <row r="7233">
      <c r="A7233" s="3"/>
      <c r="B7233" s="3"/>
      <c r="C7233" s="3"/>
      <c r="D7233" s="3"/>
      <c r="E7233" s="3"/>
      <c r="F7233" s="3"/>
      <c r="G7233" s="3"/>
      <c r="H7233" s="3"/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  <c r="T7233" s="3"/>
      <c r="U7233" s="3"/>
      <c r="V7233" s="3"/>
      <c r="W7233" s="3"/>
      <c r="X7233" s="3"/>
      <c r="Y7233" s="3"/>
    </row>
    <row r="7234">
      <c r="A7234" s="3"/>
      <c r="B7234" s="3"/>
      <c r="C7234" s="3"/>
      <c r="D7234" s="3"/>
      <c r="E7234" s="3"/>
      <c r="F7234" s="3"/>
      <c r="G7234" s="3"/>
      <c r="H7234" s="3"/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  <c r="T7234" s="3"/>
      <c r="U7234" s="3"/>
      <c r="V7234" s="3"/>
      <c r="W7234" s="3"/>
      <c r="X7234" s="3"/>
      <c r="Y7234" s="3"/>
    </row>
    <row r="7235">
      <c r="A7235" s="3"/>
      <c r="B7235" s="3"/>
      <c r="C7235" s="3"/>
      <c r="D7235" s="3"/>
      <c r="E7235" s="3"/>
      <c r="F7235" s="3"/>
      <c r="G7235" s="3"/>
      <c r="H7235" s="3"/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  <c r="T7235" s="3"/>
      <c r="U7235" s="3"/>
      <c r="V7235" s="3"/>
      <c r="W7235" s="3"/>
      <c r="X7235" s="3"/>
      <c r="Y7235" s="3"/>
    </row>
    <row r="7236">
      <c r="A7236" s="3"/>
      <c r="B7236" s="3"/>
      <c r="C7236" s="3"/>
      <c r="D7236" s="3"/>
      <c r="E7236" s="3"/>
      <c r="F7236" s="3"/>
      <c r="G7236" s="3"/>
      <c r="H7236" s="3"/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  <c r="T7236" s="3"/>
      <c r="U7236" s="3"/>
      <c r="V7236" s="3"/>
      <c r="W7236" s="3"/>
      <c r="X7236" s="3"/>
      <c r="Y7236" s="3"/>
    </row>
    <row r="7237">
      <c r="A7237" s="3"/>
      <c r="B7237" s="3"/>
      <c r="C7237" s="3"/>
      <c r="D7237" s="3"/>
      <c r="E7237" s="3"/>
      <c r="F7237" s="3"/>
      <c r="G7237" s="3"/>
      <c r="H7237" s="3"/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  <c r="T7237" s="3"/>
      <c r="U7237" s="3"/>
      <c r="V7237" s="3"/>
      <c r="W7237" s="3"/>
      <c r="X7237" s="3"/>
      <c r="Y7237" s="3"/>
    </row>
    <row r="7238">
      <c r="A7238" s="3"/>
      <c r="B7238" s="3"/>
      <c r="C7238" s="3"/>
      <c r="D7238" s="3"/>
      <c r="E7238" s="3"/>
      <c r="F7238" s="3"/>
      <c r="G7238" s="3"/>
      <c r="H7238" s="3"/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  <c r="T7238" s="3"/>
      <c r="U7238" s="3"/>
      <c r="V7238" s="3"/>
      <c r="W7238" s="3"/>
      <c r="X7238" s="3"/>
      <c r="Y7238" s="3"/>
    </row>
    <row r="7239">
      <c r="A7239" s="3"/>
      <c r="B7239" s="3"/>
      <c r="C7239" s="3"/>
      <c r="D7239" s="3"/>
      <c r="E7239" s="3"/>
      <c r="F7239" s="3"/>
      <c r="G7239" s="3"/>
      <c r="H7239" s="3"/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  <c r="T7239" s="3"/>
      <c r="U7239" s="3"/>
      <c r="V7239" s="3"/>
      <c r="W7239" s="3"/>
      <c r="X7239" s="3"/>
      <c r="Y7239" s="3"/>
    </row>
    <row r="7240">
      <c r="A7240" s="3"/>
      <c r="B7240" s="3"/>
      <c r="C7240" s="3"/>
      <c r="D7240" s="3"/>
      <c r="E7240" s="3"/>
      <c r="F7240" s="3"/>
      <c r="G7240" s="3"/>
      <c r="H7240" s="3"/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  <c r="T7240" s="3"/>
      <c r="U7240" s="3"/>
      <c r="V7240" s="3"/>
      <c r="W7240" s="3"/>
      <c r="X7240" s="3"/>
      <c r="Y7240" s="3"/>
    </row>
    <row r="7241">
      <c r="A7241" s="3"/>
      <c r="B7241" s="3"/>
      <c r="C7241" s="3"/>
      <c r="D7241" s="3"/>
      <c r="E7241" s="3"/>
      <c r="F7241" s="3"/>
      <c r="G7241" s="3"/>
      <c r="H7241" s="3"/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  <c r="T7241" s="3"/>
      <c r="U7241" s="3"/>
      <c r="V7241" s="3"/>
      <c r="W7241" s="3"/>
      <c r="X7241" s="3"/>
      <c r="Y7241" s="3"/>
    </row>
    <row r="7242">
      <c r="A7242" s="3"/>
      <c r="B7242" s="3"/>
      <c r="C7242" s="3"/>
      <c r="D7242" s="3"/>
      <c r="E7242" s="3"/>
      <c r="F7242" s="3"/>
      <c r="G7242" s="3"/>
      <c r="H7242" s="3"/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  <c r="T7242" s="3"/>
      <c r="U7242" s="3"/>
      <c r="V7242" s="3"/>
      <c r="W7242" s="3"/>
      <c r="X7242" s="3"/>
      <c r="Y7242" s="3"/>
    </row>
    <row r="7243">
      <c r="A7243" s="3"/>
      <c r="B7243" s="3"/>
      <c r="C7243" s="3"/>
      <c r="D7243" s="3"/>
      <c r="E7243" s="3"/>
      <c r="F7243" s="3"/>
      <c r="G7243" s="3"/>
      <c r="H7243" s="3"/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  <c r="T7243" s="3"/>
      <c r="U7243" s="3"/>
      <c r="V7243" s="3"/>
      <c r="W7243" s="3"/>
      <c r="X7243" s="3"/>
      <c r="Y7243" s="3"/>
    </row>
    <row r="7244">
      <c r="A7244" s="3"/>
      <c r="B7244" s="3"/>
      <c r="C7244" s="3"/>
      <c r="D7244" s="3"/>
      <c r="E7244" s="3"/>
      <c r="F7244" s="3"/>
      <c r="G7244" s="3"/>
      <c r="H7244" s="3"/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  <c r="T7244" s="3"/>
      <c r="U7244" s="3"/>
      <c r="V7244" s="3"/>
      <c r="W7244" s="3"/>
      <c r="X7244" s="3"/>
      <c r="Y7244" s="3"/>
    </row>
    <row r="7245">
      <c r="A7245" s="3"/>
      <c r="B7245" s="3"/>
      <c r="C7245" s="3"/>
      <c r="D7245" s="3"/>
      <c r="E7245" s="3"/>
      <c r="F7245" s="3"/>
      <c r="G7245" s="3"/>
      <c r="H7245" s="3"/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  <c r="T7245" s="3"/>
      <c r="U7245" s="3"/>
      <c r="V7245" s="3"/>
      <c r="W7245" s="3"/>
      <c r="X7245" s="3"/>
      <c r="Y7245" s="3"/>
    </row>
    <row r="7246">
      <c r="A7246" s="3"/>
      <c r="B7246" s="3"/>
      <c r="C7246" s="3"/>
      <c r="D7246" s="3"/>
      <c r="E7246" s="3"/>
      <c r="F7246" s="3"/>
      <c r="G7246" s="3"/>
      <c r="H7246" s="3"/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  <c r="T7246" s="3"/>
      <c r="U7246" s="3"/>
      <c r="V7246" s="3"/>
      <c r="W7246" s="3"/>
      <c r="X7246" s="3"/>
      <c r="Y7246" s="3"/>
    </row>
    <row r="7247">
      <c r="A7247" s="3"/>
      <c r="B7247" s="3"/>
      <c r="C7247" s="3"/>
      <c r="D7247" s="3"/>
      <c r="E7247" s="3"/>
      <c r="F7247" s="3"/>
      <c r="G7247" s="3"/>
      <c r="H7247" s="3"/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  <c r="T7247" s="3"/>
      <c r="U7247" s="3"/>
      <c r="V7247" s="3"/>
      <c r="W7247" s="3"/>
      <c r="X7247" s="3"/>
      <c r="Y7247" s="3"/>
    </row>
    <row r="7248">
      <c r="A7248" s="3"/>
      <c r="B7248" s="3"/>
      <c r="C7248" s="3"/>
      <c r="D7248" s="3"/>
      <c r="E7248" s="3"/>
      <c r="F7248" s="3"/>
      <c r="G7248" s="3"/>
      <c r="H7248" s="3"/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  <c r="T7248" s="3"/>
      <c r="U7248" s="3"/>
      <c r="V7248" s="3"/>
      <c r="W7248" s="3"/>
      <c r="X7248" s="3"/>
      <c r="Y7248" s="3"/>
    </row>
    <row r="7249">
      <c r="A7249" s="3"/>
      <c r="B7249" s="3"/>
      <c r="C7249" s="3"/>
      <c r="D7249" s="3"/>
      <c r="E7249" s="3"/>
      <c r="F7249" s="3"/>
      <c r="G7249" s="3"/>
      <c r="H7249" s="3"/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  <c r="T7249" s="3"/>
      <c r="U7249" s="3"/>
      <c r="V7249" s="3"/>
      <c r="W7249" s="3"/>
      <c r="X7249" s="3"/>
      <c r="Y7249" s="3"/>
    </row>
    <row r="7250">
      <c r="A7250" s="3"/>
      <c r="B7250" s="3"/>
      <c r="C7250" s="3"/>
      <c r="D7250" s="3"/>
      <c r="E7250" s="3"/>
      <c r="F7250" s="3"/>
      <c r="G7250" s="3"/>
      <c r="H7250" s="3"/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  <c r="T7250" s="3"/>
      <c r="U7250" s="3"/>
      <c r="V7250" s="3"/>
      <c r="W7250" s="3"/>
      <c r="X7250" s="3"/>
      <c r="Y7250" s="3"/>
    </row>
    <row r="7251">
      <c r="A7251" s="3"/>
      <c r="B7251" s="3"/>
      <c r="C7251" s="3"/>
      <c r="D7251" s="3"/>
      <c r="E7251" s="3"/>
      <c r="F7251" s="3"/>
      <c r="G7251" s="3"/>
      <c r="H7251" s="3"/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  <c r="T7251" s="3"/>
      <c r="U7251" s="3"/>
      <c r="V7251" s="3"/>
      <c r="W7251" s="3"/>
      <c r="X7251" s="3"/>
      <c r="Y7251" s="3"/>
    </row>
    <row r="7252">
      <c r="A7252" s="3"/>
      <c r="B7252" s="3"/>
      <c r="C7252" s="3"/>
      <c r="D7252" s="3"/>
      <c r="E7252" s="3"/>
      <c r="F7252" s="3"/>
      <c r="G7252" s="3"/>
      <c r="H7252" s="3"/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  <c r="T7252" s="3"/>
      <c r="U7252" s="3"/>
      <c r="V7252" s="3"/>
      <c r="W7252" s="3"/>
      <c r="X7252" s="3"/>
      <c r="Y7252" s="3"/>
    </row>
    <row r="7253">
      <c r="A7253" s="3"/>
      <c r="B7253" s="3"/>
      <c r="C7253" s="3"/>
      <c r="D7253" s="3"/>
      <c r="E7253" s="3"/>
      <c r="F7253" s="3"/>
      <c r="G7253" s="3"/>
      <c r="H7253" s="3"/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  <c r="T7253" s="3"/>
      <c r="U7253" s="3"/>
      <c r="V7253" s="3"/>
      <c r="W7253" s="3"/>
      <c r="X7253" s="3"/>
      <c r="Y7253" s="3"/>
    </row>
    <row r="7254">
      <c r="A7254" s="3"/>
      <c r="B7254" s="3"/>
      <c r="C7254" s="3"/>
      <c r="D7254" s="3"/>
      <c r="E7254" s="3"/>
      <c r="F7254" s="3"/>
      <c r="G7254" s="3"/>
      <c r="H7254" s="3"/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  <c r="T7254" s="3"/>
      <c r="U7254" s="3"/>
      <c r="V7254" s="3"/>
      <c r="W7254" s="3"/>
      <c r="X7254" s="3"/>
      <c r="Y7254" s="3"/>
    </row>
    <row r="7255">
      <c r="A7255" s="3"/>
      <c r="B7255" s="3"/>
      <c r="C7255" s="3"/>
      <c r="D7255" s="3"/>
      <c r="E7255" s="3"/>
      <c r="F7255" s="3"/>
      <c r="G7255" s="3"/>
      <c r="H7255" s="3"/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  <c r="T7255" s="3"/>
      <c r="U7255" s="3"/>
      <c r="V7255" s="3"/>
      <c r="W7255" s="3"/>
      <c r="X7255" s="3"/>
      <c r="Y7255" s="3"/>
    </row>
    <row r="7256">
      <c r="A7256" s="3"/>
      <c r="B7256" s="3"/>
      <c r="C7256" s="3"/>
      <c r="D7256" s="3"/>
      <c r="E7256" s="3"/>
      <c r="F7256" s="3"/>
      <c r="G7256" s="3"/>
      <c r="H7256" s="3"/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  <c r="T7256" s="3"/>
      <c r="U7256" s="3"/>
      <c r="V7256" s="3"/>
      <c r="W7256" s="3"/>
      <c r="X7256" s="3"/>
      <c r="Y7256" s="3"/>
    </row>
    <row r="7257">
      <c r="A7257" s="3"/>
      <c r="B7257" s="3"/>
      <c r="C7257" s="3"/>
      <c r="D7257" s="3"/>
      <c r="E7257" s="3"/>
      <c r="F7257" s="3"/>
      <c r="G7257" s="3"/>
      <c r="H7257" s="3"/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  <c r="T7257" s="3"/>
      <c r="U7257" s="3"/>
      <c r="V7257" s="3"/>
      <c r="W7257" s="3"/>
      <c r="X7257" s="3"/>
      <c r="Y7257" s="3"/>
    </row>
    <row r="7258">
      <c r="A7258" s="3"/>
      <c r="B7258" s="3"/>
      <c r="C7258" s="3"/>
      <c r="D7258" s="3"/>
      <c r="E7258" s="3"/>
      <c r="F7258" s="3"/>
      <c r="G7258" s="3"/>
      <c r="H7258" s="3"/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  <c r="T7258" s="3"/>
      <c r="U7258" s="3"/>
      <c r="V7258" s="3"/>
      <c r="W7258" s="3"/>
      <c r="X7258" s="3"/>
      <c r="Y7258" s="3"/>
    </row>
    <row r="7259">
      <c r="A7259" s="3"/>
      <c r="B7259" s="3"/>
      <c r="C7259" s="3"/>
      <c r="D7259" s="3"/>
      <c r="E7259" s="3"/>
      <c r="F7259" s="3"/>
      <c r="G7259" s="3"/>
      <c r="H7259" s="3"/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  <c r="T7259" s="3"/>
      <c r="U7259" s="3"/>
      <c r="V7259" s="3"/>
      <c r="W7259" s="3"/>
      <c r="X7259" s="3"/>
      <c r="Y7259" s="3"/>
    </row>
    <row r="7260">
      <c r="A7260" s="3"/>
      <c r="B7260" s="3"/>
      <c r="C7260" s="3"/>
      <c r="D7260" s="3"/>
      <c r="E7260" s="3"/>
      <c r="F7260" s="3"/>
      <c r="G7260" s="3"/>
      <c r="H7260" s="3"/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  <c r="T7260" s="3"/>
      <c r="U7260" s="3"/>
      <c r="V7260" s="3"/>
      <c r="W7260" s="3"/>
      <c r="X7260" s="3"/>
      <c r="Y7260" s="3"/>
    </row>
    <row r="7261">
      <c r="A7261" s="3"/>
      <c r="B7261" s="3"/>
      <c r="C7261" s="3"/>
      <c r="D7261" s="3"/>
      <c r="E7261" s="3"/>
      <c r="F7261" s="3"/>
      <c r="G7261" s="3"/>
      <c r="H7261" s="3"/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  <c r="T7261" s="3"/>
      <c r="U7261" s="3"/>
      <c r="V7261" s="3"/>
      <c r="W7261" s="3"/>
      <c r="X7261" s="3"/>
      <c r="Y7261" s="3"/>
    </row>
    <row r="7262">
      <c r="A7262" s="3"/>
      <c r="B7262" s="3"/>
      <c r="C7262" s="3"/>
      <c r="D7262" s="3"/>
      <c r="E7262" s="3"/>
      <c r="F7262" s="3"/>
      <c r="G7262" s="3"/>
      <c r="H7262" s="3"/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  <c r="T7262" s="3"/>
      <c r="U7262" s="3"/>
      <c r="V7262" s="3"/>
      <c r="W7262" s="3"/>
      <c r="X7262" s="3"/>
      <c r="Y7262" s="3"/>
    </row>
    <row r="7263">
      <c r="A7263" s="3"/>
      <c r="B7263" s="3"/>
      <c r="C7263" s="3"/>
      <c r="D7263" s="3"/>
      <c r="E7263" s="3"/>
      <c r="F7263" s="3"/>
      <c r="G7263" s="3"/>
      <c r="H7263" s="3"/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  <c r="T7263" s="3"/>
      <c r="U7263" s="3"/>
      <c r="V7263" s="3"/>
      <c r="W7263" s="3"/>
      <c r="X7263" s="3"/>
      <c r="Y7263" s="3"/>
    </row>
    <row r="7264">
      <c r="A7264" s="3"/>
      <c r="B7264" s="3"/>
      <c r="C7264" s="3"/>
      <c r="D7264" s="3"/>
      <c r="E7264" s="3"/>
      <c r="F7264" s="3"/>
      <c r="G7264" s="3"/>
      <c r="H7264" s="3"/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  <c r="T7264" s="3"/>
      <c r="U7264" s="3"/>
      <c r="V7264" s="3"/>
      <c r="W7264" s="3"/>
      <c r="X7264" s="3"/>
      <c r="Y7264" s="3"/>
    </row>
    <row r="7265">
      <c r="A7265" s="3"/>
      <c r="B7265" s="3"/>
      <c r="C7265" s="3"/>
      <c r="D7265" s="3"/>
      <c r="E7265" s="3"/>
      <c r="F7265" s="3"/>
      <c r="G7265" s="3"/>
      <c r="H7265" s="3"/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  <c r="T7265" s="3"/>
      <c r="U7265" s="3"/>
      <c r="V7265" s="3"/>
      <c r="W7265" s="3"/>
      <c r="X7265" s="3"/>
      <c r="Y7265" s="3"/>
    </row>
    <row r="7266">
      <c r="A7266" s="3"/>
      <c r="B7266" s="3"/>
      <c r="C7266" s="3"/>
      <c r="D7266" s="3"/>
      <c r="E7266" s="3"/>
      <c r="F7266" s="3"/>
      <c r="G7266" s="3"/>
      <c r="H7266" s="3"/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  <c r="T7266" s="3"/>
      <c r="U7266" s="3"/>
      <c r="V7266" s="3"/>
      <c r="W7266" s="3"/>
      <c r="X7266" s="3"/>
      <c r="Y7266" s="3"/>
    </row>
    <row r="7267">
      <c r="A7267" s="3"/>
      <c r="B7267" s="3"/>
      <c r="C7267" s="3"/>
      <c r="D7267" s="3"/>
      <c r="E7267" s="3"/>
      <c r="F7267" s="3"/>
      <c r="G7267" s="3"/>
      <c r="H7267" s="3"/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  <c r="T7267" s="3"/>
      <c r="U7267" s="3"/>
      <c r="V7267" s="3"/>
      <c r="W7267" s="3"/>
      <c r="X7267" s="3"/>
      <c r="Y7267" s="3"/>
    </row>
    <row r="7268">
      <c r="A7268" s="3"/>
      <c r="B7268" s="3"/>
      <c r="C7268" s="3"/>
      <c r="D7268" s="3"/>
      <c r="E7268" s="3"/>
      <c r="F7268" s="3"/>
      <c r="G7268" s="3"/>
      <c r="H7268" s="3"/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  <c r="T7268" s="3"/>
      <c r="U7268" s="3"/>
      <c r="V7268" s="3"/>
      <c r="W7268" s="3"/>
      <c r="X7268" s="3"/>
      <c r="Y7268" s="3"/>
    </row>
    <row r="7269">
      <c r="A7269" s="3"/>
      <c r="B7269" s="3"/>
      <c r="C7269" s="3"/>
      <c r="D7269" s="3"/>
      <c r="E7269" s="3"/>
      <c r="F7269" s="3"/>
      <c r="G7269" s="3"/>
      <c r="H7269" s="3"/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  <c r="T7269" s="3"/>
      <c r="U7269" s="3"/>
      <c r="V7269" s="3"/>
      <c r="W7269" s="3"/>
      <c r="X7269" s="3"/>
      <c r="Y7269" s="3"/>
    </row>
    <row r="7270">
      <c r="A7270" s="3"/>
      <c r="B7270" s="3"/>
      <c r="C7270" s="3"/>
      <c r="D7270" s="3"/>
      <c r="E7270" s="3"/>
      <c r="F7270" s="3"/>
      <c r="G7270" s="3"/>
      <c r="H7270" s="3"/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  <c r="T7270" s="3"/>
      <c r="U7270" s="3"/>
      <c r="V7270" s="3"/>
      <c r="W7270" s="3"/>
      <c r="X7270" s="3"/>
      <c r="Y7270" s="3"/>
    </row>
    <row r="7271">
      <c r="A7271" s="3"/>
      <c r="B7271" s="3"/>
      <c r="C7271" s="3"/>
      <c r="D7271" s="3"/>
      <c r="E7271" s="3"/>
      <c r="F7271" s="3"/>
      <c r="G7271" s="3"/>
      <c r="H7271" s="3"/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  <c r="T7271" s="3"/>
      <c r="U7271" s="3"/>
      <c r="V7271" s="3"/>
      <c r="W7271" s="3"/>
      <c r="X7271" s="3"/>
      <c r="Y7271" s="3"/>
    </row>
    <row r="7272">
      <c r="A7272" s="3"/>
      <c r="B7272" s="3"/>
      <c r="C7272" s="3"/>
      <c r="D7272" s="3"/>
      <c r="E7272" s="3"/>
      <c r="F7272" s="3"/>
      <c r="G7272" s="3"/>
      <c r="H7272" s="3"/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  <c r="T7272" s="3"/>
      <c r="U7272" s="3"/>
      <c r="V7272" s="3"/>
      <c r="W7272" s="3"/>
      <c r="X7272" s="3"/>
      <c r="Y7272" s="3"/>
    </row>
    <row r="7273">
      <c r="A7273" s="3"/>
      <c r="B7273" s="3"/>
      <c r="C7273" s="3"/>
      <c r="D7273" s="3"/>
      <c r="E7273" s="3"/>
      <c r="F7273" s="3"/>
      <c r="G7273" s="3"/>
      <c r="H7273" s="3"/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  <c r="T7273" s="3"/>
      <c r="U7273" s="3"/>
      <c r="V7273" s="3"/>
      <c r="W7273" s="3"/>
      <c r="X7273" s="3"/>
      <c r="Y7273" s="3"/>
    </row>
    <row r="7274">
      <c r="A7274" s="3"/>
      <c r="B7274" s="3"/>
      <c r="C7274" s="3"/>
      <c r="D7274" s="3"/>
      <c r="E7274" s="3"/>
      <c r="F7274" s="3"/>
      <c r="G7274" s="3"/>
      <c r="H7274" s="3"/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  <c r="T7274" s="3"/>
      <c r="U7274" s="3"/>
      <c r="V7274" s="3"/>
      <c r="W7274" s="3"/>
      <c r="X7274" s="3"/>
      <c r="Y7274" s="3"/>
    </row>
    <row r="7275">
      <c r="A7275" s="3"/>
      <c r="B7275" s="3"/>
      <c r="C7275" s="3"/>
      <c r="D7275" s="3"/>
      <c r="E7275" s="3"/>
      <c r="F7275" s="3"/>
      <c r="G7275" s="3"/>
      <c r="H7275" s="3"/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  <c r="T7275" s="3"/>
      <c r="U7275" s="3"/>
      <c r="V7275" s="3"/>
      <c r="W7275" s="3"/>
      <c r="X7275" s="3"/>
      <c r="Y7275" s="3"/>
    </row>
    <row r="7276">
      <c r="A7276" s="3"/>
      <c r="B7276" s="3"/>
      <c r="C7276" s="3"/>
      <c r="D7276" s="3"/>
      <c r="E7276" s="3"/>
      <c r="F7276" s="3"/>
      <c r="G7276" s="3"/>
      <c r="H7276" s="3"/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  <c r="T7276" s="3"/>
      <c r="U7276" s="3"/>
      <c r="V7276" s="3"/>
      <c r="W7276" s="3"/>
      <c r="X7276" s="3"/>
      <c r="Y7276" s="3"/>
    </row>
    <row r="7277">
      <c r="A7277" s="3"/>
      <c r="B7277" s="3"/>
      <c r="C7277" s="3"/>
      <c r="D7277" s="3"/>
      <c r="E7277" s="3"/>
      <c r="F7277" s="3"/>
      <c r="G7277" s="3"/>
      <c r="H7277" s="3"/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  <c r="T7277" s="3"/>
      <c r="U7277" s="3"/>
      <c r="V7277" s="3"/>
      <c r="W7277" s="3"/>
      <c r="X7277" s="3"/>
      <c r="Y7277" s="3"/>
    </row>
    <row r="7278">
      <c r="A7278" s="3"/>
      <c r="B7278" s="3"/>
      <c r="C7278" s="3"/>
      <c r="D7278" s="3"/>
      <c r="E7278" s="3"/>
      <c r="F7278" s="3"/>
      <c r="G7278" s="3"/>
      <c r="H7278" s="3"/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  <c r="T7278" s="3"/>
      <c r="U7278" s="3"/>
      <c r="V7278" s="3"/>
      <c r="W7278" s="3"/>
      <c r="X7278" s="3"/>
      <c r="Y7278" s="3"/>
    </row>
    <row r="7279">
      <c r="A7279" s="3"/>
      <c r="B7279" s="3"/>
      <c r="C7279" s="3"/>
      <c r="D7279" s="3"/>
      <c r="E7279" s="3"/>
      <c r="F7279" s="3"/>
      <c r="G7279" s="3"/>
      <c r="H7279" s="3"/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  <c r="T7279" s="3"/>
      <c r="U7279" s="3"/>
      <c r="V7279" s="3"/>
      <c r="W7279" s="3"/>
      <c r="X7279" s="3"/>
      <c r="Y7279" s="3"/>
    </row>
    <row r="7280">
      <c r="A7280" s="3"/>
      <c r="B7280" s="3"/>
      <c r="C7280" s="3"/>
      <c r="D7280" s="3"/>
      <c r="E7280" s="3"/>
      <c r="F7280" s="3"/>
      <c r="G7280" s="3"/>
      <c r="H7280" s="3"/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  <c r="T7280" s="3"/>
      <c r="U7280" s="3"/>
      <c r="V7280" s="3"/>
      <c r="W7280" s="3"/>
      <c r="X7280" s="3"/>
      <c r="Y7280" s="3"/>
    </row>
    <row r="7281">
      <c r="A7281" s="3"/>
      <c r="B7281" s="3"/>
      <c r="C7281" s="3"/>
      <c r="D7281" s="3"/>
      <c r="E7281" s="3"/>
      <c r="F7281" s="3"/>
      <c r="G7281" s="3"/>
      <c r="H7281" s="3"/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  <c r="T7281" s="3"/>
      <c r="U7281" s="3"/>
      <c r="V7281" s="3"/>
      <c r="W7281" s="3"/>
      <c r="X7281" s="3"/>
      <c r="Y7281" s="3"/>
    </row>
    <row r="7282">
      <c r="A7282" s="3"/>
      <c r="B7282" s="3"/>
      <c r="C7282" s="3"/>
      <c r="D7282" s="3"/>
      <c r="E7282" s="3"/>
      <c r="F7282" s="3"/>
      <c r="G7282" s="3"/>
      <c r="H7282" s="3"/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  <c r="T7282" s="3"/>
      <c r="U7282" s="3"/>
      <c r="V7282" s="3"/>
      <c r="W7282" s="3"/>
      <c r="X7282" s="3"/>
      <c r="Y7282" s="3"/>
    </row>
    <row r="7283">
      <c r="A7283" s="3"/>
      <c r="B7283" s="3"/>
      <c r="C7283" s="3"/>
      <c r="D7283" s="3"/>
      <c r="E7283" s="3"/>
      <c r="F7283" s="3"/>
      <c r="G7283" s="3"/>
      <c r="H7283" s="3"/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  <c r="T7283" s="3"/>
      <c r="U7283" s="3"/>
      <c r="V7283" s="3"/>
      <c r="W7283" s="3"/>
      <c r="X7283" s="3"/>
      <c r="Y7283" s="3"/>
    </row>
    <row r="7284">
      <c r="A7284" s="3"/>
      <c r="B7284" s="3"/>
      <c r="C7284" s="3"/>
      <c r="D7284" s="3"/>
      <c r="E7284" s="3"/>
      <c r="F7284" s="3"/>
      <c r="G7284" s="3"/>
      <c r="H7284" s="3"/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  <c r="T7284" s="3"/>
      <c r="U7284" s="3"/>
      <c r="V7284" s="3"/>
      <c r="W7284" s="3"/>
      <c r="X7284" s="3"/>
      <c r="Y7284" s="3"/>
    </row>
    <row r="7285">
      <c r="A7285" s="3"/>
      <c r="B7285" s="3"/>
      <c r="C7285" s="3"/>
      <c r="D7285" s="3"/>
      <c r="E7285" s="3"/>
      <c r="F7285" s="3"/>
      <c r="G7285" s="3"/>
      <c r="H7285" s="3"/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  <c r="T7285" s="3"/>
      <c r="U7285" s="3"/>
      <c r="V7285" s="3"/>
      <c r="W7285" s="3"/>
      <c r="X7285" s="3"/>
      <c r="Y7285" s="3"/>
    </row>
    <row r="7286">
      <c r="A7286" s="3"/>
      <c r="B7286" s="3"/>
      <c r="C7286" s="3"/>
      <c r="D7286" s="3"/>
      <c r="E7286" s="3"/>
      <c r="F7286" s="3"/>
      <c r="G7286" s="3"/>
      <c r="H7286" s="3"/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  <c r="T7286" s="3"/>
      <c r="U7286" s="3"/>
      <c r="V7286" s="3"/>
      <c r="W7286" s="3"/>
      <c r="X7286" s="3"/>
      <c r="Y7286" s="3"/>
    </row>
    <row r="7287">
      <c r="A7287" s="3"/>
      <c r="B7287" s="3"/>
      <c r="C7287" s="3"/>
      <c r="D7287" s="3"/>
      <c r="E7287" s="3"/>
      <c r="F7287" s="3"/>
      <c r="G7287" s="3"/>
      <c r="H7287" s="3"/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  <c r="T7287" s="3"/>
      <c r="U7287" s="3"/>
      <c r="V7287" s="3"/>
      <c r="W7287" s="3"/>
      <c r="X7287" s="3"/>
      <c r="Y7287" s="3"/>
    </row>
    <row r="7288">
      <c r="A7288" s="3"/>
      <c r="B7288" s="3"/>
      <c r="C7288" s="3"/>
      <c r="D7288" s="3"/>
      <c r="E7288" s="3"/>
      <c r="F7288" s="3"/>
      <c r="G7288" s="3"/>
      <c r="H7288" s="3"/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  <c r="T7288" s="3"/>
      <c r="U7288" s="3"/>
      <c r="V7288" s="3"/>
      <c r="W7288" s="3"/>
      <c r="X7288" s="3"/>
      <c r="Y7288" s="3"/>
    </row>
    <row r="7289">
      <c r="A7289" s="3"/>
      <c r="B7289" s="3"/>
      <c r="C7289" s="3"/>
      <c r="D7289" s="3"/>
      <c r="E7289" s="3"/>
      <c r="F7289" s="3"/>
      <c r="G7289" s="3"/>
      <c r="H7289" s="3"/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  <c r="T7289" s="3"/>
      <c r="U7289" s="3"/>
      <c r="V7289" s="3"/>
      <c r="W7289" s="3"/>
      <c r="X7289" s="3"/>
      <c r="Y7289" s="3"/>
    </row>
    <row r="7290">
      <c r="A7290" s="3"/>
      <c r="B7290" s="3"/>
      <c r="C7290" s="3"/>
      <c r="D7290" s="3"/>
      <c r="E7290" s="3"/>
      <c r="F7290" s="3"/>
      <c r="G7290" s="3"/>
      <c r="H7290" s="3"/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  <c r="T7290" s="3"/>
      <c r="U7290" s="3"/>
      <c r="V7290" s="3"/>
      <c r="W7290" s="3"/>
      <c r="X7290" s="3"/>
      <c r="Y7290" s="3"/>
    </row>
    <row r="7291">
      <c r="A7291" s="3"/>
      <c r="B7291" s="3"/>
      <c r="C7291" s="3"/>
      <c r="D7291" s="3"/>
      <c r="E7291" s="3"/>
      <c r="F7291" s="3"/>
      <c r="G7291" s="3"/>
      <c r="H7291" s="3"/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  <c r="T7291" s="3"/>
      <c r="U7291" s="3"/>
      <c r="V7291" s="3"/>
      <c r="W7291" s="3"/>
      <c r="X7291" s="3"/>
      <c r="Y7291" s="3"/>
    </row>
    <row r="7292">
      <c r="A7292" s="3"/>
      <c r="B7292" s="3"/>
      <c r="C7292" s="3"/>
      <c r="D7292" s="3"/>
      <c r="E7292" s="3"/>
      <c r="F7292" s="3"/>
      <c r="G7292" s="3"/>
      <c r="H7292" s="3"/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  <c r="T7292" s="3"/>
      <c r="U7292" s="3"/>
      <c r="V7292" s="3"/>
      <c r="W7292" s="3"/>
      <c r="X7292" s="3"/>
      <c r="Y7292" s="3"/>
    </row>
    <row r="7293">
      <c r="A7293" s="3"/>
      <c r="B7293" s="3"/>
      <c r="C7293" s="3"/>
      <c r="D7293" s="3"/>
      <c r="E7293" s="3"/>
      <c r="F7293" s="3"/>
      <c r="G7293" s="3"/>
      <c r="H7293" s="3"/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  <c r="T7293" s="3"/>
      <c r="U7293" s="3"/>
      <c r="V7293" s="3"/>
      <c r="W7293" s="3"/>
      <c r="X7293" s="3"/>
      <c r="Y7293" s="3"/>
    </row>
    <row r="7294">
      <c r="A7294" s="3"/>
      <c r="B7294" s="3"/>
      <c r="C7294" s="3"/>
      <c r="D7294" s="3"/>
      <c r="E7294" s="3"/>
      <c r="F7294" s="3"/>
      <c r="G7294" s="3"/>
      <c r="H7294" s="3"/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  <c r="T7294" s="3"/>
      <c r="U7294" s="3"/>
      <c r="V7294" s="3"/>
      <c r="W7294" s="3"/>
      <c r="X7294" s="3"/>
      <c r="Y7294" s="3"/>
    </row>
    <row r="7295">
      <c r="A7295" s="3"/>
      <c r="B7295" s="3"/>
      <c r="C7295" s="3"/>
      <c r="D7295" s="3"/>
      <c r="E7295" s="3"/>
      <c r="F7295" s="3"/>
      <c r="G7295" s="3"/>
      <c r="H7295" s="3"/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  <c r="T7295" s="3"/>
      <c r="U7295" s="3"/>
      <c r="V7295" s="3"/>
      <c r="W7295" s="3"/>
      <c r="X7295" s="3"/>
      <c r="Y7295" s="3"/>
    </row>
    <row r="7296">
      <c r="A7296" s="3"/>
      <c r="B7296" s="3"/>
      <c r="C7296" s="3"/>
      <c r="D7296" s="3"/>
      <c r="E7296" s="3"/>
      <c r="F7296" s="3"/>
      <c r="G7296" s="3"/>
      <c r="H7296" s="3"/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  <c r="T7296" s="3"/>
      <c r="U7296" s="3"/>
      <c r="V7296" s="3"/>
      <c r="W7296" s="3"/>
      <c r="X7296" s="3"/>
      <c r="Y7296" s="3"/>
    </row>
    <row r="7297">
      <c r="A7297" s="3"/>
      <c r="B7297" s="3"/>
      <c r="C7297" s="3"/>
      <c r="D7297" s="3"/>
      <c r="E7297" s="3"/>
      <c r="F7297" s="3"/>
      <c r="G7297" s="3"/>
      <c r="H7297" s="3"/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  <c r="T7297" s="3"/>
      <c r="U7297" s="3"/>
      <c r="V7297" s="3"/>
      <c r="W7297" s="3"/>
      <c r="X7297" s="3"/>
      <c r="Y7297" s="3"/>
    </row>
    <row r="7298">
      <c r="A7298" s="3"/>
      <c r="B7298" s="3"/>
      <c r="C7298" s="3"/>
      <c r="D7298" s="3"/>
      <c r="E7298" s="3"/>
      <c r="F7298" s="3"/>
      <c r="G7298" s="3"/>
      <c r="H7298" s="3"/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  <c r="T7298" s="3"/>
      <c r="U7298" s="3"/>
      <c r="V7298" s="3"/>
      <c r="W7298" s="3"/>
      <c r="X7298" s="3"/>
      <c r="Y7298" s="3"/>
    </row>
    <row r="7299">
      <c r="A7299" s="3"/>
      <c r="B7299" s="3"/>
      <c r="C7299" s="3"/>
      <c r="D7299" s="3"/>
      <c r="E7299" s="3"/>
      <c r="F7299" s="3"/>
      <c r="G7299" s="3"/>
      <c r="H7299" s="3"/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  <c r="T7299" s="3"/>
      <c r="U7299" s="3"/>
      <c r="V7299" s="3"/>
      <c r="W7299" s="3"/>
      <c r="X7299" s="3"/>
      <c r="Y7299" s="3"/>
    </row>
    <row r="7300">
      <c r="A7300" s="3"/>
      <c r="B7300" s="3"/>
      <c r="C7300" s="3"/>
      <c r="D7300" s="3"/>
      <c r="E7300" s="3"/>
      <c r="F7300" s="3"/>
      <c r="G7300" s="3"/>
      <c r="H7300" s="3"/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  <c r="T7300" s="3"/>
      <c r="U7300" s="3"/>
      <c r="V7300" s="3"/>
      <c r="W7300" s="3"/>
      <c r="X7300" s="3"/>
      <c r="Y7300" s="3"/>
    </row>
    <row r="7301">
      <c r="A7301" s="3"/>
      <c r="B7301" s="3"/>
      <c r="C7301" s="3"/>
      <c r="D7301" s="3"/>
      <c r="E7301" s="3"/>
      <c r="F7301" s="3"/>
      <c r="G7301" s="3"/>
      <c r="H7301" s="3"/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  <c r="T7301" s="3"/>
      <c r="U7301" s="3"/>
      <c r="V7301" s="3"/>
      <c r="W7301" s="3"/>
      <c r="X7301" s="3"/>
      <c r="Y7301" s="3"/>
    </row>
    <row r="7302">
      <c r="A7302" s="3"/>
      <c r="B7302" s="3"/>
      <c r="C7302" s="3"/>
      <c r="D7302" s="3"/>
      <c r="E7302" s="3"/>
      <c r="F7302" s="3"/>
      <c r="G7302" s="3"/>
      <c r="H7302" s="3"/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  <c r="T7302" s="3"/>
      <c r="U7302" s="3"/>
      <c r="V7302" s="3"/>
      <c r="W7302" s="3"/>
      <c r="X7302" s="3"/>
      <c r="Y7302" s="3"/>
    </row>
    <row r="7303">
      <c r="A7303" s="3"/>
      <c r="B7303" s="3"/>
      <c r="C7303" s="3"/>
      <c r="D7303" s="3"/>
      <c r="E7303" s="3"/>
      <c r="F7303" s="3"/>
      <c r="G7303" s="3"/>
      <c r="H7303" s="3"/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  <c r="T7303" s="3"/>
      <c r="U7303" s="3"/>
      <c r="V7303" s="3"/>
      <c r="W7303" s="3"/>
      <c r="X7303" s="3"/>
      <c r="Y7303" s="3"/>
    </row>
    <row r="7304">
      <c r="A7304" s="3"/>
      <c r="B7304" s="3"/>
      <c r="C7304" s="3"/>
      <c r="D7304" s="3"/>
      <c r="E7304" s="3"/>
      <c r="F7304" s="3"/>
      <c r="G7304" s="3"/>
      <c r="H7304" s="3"/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  <c r="T7304" s="3"/>
      <c r="U7304" s="3"/>
      <c r="V7304" s="3"/>
      <c r="W7304" s="3"/>
      <c r="X7304" s="3"/>
      <c r="Y7304" s="3"/>
    </row>
    <row r="7305">
      <c r="A7305" s="3"/>
      <c r="B7305" s="3"/>
      <c r="C7305" s="3"/>
      <c r="D7305" s="3"/>
      <c r="E7305" s="3"/>
      <c r="F7305" s="3"/>
      <c r="G7305" s="3"/>
      <c r="H7305" s="3"/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  <c r="T7305" s="3"/>
      <c r="U7305" s="3"/>
      <c r="V7305" s="3"/>
      <c r="W7305" s="3"/>
      <c r="X7305" s="3"/>
      <c r="Y7305" s="3"/>
    </row>
    <row r="7306">
      <c r="A7306" s="3"/>
      <c r="B7306" s="3"/>
      <c r="C7306" s="3"/>
      <c r="D7306" s="3"/>
      <c r="E7306" s="3"/>
      <c r="F7306" s="3"/>
      <c r="G7306" s="3"/>
      <c r="H7306" s="3"/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  <c r="T7306" s="3"/>
      <c r="U7306" s="3"/>
      <c r="V7306" s="3"/>
      <c r="W7306" s="3"/>
      <c r="X7306" s="3"/>
      <c r="Y7306" s="3"/>
    </row>
    <row r="7307">
      <c r="A7307" s="3"/>
      <c r="B7307" s="3"/>
      <c r="C7307" s="3"/>
      <c r="D7307" s="3"/>
      <c r="E7307" s="3"/>
      <c r="F7307" s="3"/>
      <c r="G7307" s="3"/>
      <c r="H7307" s="3"/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  <c r="T7307" s="3"/>
      <c r="U7307" s="3"/>
      <c r="V7307" s="3"/>
      <c r="W7307" s="3"/>
      <c r="X7307" s="3"/>
      <c r="Y7307" s="3"/>
    </row>
    <row r="7308">
      <c r="A7308" s="3"/>
      <c r="B7308" s="3"/>
      <c r="C7308" s="3"/>
      <c r="D7308" s="3"/>
      <c r="E7308" s="3"/>
      <c r="F7308" s="3"/>
      <c r="G7308" s="3"/>
      <c r="H7308" s="3"/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  <c r="T7308" s="3"/>
      <c r="U7308" s="3"/>
      <c r="V7308" s="3"/>
      <c r="W7308" s="3"/>
      <c r="X7308" s="3"/>
      <c r="Y7308" s="3"/>
    </row>
    <row r="7309">
      <c r="A7309" s="3"/>
      <c r="B7309" s="3"/>
      <c r="C7309" s="3"/>
      <c r="D7309" s="3"/>
      <c r="E7309" s="3"/>
      <c r="F7309" s="3"/>
      <c r="G7309" s="3"/>
      <c r="H7309" s="3"/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  <c r="T7309" s="3"/>
      <c r="U7309" s="3"/>
      <c r="V7309" s="3"/>
      <c r="W7309" s="3"/>
      <c r="X7309" s="3"/>
      <c r="Y7309" s="3"/>
    </row>
    <row r="7310">
      <c r="A7310" s="3"/>
      <c r="B7310" s="3"/>
      <c r="C7310" s="3"/>
      <c r="D7310" s="3"/>
      <c r="E7310" s="3"/>
      <c r="F7310" s="3"/>
      <c r="G7310" s="3"/>
      <c r="H7310" s="3"/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  <c r="T7310" s="3"/>
      <c r="U7310" s="3"/>
      <c r="V7310" s="3"/>
      <c r="W7310" s="3"/>
      <c r="X7310" s="3"/>
      <c r="Y7310" s="3"/>
    </row>
    <row r="7311">
      <c r="A7311" s="3"/>
      <c r="B7311" s="3"/>
      <c r="C7311" s="3"/>
      <c r="D7311" s="3"/>
      <c r="E7311" s="3"/>
      <c r="F7311" s="3"/>
      <c r="G7311" s="3"/>
      <c r="H7311" s="3"/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  <c r="T7311" s="3"/>
      <c r="U7311" s="3"/>
      <c r="V7311" s="3"/>
      <c r="W7311" s="3"/>
      <c r="X7311" s="3"/>
      <c r="Y7311" s="3"/>
    </row>
    <row r="7312">
      <c r="A7312" s="3"/>
      <c r="B7312" s="3"/>
      <c r="C7312" s="3"/>
      <c r="D7312" s="3"/>
      <c r="E7312" s="3"/>
      <c r="F7312" s="3"/>
      <c r="G7312" s="3"/>
      <c r="H7312" s="3"/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  <c r="T7312" s="3"/>
      <c r="U7312" s="3"/>
      <c r="V7312" s="3"/>
      <c r="W7312" s="3"/>
      <c r="X7312" s="3"/>
      <c r="Y7312" s="3"/>
    </row>
    <row r="7313">
      <c r="A7313" s="3"/>
      <c r="B7313" s="3"/>
      <c r="C7313" s="3"/>
      <c r="D7313" s="3"/>
      <c r="E7313" s="3"/>
      <c r="F7313" s="3"/>
      <c r="G7313" s="3"/>
      <c r="H7313" s="3"/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  <c r="T7313" s="3"/>
      <c r="U7313" s="3"/>
      <c r="V7313" s="3"/>
      <c r="W7313" s="3"/>
      <c r="X7313" s="3"/>
      <c r="Y7313" s="3"/>
    </row>
    <row r="7314">
      <c r="A7314" s="3"/>
      <c r="B7314" s="3"/>
      <c r="C7314" s="3"/>
      <c r="D7314" s="3"/>
      <c r="E7314" s="3"/>
      <c r="F7314" s="3"/>
      <c r="G7314" s="3"/>
      <c r="H7314" s="3"/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  <c r="T7314" s="3"/>
      <c r="U7314" s="3"/>
      <c r="V7314" s="3"/>
      <c r="W7314" s="3"/>
      <c r="X7314" s="3"/>
      <c r="Y7314" s="3"/>
    </row>
    <row r="7315">
      <c r="A7315" s="3"/>
      <c r="B7315" s="3"/>
      <c r="C7315" s="3"/>
      <c r="D7315" s="3"/>
      <c r="E7315" s="3"/>
      <c r="F7315" s="3"/>
      <c r="G7315" s="3"/>
      <c r="H7315" s="3"/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  <c r="T7315" s="3"/>
      <c r="U7315" s="3"/>
      <c r="V7315" s="3"/>
      <c r="W7315" s="3"/>
      <c r="X7315" s="3"/>
      <c r="Y7315" s="3"/>
    </row>
    <row r="7316">
      <c r="A7316" s="3"/>
      <c r="B7316" s="3"/>
      <c r="C7316" s="3"/>
      <c r="D7316" s="3"/>
      <c r="E7316" s="3"/>
      <c r="F7316" s="3"/>
      <c r="G7316" s="3"/>
      <c r="H7316" s="3"/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  <c r="T7316" s="3"/>
      <c r="U7316" s="3"/>
      <c r="V7316" s="3"/>
      <c r="W7316" s="3"/>
      <c r="X7316" s="3"/>
      <c r="Y7316" s="3"/>
    </row>
    <row r="7317">
      <c r="A7317" s="3"/>
      <c r="B7317" s="3"/>
      <c r="C7317" s="3"/>
      <c r="D7317" s="3"/>
      <c r="E7317" s="3"/>
      <c r="F7317" s="3"/>
      <c r="G7317" s="3"/>
      <c r="H7317" s="3"/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  <c r="T7317" s="3"/>
      <c r="U7317" s="3"/>
      <c r="V7317" s="3"/>
      <c r="W7317" s="3"/>
      <c r="X7317" s="3"/>
      <c r="Y7317" s="3"/>
    </row>
    <row r="7318">
      <c r="A7318" s="3"/>
      <c r="B7318" s="3"/>
      <c r="C7318" s="3"/>
      <c r="D7318" s="3"/>
      <c r="E7318" s="3"/>
      <c r="F7318" s="3"/>
      <c r="G7318" s="3"/>
      <c r="H7318" s="3"/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  <c r="T7318" s="3"/>
      <c r="U7318" s="3"/>
      <c r="V7318" s="3"/>
      <c r="W7318" s="3"/>
      <c r="X7318" s="3"/>
      <c r="Y7318" s="3"/>
    </row>
    <row r="7319">
      <c r="A7319" s="3"/>
      <c r="B7319" s="3"/>
      <c r="C7319" s="3"/>
      <c r="D7319" s="3"/>
      <c r="E7319" s="3"/>
      <c r="F7319" s="3"/>
      <c r="G7319" s="3"/>
      <c r="H7319" s="3"/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  <c r="T7319" s="3"/>
      <c r="U7319" s="3"/>
      <c r="V7319" s="3"/>
      <c r="W7319" s="3"/>
      <c r="X7319" s="3"/>
      <c r="Y7319" s="3"/>
    </row>
    <row r="7320">
      <c r="A7320" s="3"/>
      <c r="B7320" s="3"/>
      <c r="C7320" s="3"/>
      <c r="D7320" s="3"/>
      <c r="E7320" s="3"/>
      <c r="F7320" s="3"/>
      <c r="G7320" s="3"/>
      <c r="H7320" s="3"/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  <c r="T7320" s="3"/>
      <c r="U7320" s="3"/>
      <c r="V7320" s="3"/>
      <c r="W7320" s="3"/>
      <c r="X7320" s="3"/>
      <c r="Y7320" s="3"/>
    </row>
    <row r="7321">
      <c r="A7321" s="3"/>
      <c r="B7321" s="3"/>
      <c r="C7321" s="3"/>
      <c r="D7321" s="3"/>
      <c r="E7321" s="3"/>
      <c r="F7321" s="3"/>
      <c r="G7321" s="3"/>
      <c r="H7321" s="3"/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  <c r="T7321" s="3"/>
      <c r="U7321" s="3"/>
      <c r="V7321" s="3"/>
      <c r="W7321" s="3"/>
      <c r="X7321" s="3"/>
      <c r="Y7321" s="3"/>
    </row>
    <row r="7322">
      <c r="A7322" s="3"/>
      <c r="B7322" s="3"/>
      <c r="C7322" s="3"/>
      <c r="D7322" s="3"/>
      <c r="E7322" s="3"/>
      <c r="F7322" s="3"/>
      <c r="G7322" s="3"/>
      <c r="H7322" s="3"/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  <c r="T7322" s="3"/>
      <c r="U7322" s="3"/>
      <c r="V7322" s="3"/>
      <c r="W7322" s="3"/>
      <c r="X7322" s="3"/>
      <c r="Y7322" s="3"/>
    </row>
    <row r="7323">
      <c r="A7323" s="3"/>
      <c r="B7323" s="3"/>
      <c r="C7323" s="3"/>
      <c r="D7323" s="3"/>
      <c r="E7323" s="3"/>
      <c r="F7323" s="3"/>
      <c r="G7323" s="3"/>
      <c r="H7323" s="3"/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  <c r="T7323" s="3"/>
      <c r="U7323" s="3"/>
      <c r="V7323" s="3"/>
      <c r="W7323" s="3"/>
      <c r="X7323" s="3"/>
      <c r="Y7323" s="3"/>
    </row>
    <row r="7324">
      <c r="A7324" s="3"/>
      <c r="B7324" s="3"/>
      <c r="C7324" s="3"/>
      <c r="D7324" s="3"/>
      <c r="E7324" s="3"/>
      <c r="F7324" s="3"/>
      <c r="G7324" s="3"/>
      <c r="H7324" s="3"/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  <c r="T7324" s="3"/>
      <c r="U7324" s="3"/>
      <c r="V7324" s="3"/>
      <c r="W7324" s="3"/>
      <c r="X7324" s="3"/>
      <c r="Y7324" s="3"/>
    </row>
    <row r="7325">
      <c r="A7325" s="3"/>
      <c r="B7325" s="3"/>
      <c r="C7325" s="3"/>
      <c r="D7325" s="3"/>
      <c r="E7325" s="3"/>
      <c r="F7325" s="3"/>
      <c r="G7325" s="3"/>
      <c r="H7325" s="3"/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  <c r="T7325" s="3"/>
      <c r="U7325" s="3"/>
      <c r="V7325" s="3"/>
      <c r="W7325" s="3"/>
      <c r="X7325" s="3"/>
      <c r="Y7325" s="3"/>
    </row>
    <row r="7326">
      <c r="A7326" s="3"/>
      <c r="B7326" s="3"/>
      <c r="C7326" s="3"/>
      <c r="D7326" s="3"/>
      <c r="E7326" s="3"/>
      <c r="F7326" s="3"/>
      <c r="G7326" s="3"/>
      <c r="H7326" s="3"/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  <c r="T7326" s="3"/>
      <c r="U7326" s="3"/>
      <c r="V7326" s="3"/>
      <c r="W7326" s="3"/>
      <c r="X7326" s="3"/>
      <c r="Y7326" s="3"/>
    </row>
    <row r="7327">
      <c r="A7327" s="3"/>
      <c r="B7327" s="3"/>
      <c r="C7327" s="3"/>
      <c r="D7327" s="3"/>
      <c r="E7327" s="3"/>
      <c r="F7327" s="3"/>
      <c r="G7327" s="3"/>
      <c r="H7327" s="3"/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  <c r="T7327" s="3"/>
      <c r="U7327" s="3"/>
      <c r="V7327" s="3"/>
      <c r="W7327" s="3"/>
      <c r="X7327" s="3"/>
      <c r="Y7327" s="3"/>
    </row>
    <row r="7328">
      <c r="A7328" s="3"/>
      <c r="B7328" s="3"/>
      <c r="C7328" s="3"/>
      <c r="D7328" s="3"/>
      <c r="E7328" s="3"/>
      <c r="F7328" s="3"/>
      <c r="G7328" s="3"/>
      <c r="H7328" s="3"/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  <c r="T7328" s="3"/>
      <c r="U7328" s="3"/>
      <c r="V7328" s="3"/>
      <c r="W7328" s="3"/>
      <c r="X7328" s="3"/>
      <c r="Y7328" s="3"/>
    </row>
    <row r="7329">
      <c r="A7329" s="3"/>
      <c r="B7329" s="3"/>
      <c r="C7329" s="3"/>
      <c r="D7329" s="3"/>
      <c r="E7329" s="3"/>
      <c r="F7329" s="3"/>
      <c r="G7329" s="3"/>
      <c r="H7329" s="3"/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  <c r="T7329" s="3"/>
      <c r="U7329" s="3"/>
      <c r="V7329" s="3"/>
      <c r="W7329" s="3"/>
      <c r="X7329" s="3"/>
      <c r="Y7329" s="3"/>
    </row>
    <row r="7330">
      <c r="A7330" s="3"/>
      <c r="B7330" s="3"/>
      <c r="C7330" s="3"/>
      <c r="D7330" s="3"/>
      <c r="E7330" s="3"/>
      <c r="F7330" s="3"/>
      <c r="G7330" s="3"/>
      <c r="H7330" s="3"/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  <c r="T7330" s="3"/>
      <c r="U7330" s="3"/>
      <c r="V7330" s="3"/>
      <c r="W7330" s="3"/>
      <c r="X7330" s="3"/>
      <c r="Y7330" s="3"/>
    </row>
    <row r="7331">
      <c r="A7331" s="3"/>
      <c r="B7331" s="3"/>
      <c r="C7331" s="3"/>
      <c r="D7331" s="3"/>
      <c r="E7331" s="3"/>
      <c r="F7331" s="3"/>
      <c r="G7331" s="3"/>
      <c r="H7331" s="3"/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  <c r="T7331" s="3"/>
      <c r="U7331" s="3"/>
      <c r="V7331" s="3"/>
      <c r="W7331" s="3"/>
      <c r="X7331" s="3"/>
      <c r="Y7331" s="3"/>
    </row>
    <row r="7332">
      <c r="A7332" s="3"/>
      <c r="B7332" s="3"/>
      <c r="C7332" s="3"/>
      <c r="D7332" s="3"/>
      <c r="E7332" s="3"/>
      <c r="F7332" s="3"/>
      <c r="G7332" s="3"/>
      <c r="H7332" s="3"/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  <c r="T7332" s="3"/>
      <c r="U7332" s="3"/>
      <c r="V7332" s="3"/>
      <c r="W7332" s="3"/>
      <c r="X7332" s="3"/>
      <c r="Y7332" s="3"/>
    </row>
    <row r="7333">
      <c r="A7333" s="3"/>
      <c r="B7333" s="3"/>
      <c r="C7333" s="3"/>
      <c r="D7333" s="3"/>
      <c r="E7333" s="3"/>
      <c r="F7333" s="3"/>
      <c r="G7333" s="3"/>
      <c r="H7333" s="3"/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  <c r="T7333" s="3"/>
      <c r="U7333" s="3"/>
      <c r="V7333" s="3"/>
      <c r="W7333" s="3"/>
      <c r="X7333" s="3"/>
      <c r="Y7333" s="3"/>
    </row>
    <row r="7334">
      <c r="A7334" s="3"/>
      <c r="B7334" s="3"/>
      <c r="C7334" s="3"/>
      <c r="D7334" s="3"/>
      <c r="E7334" s="3"/>
      <c r="F7334" s="3"/>
      <c r="G7334" s="3"/>
      <c r="H7334" s="3"/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  <c r="T7334" s="3"/>
      <c r="U7334" s="3"/>
      <c r="V7334" s="3"/>
      <c r="W7334" s="3"/>
      <c r="X7334" s="3"/>
      <c r="Y7334" s="3"/>
    </row>
    <row r="7335">
      <c r="A7335" s="3"/>
      <c r="B7335" s="3"/>
      <c r="C7335" s="3"/>
      <c r="D7335" s="3"/>
      <c r="E7335" s="3"/>
      <c r="F7335" s="3"/>
      <c r="G7335" s="3"/>
      <c r="H7335" s="3"/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  <c r="T7335" s="3"/>
      <c r="U7335" s="3"/>
      <c r="V7335" s="3"/>
      <c r="W7335" s="3"/>
      <c r="X7335" s="3"/>
      <c r="Y7335" s="3"/>
    </row>
    <row r="7336">
      <c r="A7336" s="3"/>
      <c r="B7336" s="3"/>
      <c r="C7336" s="3"/>
      <c r="D7336" s="3"/>
      <c r="E7336" s="3"/>
      <c r="F7336" s="3"/>
      <c r="G7336" s="3"/>
      <c r="H7336" s="3"/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  <c r="T7336" s="3"/>
      <c r="U7336" s="3"/>
      <c r="V7336" s="3"/>
      <c r="W7336" s="3"/>
      <c r="X7336" s="3"/>
      <c r="Y7336" s="3"/>
    </row>
    <row r="7337">
      <c r="A7337" s="3"/>
      <c r="B7337" s="3"/>
      <c r="C7337" s="3"/>
      <c r="D7337" s="3"/>
      <c r="E7337" s="3"/>
      <c r="F7337" s="3"/>
      <c r="G7337" s="3"/>
      <c r="H7337" s="3"/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  <c r="T7337" s="3"/>
      <c r="U7337" s="3"/>
      <c r="V7337" s="3"/>
      <c r="W7337" s="3"/>
      <c r="X7337" s="3"/>
      <c r="Y7337" s="3"/>
    </row>
    <row r="7338">
      <c r="A7338" s="3"/>
      <c r="B7338" s="3"/>
      <c r="C7338" s="3"/>
      <c r="D7338" s="3"/>
      <c r="E7338" s="3"/>
      <c r="F7338" s="3"/>
      <c r="G7338" s="3"/>
      <c r="H7338" s="3"/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  <c r="T7338" s="3"/>
      <c r="U7338" s="3"/>
      <c r="V7338" s="3"/>
      <c r="W7338" s="3"/>
      <c r="X7338" s="3"/>
      <c r="Y7338" s="3"/>
    </row>
    <row r="7339">
      <c r="A7339" s="3"/>
      <c r="B7339" s="3"/>
      <c r="C7339" s="3"/>
      <c r="D7339" s="3"/>
      <c r="E7339" s="3"/>
      <c r="F7339" s="3"/>
      <c r="G7339" s="3"/>
      <c r="H7339" s="3"/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  <c r="T7339" s="3"/>
      <c r="U7339" s="3"/>
      <c r="V7339" s="3"/>
      <c r="W7339" s="3"/>
      <c r="X7339" s="3"/>
      <c r="Y7339" s="3"/>
    </row>
    <row r="7340">
      <c r="A7340" s="3"/>
      <c r="B7340" s="3"/>
      <c r="C7340" s="3"/>
      <c r="D7340" s="3"/>
      <c r="E7340" s="3"/>
      <c r="F7340" s="3"/>
      <c r="G7340" s="3"/>
      <c r="H7340" s="3"/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  <c r="T7340" s="3"/>
      <c r="U7340" s="3"/>
      <c r="V7340" s="3"/>
      <c r="W7340" s="3"/>
      <c r="X7340" s="3"/>
      <c r="Y7340" s="3"/>
    </row>
    <row r="7341">
      <c r="A7341" s="3"/>
      <c r="B7341" s="3"/>
      <c r="C7341" s="3"/>
      <c r="D7341" s="3"/>
      <c r="E7341" s="3"/>
      <c r="F7341" s="3"/>
      <c r="G7341" s="3"/>
      <c r="H7341" s="3"/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  <c r="T7341" s="3"/>
      <c r="U7341" s="3"/>
      <c r="V7341" s="3"/>
      <c r="W7341" s="3"/>
      <c r="X7341" s="3"/>
      <c r="Y7341" s="3"/>
    </row>
    <row r="7342">
      <c r="A7342" s="3"/>
      <c r="B7342" s="3"/>
      <c r="C7342" s="3"/>
      <c r="D7342" s="3"/>
      <c r="E7342" s="3"/>
      <c r="F7342" s="3"/>
      <c r="G7342" s="3"/>
      <c r="H7342" s="3"/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  <c r="T7342" s="3"/>
      <c r="U7342" s="3"/>
      <c r="V7342" s="3"/>
      <c r="W7342" s="3"/>
      <c r="X7342" s="3"/>
      <c r="Y7342" s="3"/>
    </row>
    <row r="7343">
      <c r="A7343" s="3"/>
      <c r="B7343" s="3"/>
      <c r="C7343" s="3"/>
      <c r="D7343" s="3"/>
      <c r="E7343" s="3"/>
      <c r="F7343" s="3"/>
      <c r="G7343" s="3"/>
      <c r="H7343" s="3"/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  <c r="T7343" s="3"/>
      <c r="U7343" s="3"/>
      <c r="V7343" s="3"/>
      <c r="W7343" s="3"/>
      <c r="X7343" s="3"/>
      <c r="Y7343" s="3"/>
    </row>
    <row r="7344">
      <c r="A7344" s="3"/>
      <c r="B7344" s="3"/>
      <c r="C7344" s="3"/>
      <c r="D7344" s="3"/>
      <c r="E7344" s="3"/>
      <c r="F7344" s="3"/>
      <c r="G7344" s="3"/>
      <c r="H7344" s="3"/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  <c r="T7344" s="3"/>
      <c r="U7344" s="3"/>
      <c r="V7344" s="3"/>
      <c r="W7344" s="3"/>
      <c r="X7344" s="3"/>
      <c r="Y7344" s="3"/>
    </row>
    <row r="7345">
      <c r="A7345" s="3"/>
      <c r="B7345" s="3"/>
      <c r="C7345" s="3"/>
      <c r="D7345" s="3"/>
      <c r="E7345" s="3"/>
      <c r="F7345" s="3"/>
      <c r="G7345" s="3"/>
      <c r="H7345" s="3"/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  <c r="T7345" s="3"/>
      <c r="U7345" s="3"/>
      <c r="V7345" s="3"/>
      <c r="W7345" s="3"/>
      <c r="X7345" s="3"/>
      <c r="Y7345" s="3"/>
    </row>
    <row r="7346">
      <c r="A7346" s="3"/>
      <c r="B7346" s="3"/>
      <c r="C7346" s="3"/>
      <c r="D7346" s="3"/>
      <c r="E7346" s="3"/>
      <c r="F7346" s="3"/>
      <c r="G7346" s="3"/>
      <c r="H7346" s="3"/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  <c r="T7346" s="3"/>
      <c r="U7346" s="3"/>
      <c r="V7346" s="3"/>
      <c r="W7346" s="3"/>
      <c r="X7346" s="3"/>
      <c r="Y7346" s="3"/>
    </row>
    <row r="7347">
      <c r="A7347" s="3"/>
      <c r="B7347" s="3"/>
      <c r="C7347" s="3"/>
      <c r="D7347" s="3"/>
      <c r="E7347" s="3"/>
      <c r="F7347" s="3"/>
      <c r="G7347" s="3"/>
      <c r="H7347" s="3"/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  <c r="T7347" s="3"/>
      <c r="U7347" s="3"/>
      <c r="V7347" s="3"/>
      <c r="W7347" s="3"/>
      <c r="X7347" s="3"/>
      <c r="Y7347" s="3"/>
    </row>
    <row r="7348">
      <c r="A7348" s="3"/>
      <c r="B7348" s="3"/>
      <c r="C7348" s="3"/>
      <c r="D7348" s="3"/>
      <c r="E7348" s="3"/>
      <c r="F7348" s="3"/>
      <c r="G7348" s="3"/>
      <c r="H7348" s="3"/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  <c r="T7348" s="3"/>
      <c r="U7348" s="3"/>
      <c r="V7348" s="3"/>
      <c r="W7348" s="3"/>
      <c r="X7348" s="3"/>
      <c r="Y7348" s="3"/>
    </row>
    <row r="7349">
      <c r="A7349" s="3"/>
      <c r="B7349" s="3"/>
      <c r="C7349" s="3"/>
      <c r="D7349" s="3"/>
      <c r="E7349" s="3"/>
      <c r="F7349" s="3"/>
      <c r="G7349" s="3"/>
      <c r="H7349" s="3"/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  <c r="T7349" s="3"/>
      <c r="U7349" s="3"/>
      <c r="V7349" s="3"/>
      <c r="W7349" s="3"/>
      <c r="X7349" s="3"/>
      <c r="Y7349" s="3"/>
    </row>
    <row r="7350">
      <c r="A7350" s="3"/>
      <c r="B7350" s="3"/>
      <c r="C7350" s="3"/>
      <c r="D7350" s="3"/>
      <c r="E7350" s="3"/>
      <c r="F7350" s="3"/>
      <c r="G7350" s="3"/>
      <c r="H7350" s="3"/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  <c r="T7350" s="3"/>
      <c r="U7350" s="3"/>
      <c r="V7350" s="3"/>
      <c r="W7350" s="3"/>
      <c r="X7350" s="3"/>
      <c r="Y7350" s="3"/>
    </row>
    <row r="7351">
      <c r="A7351" s="3"/>
      <c r="B7351" s="3"/>
      <c r="C7351" s="3"/>
      <c r="D7351" s="3"/>
      <c r="E7351" s="3"/>
      <c r="F7351" s="3"/>
      <c r="G7351" s="3"/>
      <c r="H7351" s="3"/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  <c r="T7351" s="3"/>
      <c r="U7351" s="3"/>
      <c r="V7351" s="3"/>
      <c r="W7351" s="3"/>
      <c r="X7351" s="3"/>
      <c r="Y7351" s="3"/>
    </row>
    <row r="7352">
      <c r="A7352" s="3"/>
      <c r="B7352" s="3"/>
      <c r="C7352" s="3"/>
      <c r="D7352" s="3"/>
      <c r="E7352" s="3"/>
      <c r="F7352" s="3"/>
      <c r="G7352" s="3"/>
      <c r="H7352" s="3"/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  <c r="T7352" s="3"/>
      <c r="U7352" s="3"/>
      <c r="V7352" s="3"/>
      <c r="W7352" s="3"/>
      <c r="X7352" s="3"/>
      <c r="Y7352" s="3"/>
    </row>
    <row r="7353">
      <c r="A7353" s="3"/>
      <c r="B7353" s="3"/>
      <c r="C7353" s="3"/>
      <c r="D7353" s="3"/>
      <c r="E7353" s="3"/>
      <c r="F7353" s="3"/>
      <c r="G7353" s="3"/>
      <c r="H7353" s="3"/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  <c r="T7353" s="3"/>
      <c r="U7353" s="3"/>
      <c r="V7353" s="3"/>
      <c r="W7353" s="3"/>
      <c r="X7353" s="3"/>
      <c r="Y7353" s="3"/>
    </row>
    <row r="7354">
      <c r="A7354" s="3"/>
      <c r="B7354" s="3"/>
      <c r="C7354" s="3"/>
      <c r="D7354" s="3"/>
      <c r="E7354" s="3"/>
      <c r="F7354" s="3"/>
      <c r="G7354" s="3"/>
      <c r="H7354" s="3"/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  <c r="T7354" s="3"/>
      <c r="U7354" s="3"/>
      <c r="V7354" s="3"/>
      <c r="W7354" s="3"/>
      <c r="X7354" s="3"/>
      <c r="Y7354" s="3"/>
    </row>
    <row r="7355">
      <c r="A7355" s="3"/>
      <c r="B7355" s="3"/>
      <c r="C7355" s="3"/>
      <c r="D7355" s="3"/>
      <c r="E7355" s="3"/>
      <c r="F7355" s="3"/>
      <c r="G7355" s="3"/>
      <c r="H7355" s="3"/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  <c r="T7355" s="3"/>
      <c r="U7355" s="3"/>
      <c r="V7355" s="3"/>
      <c r="W7355" s="3"/>
      <c r="X7355" s="3"/>
      <c r="Y7355" s="3"/>
    </row>
    <row r="7356">
      <c r="A7356" s="3"/>
      <c r="B7356" s="3"/>
      <c r="C7356" s="3"/>
      <c r="D7356" s="3"/>
      <c r="E7356" s="3"/>
      <c r="F7356" s="3"/>
      <c r="G7356" s="3"/>
      <c r="H7356" s="3"/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  <c r="T7356" s="3"/>
      <c r="U7356" s="3"/>
      <c r="V7356" s="3"/>
      <c r="W7356" s="3"/>
      <c r="X7356" s="3"/>
      <c r="Y7356" s="3"/>
    </row>
    <row r="7357">
      <c r="A7357" s="3"/>
      <c r="B7357" s="3"/>
      <c r="C7357" s="3"/>
      <c r="D7357" s="3"/>
      <c r="E7357" s="3"/>
      <c r="F7357" s="3"/>
      <c r="G7357" s="3"/>
      <c r="H7357" s="3"/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  <c r="T7357" s="3"/>
      <c r="U7357" s="3"/>
      <c r="V7357" s="3"/>
      <c r="W7357" s="3"/>
      <c r="X7357" s="3"/>
      <c r="Y7357" s="3"/>
    </row>
    <row r="7358">
      <c r="A7358" s="3"/>
      <c r="B7358" s="3"/>
      <c r="C7358" s="3"/>
      <c r="D7358" s="3"/>
      <c r="E7358" s="3"/>
      <c r="F7358" s="3"/>
      <c r="G7358" s="3"/>
      <c r="H7358" s="3"/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  <c r="T7358" s="3"/>
      <c r="U7358" s="3"/>
      <c r="V7358" s="3"/>
      <c r="W7358" s="3"/>
      <c r="X7358" s="3"/>
      <c r="Y7358" s="3"/>
    </row>
    <row r="7359">
      <c r="A7359" s="3"/>
      <c r="B7359" s="3"/>
      <c r="C7359" s="3"/>
      <c r="D7359" s="3"/>
      <c r="E7359" s="3"/>
      <c r="F7359" s="3"/>
      <c r="G7359" s="3"/>
      <c r="H7359" s="3"/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  <c r="T7359" s="3"/>
      <c r="U7359" s="3"/>
      <c r="V7359" s="3"/>
      <c r="W7359" s="3"/>
      <c r="X7359" s="3"/>
      <c r="Y7359" s="3"/>
    </row>
    <row r="7360">
      <c r="A7360" s="3"/>
      <c r="B7360" s="3"/>
      <c r="C7360" s="3"/>
      <c r="D7360" s="3"/>
      <c r="E7360" s="3"/>
      <c r="F7360" s="3"/>
      <c r="G7360" s="3"/>
      <c r="H7360" s="3"/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  <c r="T7360" s="3"/>
      <c r="U7360" s="3"/>
      <c r="V7360" s="3"/>
      <c r="W7360" s="3"/>
      <c r="X7360" s="3"/>
      <c r="Y7360" s="3"/>
    </row>
    <row r="7361">
      <c r="A7361" s="3"/>
      <c r="B7361" s="3"/>
      <c r="C7361" s="3"/>
      <c r="D7361" s="3"/>
      <c r="E7361" s="3"/>
      <c r="F7361" s="3"/>
      <c r="G7361" s="3"/>
      <c r="H7361" s="3"/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  <c r="T7361" s="3"/>
      <c r="U7361" s="3"/>
      <c r="V7361" s="3"/>
      <c r="W7361" s="3"/>
      <c r="X7361" s="3"/>
      <c r="Y7361" s="3"/>
    </row>
    <row r="7362">
      <c r="A7362" s="3"/>
      <c r="B7362" s="3"/>
      <c r="C7362" s="3"/>
      <c r="D7362" s="3"/>
      <c r="E7362" s="3"/>
      <c r="F7362" s="3"/>
      <c r="G7362" s="3"/>
      <c r="H7362" s="3"/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  <c r="T7362" s="3"/>
      <c r="U7362" s="3"/>
      <c r="V7362" s="3"/>
      <c r="W7362" s="3"/>
      <c r="X7362" s="3"/>
      <c r="Y7362" s="3"/>
    </row>
    <row r="7363">
      <c r="A7363" s="3"/>
      <c r="B7363" s="3"/>
      <c r="C7363" s="3"/>
      <c r="D7363" s="3"/>
      <c r="E7363" s="3"/>
      <c r="F7363" s="3"/>
      <c r="G7363" s="3"/>
      <c r="H7363" s="3"/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  <c r="T7363" s="3"/>
      <c r="U7363" s="3"/>
      <c r="V7363" s="3"/>
      <c r="W7363" s="3"/>
      <c r="X7363" s="3"/>
      <c r="Y7363" s="3"/>
    </row>
    <row r="7364">
      <c r="A7364" s="3"/>
      <c r="B7364" s="3"/>
      <c r="C7364" s="3"/>
      <c r="D7364" s="3"/>
      <c r="E7364" s="3"/>
      <c r="F7364" s="3"/>
      <c r="G7364" s="3"/>
      <c r="H7364" s="3"/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  <c r="T7364" s="3"/>
      <c r="U7364" s="3"/>
      <c r="V7364" s="3"/>
      <c r="W7364" s="3"/>
      <c r="X7364" s="3"/>
      <c r="Y7364" s="3"/>
    </row>
    <row r="7365">
      <c r="A7365" s="3"/>
      <c r="B7365" s="3"/>
      <c r="C7365" s="3"/>
      <c r="D7365" s="3"/>
      <c r="E7365" s="3"/>
      <c r="F7365" s="3"/>
      <c r="G7365" s="3"/>
      <c r="H7365" s="3"/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  <c r="T7365" s="3"/>
      <c r="U7365" s="3"/>
      <c r="V7365" s="3"/>
      <c r="W7365" s="3"/>
      <c r="X7365" s="3"/>
      <c r="Y7365" s="3"/>
    </row>
    <row r="7366">
      <c r="A7366" s="3"/>
      <c r="B7366" s="3"/>
      <c r="C7366" s="3"/>
      <c r="D7366" s="3"/>
      <c r="E7366" s="3"/>
      <c r="F7366" s="3"/>
      <c r="G7366" s="3"/>
      <c r="H7366" s="3"/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  <c r="T7366" s="3"/>
      <c r="U7366" s="3"/>
      <c r="V7366" s="3"/>
      <c r="W7366" s="3"/>
      <c r="X7366" s="3"/>
      <c r="Y7366" s="3"/>
    </row>
    <row r="7367">
      <c r="A7367" s="3"/>
      <c r="B7367" s="3"/>
      <c r="C7367" s="3"/>
      <c r="D7367" s="3"/>
      <c r="E7367" s="3"/>
      <c r="F7367" s="3"/>
      <c r="G7367" s="3"/>
      <c r="H7367" s="3"/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  <c r="T7367" s="3"/>
      <c r="U7367" s="3"/>
      <c r="V7367" s="3"/>
      <c r="W7367" s="3"/>
      <c r="X7367" s="3"/>
      <c r="Y7367" s="3"/>
    </row>
    <row r="7368">
      <c r="A7368" s="3"/>
      <c r="B7368" s="3"/>
      <c r="C7368" s="3"/>
      <c r="D7368" s="3"/>
      <c r="E7368" s="3"/>
      <c r="F7368" s="3"/>
      <c r="G7368" s="3"/>
      <c r="H7368" s="3"/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  <c r="T7368" s="3"/>
      <c r="U7368" s="3"/>
      <c r="V7368" s="3"/>
      <c r="W7368" s="3"/>
      <c r="X7368" s="3"/>
      <c r="Y7368" s="3"/>
    </row>
    <row r="7369">
      <c r="A7369" s="3"/>
      <c r="B7369" s="3"/>
      <c r="C7369" s="3"/>
      <c r="D7369" s="3"/>
      <c r="E7369" s="3"/>
      <c r="F7369" s="3"/>
      <c r="G7369" s="3"/>
      <c r="H7369" s="3"/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  <c r="T7369" s="3"/>
      <c r="U7369" s="3"/>
      <c r="V7369" s="3"/>
      <c r="W7369" s="3"/>
      <c r="X7369" s="3"/>
      <c r="Y7369" s="3"/>
    </row>
    <row r="7370">
      <c r="A7370" s="3"/>
      <c r="B7370" s="3"/>
      <c r="C7370" s="3"/>
      <c r="D7370" s="3"/>
      <c r="E7370" s="3"/>
      <c r="F7370" s="3"/>
      <c r="G7370" s="3"/>
      <c r="H7370" s="3"/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  <c r="T7370" s="3"/>
      <c r="U7370" s="3"/>
      <c r="V7370" s="3"/>
      <c r="W7370" s="3"/>
      <c r="X7370" s="3"/>
      <c r="Y7370" s="3"/>
    </row>
    <row r="7371">
      <c r="A7371" s="3"/>
      <c r="B7371" s="3"/>
      <c r="C7371" s="3"/>
      <c r="D7371" s="3"/>
      <c r="E7371" s="3"/>
      <c r="F7371" s="3"/>
      <c r="G7371" s="3"/>
      <c r="H7371" s="3"/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  <c r="T7371" s="3"/>
      <c r="U7371" s="3"/>
      <c r="V7371" s="3"/>
      <c r="W7371" s="3"/>
      <c r="X7371" s="3"/>
      <c r="Y7371" s="3"/>
    </row>
    <row r="7372">
      <c r="A7372" s="3"/>
      <c r="B7372" s="3"/>
      <c r="C7372" s="3"/>
      <c r="D7372" s="3"/>
      <c r="E7372" s="3"/>
      <c r="F7372" s="3"/>
      <c r="G7372" s="3"/>
      <c r="H7372" s="3"/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  <c r="T7372" s="3"/>
      <c r="U7372" s="3"/>
      <c r="V7372" s="3"/>
      <c r="W7372" s="3"/>
      <c r="X7372" s="3"/>
      <c r="Y7372" s="3"/>
    </row>
    <row r="7373">
      <c r="A7373" s="3"/>
      <c r="B7373" s="3"/>
      <c r="C7373" s="3"/>
      <c r="D7373" s="3"/>
      <c r="E7373" s="3"/>
      <c r="F7373" s="3"/>
      <c r="G7373" s="3"/>
      <c r="H7373" s="3"/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  <c r="T7373" s="3"/>
      <c r="U7373" s="3"/>
      <c r="V7373" s="3"/>
      <c r="W7373" s="3"/>
      <c r="X7373" s="3"/>
      <c r="Y7373" s="3"/>
    </row>
    <row r="7374">
      <c r="A7374" s="3"/>
      <c r="B7374" s="3"/>
      <c r="C7374" s="3"/>
      <c r="D7374" s="3"/>
      <c r="E7374" s="3"/>
      <c r="F7374" s="3"/>
      <c r="G7374" s="3"/>
      <c r="H7374" s="3"/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  <c r="T7374" s="3"/>
      <c r="U7374" s="3"/>
      <c r="V7374" s="3"/>
      <c r="W7374" s="3"/>
      <c r="X7374" s="3"/>
      <c r="Y7374" s="3"/>
    </row>
    <row r="7375">
      <c r="A7375" s="3"/>
      <c r="B7375" s="3"/>
      <c r="C7375" s="3"/>
      <c r="D7375" s="3"/>
      <c r="E7375" s="3"/>
      <c r="F7375" s="3"/>
      <c r="G7375" s="3"/>
      <c r="H7375" s="3"/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  <c r="T7375" s="3"/>
      <c r="U7375" s="3"/>
      <c r="V7375" s="3"/>
      <c r="W7375" s="3"/>
      <c r="X7375" s="3"/>
      <c r="Y7375" s="3"/>
    </row>
    <row r="7376">
      <c r="A7376" s="3"/>
      <c r="B7376" s="3"/>
      <c r="C7376" s="3"/>
      <c r="D7376" s="3"/>
      <c r="E7376" s="3"/>
      <c r="F7376" s="3"/>
      <c r="G7376" s="3"/>
      <c r="H7376" s="3"/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  <c r="T7376" s="3"/>
      <c r="U7376" s="3"/>
      <c r="V7376" s="3"/>
      <c r="W7376" s="3"/>
      <c r="X7376" s="3"/>
      <c r="Y7376" s="3"/>
    </row>
    <row r="7377">
      <c r="A7377" s="3"/>
      <c r="B7377" s="3"/>
      <c r="C7377" s="3"/>
      <c r="D7377" s="3"/>
      <c r="E7377" s="3"/>
      <c r="F7377" s="3"/>
      <c r="G7377" s="3"/>
      <c r="H7377" s="3"/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  <c r="T7377" s="3"/>
      <c r="U7377" s="3"/>
      <c r="V7377" s="3"/>
      <c r="W7377" s="3"/>
      <c r="X7377" s="3"/>
      <c r="Y7377" s="3"/>
    </row>
    <row r="7378">
      <c r="A7378" s="3"/>
      <c r="B7378" s="3"/>
      <c r="C7378" s="3"/>
      <c r="D7378" s="3"/>
      <c r="E7378" s="3"/>
      <c r="F7378" s="3"/>
      <c r="G7378" s="3"/>
      <c r="H7378" s="3"/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  <c r="T7378" s="3"/>
      <c r="U7378" s="3"/>
      <c r="V7378" s="3"/>
      <c r="W7378" s="3"/>
      <c r="X7378" s="3"/>
      <c r="Y7378" s="3"/>
    </row>
    <row r="7379">
      <c r="A7379" s="3"/>
      <c r="B7379" s="3"/>
      <c r="C7379" s="3"/>
      <c r="D7379" s="3"/>
      <c r="E7379" s="3"/>
      <c r="F7379" s="3"/>
      <c r="G7379" s="3"/>
      <c r="H7379" s="3"/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  <c r="T7379" s="3"/>
      <c r="U7379" s="3"/>
      <c r="V7379" s="3"/>
      <c r="W7379" s="3"/>
      <c r="X7379" s="3"/>
      <c r="Y7379" s="3"/>
    </row>
    <row r="7380">
      <c r="A7380" s="3"/>
      <c r="B7380" s="3"/>
      <c r="C7380" s="3"/>
      <c r="D7380" s="3"/>
      <c r="E7380" s="3"/>
      <c r="F7380" s="3"/>
      <c r="G7380" s="3"/>
      <c r="H7380" s="3"/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  <c r="T7380" s="3"/>
      <c r="U7380" s="3"/>
      <c r="V7380" s="3"/>
      <c r="W7380" s="3"/>
      <c r="X7380" s="3"/>
      <c r="Y7380" s="3"/>
    </row>
    <row r="7381">
      <c r="A7381" s="3"/>
      <c r="B7381" s="3"/>
      <c r="C7381" s="3"/>
      <c r="D7381" s="3"/>
      <c r="E7381" s="3"/>
      <c r="F7381" s="3"/>
      <c r="G7381" s="3"/>
      <c r="H7381" s="3"/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  <c r="T7381" s="3"/>
      <c r="U7381" s="3"/>
      <c r="V7381" s="3"/>
      <c r="W7381" s="3"/>
      <c r="X7381" s="3"/>
      <c r="Y7381" s="3"/>
    </row>
    <row r="7382">
      <c r="A7382" s="3"/>
      <c r="B7382" s="3"/>
      <c r="C7382" s="3"/>
      <c r="D7382" s="3"/>
      <c r="E7382" s="3"/>
      <c r="F7382" s="3"/>
      <c r="G7382" s="3"/>
      <c r="H7382" s="3"/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  <c r="T7382" s="3"/>
      <c r="U7382" s="3"/>
      <c r="V7382" s="3"/>
      <c r="W7382" s="3"/>
      <c r="X7382" s="3"/>
      <c r="Y7382" s="3"/>
    </row>
    <row r="7383">
      <c r="A7383" s="3"/>
      <c r="B7383" s="3"/>
      <c r="C7383" s="3"/>
      <c r="D7383" s="3"/>
      <c r="E7383" s="3"/>
      <c r="F7383" s="3"/>
      <c r="G7383" s="3"/>
      <c r="H7383" s="3"/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  <c r="T7383" s="3"/>
      <c r="U7383" s="3"/>
      <c r="V7383" s="3"/>
      <c r="W7383" s="3"/>
      <c r="X7383" s="3"/>
      <c r="Y7383" s="3"/>
    </row>
    <row r="7384">
      <c r="A7384" s="3"/>
      <c r="B7384" s="3"/>
      <c r="C7384" s="3"/>
      <c r="D7384" s="3"/>
      <c r="E7384" s="3"/>
      <c r="F7384" s="3"/>
      <c r="G7384" s="3"/>
      <c r="H7384" s="3"/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  <c r="T7384" s="3"/>
      <c r="U7384" s="3"/>
      <c r="V7384" s="3"/>
      <c r="W7384" s="3"/>
      <c r="X7384" s="3"/>
      <c r="Y7384" s="3"/>
    </row>
    <row r="7385">
      <c r="A7385" s="3"/>
      <c r="B7385" s="3"/>
      <c r="C7385" s="3"/>
      <c r="D7385" s="3"/>
      <c r="E7385" s="3"/>
      <c r="F7385" s="3"/>
      <c r="G7385" s="3"/>
      <c r="H7385" s="3"/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  <c r="T7385" s="3"/>
      <c r="U7385" s="3"/>
      <c r="V7385" s="3"/>
      <c r="W7385" s="3"/>
      <c r="X7385" s="3"/>
      <c r="Y7385" s="3"/>
    </row>
    <row r="7386">
      <c r="A7386" s="3"/>
      <c r="B7386" s="3"/>
      <c r="C7386" s="3"/>
      <c r="D7386" s="3"/>
      <c r="E7386" s="3"/>
      <c r="F7386" s="3"/>
      <c r="G7386" s="3"/>
      <c r="H7386" s="3"/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  <c r="T7386" s="3"/>
      <c r="U7386" s="3"/>
      <c r="V7386" s="3"/>
      <c r="W7386" s="3"/>
      <c r="X7386" s="3"/>
      <c r="Y7386" s="3"/>
    </row>
    <row r="7387">
      <c r="A7387" s="3"/>
      <c r="B7387" s="3"/>
      <c r="C7387" s="3"/>
      <c r="D7387" s="3"/>
      <c r="E7387" s="3"/>
      <c r="F7387" s="3"/>
      <c r="G7387" s="3"/>
      <c r="H7387" s="3"/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  <c r="T7387" s="3"/>
      <c r="U7387" s="3"/>
      <c r="V7387" s="3"/>
      <c r="W7387" s="3"/>
      <c r="X7387" s="3"/>
      <c r="Y7387" s="3"/>
    </row>
    <row r="7388">
      <c r="A7388" s="3"/>
      <c r="B7388" s="3"/>
      <c r="C7388" s="3"/>
      <c r="D7388" s="3"/>
      <c r="E7388" s="3"/>
      <c r="F7388" s="3"/>
      <c r="G7388" s="3"/>
      <c r="H7388" s="3"/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  <c r="T7388" s="3"/>
      <c r="U7388" s="3"/>
      <c r="V7388" s="3"/>
      <c r="W7388" s="3"/>
      <c r="X7388" s="3"/>
      <c r="Y7388" s="3"/>
    </row>
    <row r="7389">
      <c r="A7389" s="3"/>
      <c r="B7389" s="3"/>
      <c r="C7389" s="3"/>
      <c r="D7389" s="3"/>
      <c r="E7389" s="3"/>
      <c r="F7389" s="3"/>
      <c r="G7389" s="3"/>
      <c r="H7389" s="3"/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  <c r="T7389" s="3"/>
      <c r="U7389" s="3"/>
      <c r="V7389" s="3"/>
      <c r="W7389" s="3"/>
      <c r="X7389" s="3"/>
      <c r="Y7389" s="3"/>
    </row>
    <row r="7390">
      <c r="A7390" s="3"/>
      <c r="B7390" s="3"/>
      <c r="C7390" s="3"/>
      <c r="D7390" s="3"/>
      <c r="E7390" s="3"/>
      <c r="F7390" s="3"/>
      <c r="G7390" s="3"/>
      <c r="H7390" s="3"/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  <c r="T7390" s="3"/>
      <c r="U7390" s="3"/>
      <c r="V7390" s="3"/>
      <c r="W7390" s="3"/>
      <c r="X7390" s="3"/>
      <c r="Y7390" s="3"/>
    </row>
    <row r="7391">
      <c r="A7391" s="3"/>
      <c r="B7391" s="3"/>
      <c r="C7391" s="3"/>
      <c r="D7391" s="3"/>
      <c r="E7391" s="3"/>
      <c r="F7391" s="3"/>
      <c r="G7391" s="3"/>
      <c r="H7391" s="3"/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  <c r="T7391" s="3"/>
      <c r="U7391" s="3"/>
      <c r="V7391" s="3"/>
      <c r="W7391" s="3"/>
      <c r="X7391" s="3"/>
      <c r="Y7391" s="3"/>
    </row>
    <row r="7392">
      <c r="A7392" s="3"/>
      <c r="B7392" s="3"/>
      <c r="C7392" s="3"/>
      <c r="D7392" s="3"/>
      <c r="E7392" s="3"/>
      <c r="F7392" s="3"/>
      <c r="G7392" s="3"/>
      <c r="H7392" s="3"/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  <c r="T7392" s="3"/>
      <c r="U7392" s="3"/>
      <c r="V7392" s="3"/>
      <c r="W7392" s="3"/>
      <c r="X7392" s="3"/>
      <c r="Y7392" s="3"/>
    </row>
    <row r="7393">
      <c r="A7393" s="3"/>
      <c r="B7393" s="3"/>
      <c r="C7393" s="3"/>
      <c r="D7393" s="3"/>
      <c r="E7393" s="3"/>
      <c r="F7393" s="3"/>
      <c r="G7393" s="3"/>
      <c r="H7393" s="3"/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  <c r="T7393" s="3"/>
      <c r="U7393" s="3"/>
      <c r="V7393" s="3"/>
      <c r="W7393" s="3"/>
      <c r="X7393" s="3"/>
      <c r="Y7393" s="3"/>
    </row>
    <row r="7394">
      <c r="A7394" s="3"/>
      <c r="B7394" s="3"/>
      <c r="C7394" s="3"/>
      <c r="D7394" s="3"/>
      <c r="E7394" s="3"/>
      <c r="F7394" s="3"/>
      <c r="G7394" s="3"/>
      <c r="H7394" s="3"/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  <c r="T7394" s="3"/>
      <c r="U7394" s="3"/>
      <c r="V7394" s="3"/>
      <c r="W7394" s="3"/>
      <c r="X7394" s="3"/>
      <c r="Y7394" s="3"/>
    </row>
    <row r="7395">
      <c r="A7395" s="3"/>
      <c r="B7395" s="3"/>
      <c r="C7395" s="3"/>
      <c r="D7395" s="3"/>
      <c r="E7395" s="3"/>
      <c r="F7395" s="3"/>
      <c r="G7395" s="3"/>
      <c r="H7395" s="3"/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  <c r="T7395" s="3"/>
      <c r="U7395" s="3"/>
      <c r="V7395" s="3"/>
      <c r="W7395" s="3"/>
      <c r="X7395" s="3"/>
      <c r="Y7395" s="3"/>
    </row>
    <row r="7396">
      <c r="A7396" s="3"/>
      <c r="B7396" s="3"/>
      <c r="C7396" s="3"/>
      <c r="D7396" s="3"/>
      <c r="E7396" s="3"/>
      <c r="F7396" s="3"/>
      <c r="G7396" s="3"/>
      <c r="H7396" s="3"/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  <c r="T7396" s="3"/>
      <c r="U7396" s="3"/>
      <c r="V7396" s="3"/>
      <c r="W7396" s="3"/>
      <c r="X7396" s="3"/>
      <c r="Y7396" s="3"/>
    </row>
    <row r="7397">
      <c r="A7397" s="3"/>
      <c r="B7397" s="3"/>
      <c r="C7397" s="3"/>
      <c r="D7397" s="3"/>
      <c r="E7397" s="3"/>
      <c r="F7397" s="3"/>
      <c r="G7397" s="3"/>
      <c r="H7397" s="3"/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  <c r="T7397" s="3"/>
      <c r="U7397" s="3"/>
      <c r="V7397" s="3"/>
      <c r="W7397" s="3"/>
      <c r="X7397" s="3"/>
      <c r="Y7397" s="3"/>
    </row>
    <row r="7398">
      <c r="A7398" s="3"/>
      <c r="B7398" s="3"/>
      <c r="C7398" s="3"/>
      <c r="D7398" s="3"/>
      <c r="E7398" s="3"/>
      <c r="F7398" s="3"/>
      <c r="G7398" s="3"/>
      <c r="H7398" s="3"/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  <c r="T7398" s="3"/>
      <c r="U7398" s="3"/>
      <c r="V7398" s="3"/>
      <c r="W7398" s="3"/>
      <c r="X7398" s="3"/>
      <c r="Y7398" s="3"/>
    </row>
    <row r="7399">
      <c r="A7399" s="3"/>
      <c r="B7399" s="3"/>
      <c r="C7399" s="3"/>
      <c r="D7399" s="3"/>
      <c r="E7399" s="3"/>
      <c r="F7399" s="3"/>
      <c r="G7399" s="3"/>
      <c r="H7399" s="3"/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  <c r="T7399" s="3"/>
      <c r="U7399" s="3"/>
      <c r="V7399" s="3"/>
      <c r="W7399" s="3"/>
      <c r="X7399" s="3"/>
      <c r="Y7399" s="3"/>
    </row>
    <row r="7400">
      <c r="A7400" s="3"/>
      <c r="B7400" s="3"/>
      <c r="C7400" s="3"/>
      <c r="D7400" s="3"/>
      <c r="E7400" s="3"/>
      <c r="F7400" s="3"/>
      <c r="G7400" s="3"/>
      <c r="H7400" s="3"/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  <c r="T7400" s="3"/>
      <c r="U7400" s="3"/>
      <c r="V7400" s="3"/>
      <c r="W7400" s="3"/>
      <c r="X7400" s="3"/>
      <c r="Y7400" s="3"/>
    </row>
    <row r="7401">
      <c r="A7401" s="3"/>
      <c r="B7401" s="3"/>
      <c r="C7401" s="3"/>
      <c r="D7401" s="3"/>
      <c r="E7401" s="3"/>
      <c r="F7401" s="3"/>
      <c r="G7401" s="3"/>
      <c r="H7401" s="3"/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  <c r="T7401" s="3"/>
      <c r="U7401" s="3"/>
      <c r="V7401" s="3"/>
      <c r="W7401" s="3"/>
      <c r="X7401" s="3"/>
      <c r="Y7401" s="3"/>
    </row>
    <row r="7402">
      <c r="A7402" s="3"/>
      <c r="B7402" s="3"/>
      <c r="C7402" s="3"/>
      <c r="D7402" s="3"/>
      <c r="E7402" s="3"/>
      <c r="F7402" s="3"/>
      <c r="G7402" s="3"/>
      <c r="H7402" s="3"/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  <c r="T7402" s="3"/>
      <c r="U7402" s="3"/>
      <c r="V7402" s="3"/>
      <c r="W7402" s="3"/>
      <c r="X7402" s="3"/>
      <c r="Y7402" s="3"/>
    </row>
    <row r="7403">
      <c r="A7403" s="3"/>
      <c r="B7403" s="3"/>
      <c r="C7403" s="3"/>
      <c r="D7403" s="3"/>
      <c r="E7403" s="3"/>
      <c r="F7403" s="3"/>
      <c r="G7403" s="3"/>
      <c r="H7403" s="3"/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  <c r="T7403" s="3"/>
      <c r="U7403" s="3"/>
      <c r="V7403" s="3"/>
      <c r="W7403" s="3"/>
      <c r="X7403" s="3"/>
      <c r="Y7403" s="3"/>
    </row>
    <row r="7404">
      <c r="A7404" s="3"/>
      <c r="B7404" s="3"/>
      <c r="C7404" s="3"/>
      <c r="D7404" s="3"/>
      <c r="E7404" s="3"/>
      <c r="F7404" s="3"/>
      <c r="G7404" s="3"/>
      <c r="H7404" s="3"/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  <c r="T7404" s="3"/>
      <c r="U7404" s="3"/>
      <c r="V7404" s="3"/>
      <c r="W7404" s="3"/>
      <c r="X7404" s="3"/>
      <c r="Y7404" s="3"/>
    </row>
    <row r="7405">
      <c r="A7405" s="3"/>
      <c r="B7405" s="3"/>
      <c r="C7405" s="3"/>
      <c r="D7405" s="3"/>
      <c r="E7405" s="3"/>
      <c r="F7405" s="3"/>
      <c r="G7405" s="3"/>
      <c r="H7405" s="3"/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  <c r="T7405" s="3"/>
      <c r="U7405" s="3"/>
      <c r="V7405" s="3"/>
      <c r="W7405" s="3"/>
      <c r="X7405" s="3"/>
      <c r="Y7405" s="3"/>
    </row>
    <row r="7406">
      <c r="A7406" s="3"/>
      <c r="B7406" s="3"/>
      <c r="C7406" s="3"/>
      <c r="D7406" s="3"/>
      <c r="E7406" s="3"/>
      <c r="F7406" s="3"/>
      <c r="G7406" s="3"/>
      <c r="H7406" s="3"/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  <c r="T7406" s="3"/>
      <c r="U7406" s="3"/>
      <c r="V7406" s="3"/>
      <c r="W7406" s="3"/>
      <c r="X7406" s="3"/>
      <c r="Y7406" s="3"/>
    </row>
    <row r="7407">
      <c r="A7407" s="3"/>
      <c r="B7407" s="3"/>
      <c r="C7407" s="3"/>
      <c r="D7407" s="3"/>
      <c r="E7407" s="3"/>
      <c r="F7407" s="3"/>
      <c r="G7407" s="3"/>
      <c r="H7407" s="3"/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  <c r="T7407" s="3"/>
      <c r="U7407" s="3"/>
      <c r="V7407" s="3"/>
      <c r="W7407" s="3"/>
      <c r="X7407" s="3"/>
      <c r="Y7407" s="3"/>
    </row>
    <row r="7408">
      <c r="A7408" s="3"/>
      <c r="B7408" s="3"/>
      <c r="C7408" s="3"/>
      <c r="D7408" s="3"/>
      <c r="E7408" s="3"/>
      <c r="F7408" s="3"/>
      <c r="G7408" s="3"/>
      <c r="H7408" s="3"/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  <c r="T7408" s="3"/>
      <c r="U7408" s="3"/>
      <c r="V7408" s="3"/>
      <c r="W7408" s="3"/>
      <c r="X7408" s="3"/>
      <c r="Y7408" s="3"/>
    </row>
    <row r="7409">
      <c r="A7409" s="3"/>
      <c r="B7409" s="3"/>
      <c r="C7409" s="3"/>
      <c r="D7409" s="3"/>
      <c r="E7409" s="3"/>
      <c r="F7409" s="3"/>
      <c r="G7409" s="3"/>
      <c r="H7409" s="3"/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  <c r="T7409" s="3"/>
      <c r="U7409" s="3"/>
      <c r="V7409" s="3"/>
      <c r="W7409" s="3"/>
      <c r="X7409" s="3"/>
      <c r="Y7409" s="3"/>
    </row>
    <row r="7410">
      <c r="A7410" s="3"/>
      <c r="B7410" s="3"/>
      <c r="C7410" s="3"/>
      <c r="D7410" s="3"/>
      <c r="E7410" s="3"/>
      <c r="F7410" s="3"/>
      <c r="G7410" s="3"/>
      <c r="H7410" s="3"/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  <c r="T7410" s="3"/>
      <c r="U7410" s="3"/>
      <c r="V7410" s="3"/>
      <c r="W7410" s="3"/>
      <c r="X7410" s="3"/>
      <c r="Y7410" s="3"/>
    </row>
    <row r="7411">
      <c r="A7411" s="3"/>
      <c r="B7411" s="3"/>
      <c r="C7411" s="3"/>
      <c r="D7411" s="3"/>
      <c r="E7411" s="3"/>
      <c r="F7411" s="3"/>
      <c r="G7411" s="3"/>
      <c r="H7411" s="3"/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  <c r="T7411" s="3"/>
      <c r="U7411" s="3"/>
      <c r="V7411" s="3"/>
      <c r="W7411" s="3"/>
      <c r="X7411" s="3"/>
      <c r="Y7411" s="3"/>
    </row>
    <row r="7412">
      <c r="A7412" s="3"/>
      <c r="B7412" s="3"/>
      <c r="C7412" s="3"/>
      <c r="D7412" s="3"/>
      <c r="E7412" s="3"/>
      <c r="F7412" s="3"/>
      <c r="G7412" s="3"/>
      <c r="H7412" s="3"/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  <c r="T7412" s="3"/>
      <c r="U7412" s="3"/>
      <c r="V7412" s="3"/>
      <c r="W7412" s="3"/>
      <c r="X7412" s="3"/>
      <c r="Y7412" s="3"/>
    </row>
    <row r="7413">
      <c r="A7413" s="3"/>
      <c r="B7413" s="3"/>
      <c r="C7413" s="3"/>
      <c r="D7413" s="3"/>
      <c r="E7413" s="3"/>
      <c r="F7413" s="3"/>
      <c r="G7413" s="3"/>
      <c r="H7413" s="3"/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  <c r="T7413" s="3"/>
      <c r="U7413" s="3"/>
      <c r="V7413" s="3"/>
      <c r="W7413" s="3"/>
      <c r="X7413" s="3"/>
      <c r="Y7413" s="3"/>
    </row>
    <row r="7414">
      <c r="A7414" s="3"/>
      <c r="B7414" s="3"/>
      <c r="C7414" s="3"/>
      <c r="D7414" s="3"/>
      <c r="E7414" s="3"/>
      <c r="F7414" s="3"/>
      <c r="G7414" s="3"/>
      <c r="H7414" s="3"/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  <c r="T7414" s="3"/>
      <c r="U7414" s="3"/>
      <c r="V7414" s="3"/>
      <c r="W7414" s="3"/>
      <c r="X7414" s="3"/>
      <c r="Y7414" s="3"/>
    </row>
    <row r="7415">
      <c r="A7415" s="3"/>
      <c r="B7415" s="3"/>
      <c r="C7415" s="3"/>
      <c r="D7415" s="3"/>
      <c r="E7415" s="3"/>
      <c r="F7415" s="3"/>
      <c r="G7415" s="3"/>
      <c r="H7415" s="3"/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  <c r="T7415" s="3"/>
      <c r="U7415" s="3"/>
      <c r="V7415" s="3"/>
      <c r="W7415" s="3"/>
      <c r="X7415" s="3"/>
      <c r="Y7415" s="3"/>
    </row>
    <row r="7416">
      <c r="A7416" s="3"/>
      <c r="B7416" s="3"/>
      <c r="C7416" s="3"/>
      <c r="D7416" s="3"/>
      <c r="E7416" s="3"/>
      <c r="F7416" s="3"/>
      <c r="G7416" s="3"/>
      <c r="H7416" s="3"/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  <c r="T7416" s="3"/>
      <c r="U7416" s="3"/>
      <c r="V7416" s="3"/>
      <c r="W7416" s="3"/>
      <c r="X7416" s="3"/>
      <c r="Y7416" s="3"/>
    </row>
    <row r="7417">
      <c r="A7417" s="3"/>
      <c r="B7417" s="3"/>
      <c r="C7417" s="3"/>
      <c r="D7417" s="3"/>
      <c r="E7417" s="3"/>
      <c r="F7417" s="3"/>
      <c r="G7417" s="3"/>
      <c r="H7417" s="3"/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  <c r="T7417" s="3"/>
      <c r="U7417" s="3"/>
      <c r="V7417" s="3"/>
      <c r="W7417" s="3"/>
      <c r="X7417" s="3"/>
      <c r="Y7417" s="3"/>
    </row>
    <row r="7418">
      <c r="A7418" s="3"/>
      <c r="B7418" s="3"/>
      <c r="C7418" s="3"/>
      <c r="D7418" s="3"/>
      <c r="E7418" s="3"/>
      <c r="F7418" s="3"/>
      <c r="G7418" s="3"/>
      <c r="H7418" s="3"/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  <c r="T7418" s="3"/>
      <c r="U7418" s="3"/>
      <c r="V7418" s="3"/>
      <c r="W7418" s="3"/>
      <c r="X7418" s="3"/>
      <c r="Y7418" s="3"/>
    </row>
    <row r="7419">
      <c r="A7419" s="3"/>
      <c r="B7419" s="3"/>
      <c r="C7419" s="3"/>
      <c r="D7419" s="3"/>
      <c r="E7419" s="3"/>
      <c r="F7419" s="3"/>
      <c r="G7419" s="3"/>
      <c r="H7419" s="3"/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  <c r="T7419" s="3"/>
      <c r="U7419" s="3"/>
      <c r="V7419" s="3"/>
      <c r="W7419" s="3"/>
      <c r="X7419" s="3"/>
      <c r="Y7419" s="3"/>
    </row>
    <row r="7420">
      <c r="A7420" s="3"/>
      <c r="B7420" s="3"/>
      <c r="C7420" s="3"/>
      <c r="D7420" s="3"/>
      <c r="E7420" s="3"/>
      <c r="F7420" s="3"/>
      <c r="G7420" s="3"/>
      <c r="H7420" s="3"/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  <c r="T7420" s="3"/>
      <c r="U7420" s="3"/>
      <c r="V7420" s="3"/>
      <c r="W7420" s="3"/>
      <c r="X7420" s="3"/>
      <c r="Y7420" s="3"/>
    </row>
    <row r="7421">
      <c r="A7421" s="3"/>
      <c r="B7421" s="3"/>
      <c r="C7421" s="3"/>
      <c r="D7421" s="3"/>
      <c r="E7421" s="3"/>
      <c r="F7421" s="3"/>
      <c r="G7421" s="3"/>
      <c r="H7421" s="3"/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  <c r="T7421" s="3"/>
      <c r="U7421" s="3"/>
      <c r="V7421" s="3"/>
      <c r="W7421" s="3"/>
      <c r="X7421" s="3"/>
      <c r="Y7421" s="3"/>
    </row>
    <row r="7422">
      <c r="A7422" s="3"/>
      <c r="B7422" s="3"/>
      <c r="C7422" s="3"/>
      <c r="D7422" s="3"/>
      <c r="E7422" s="3"/>
      <c r="F7422" s="3"/>
      <c r="G7422" s="3"/>
      <c r="H7422" s="3"/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  <c r="T7422" s="3"/>
      <c r="U7422" s="3"/>
      <c r="V7422" s="3"/>
      <c r="W7422" s="3"/>
      <c r="X7422" s="3"/>
      <c r="Y7422" s="3"/>
    </row>
    <row r="7423">
      <c r="A7423" s="3"/>
      <c r="B7423" s="3"/>
      <c r="C7423" s="3"/>
      <c r="D7423" s="3"/>
      <c r="E7423" s="3"/>
      <c r="F7423" s="3"/>
      <c r="G7423" s="3"/>
      <c r="H7423" s="3"/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  <c r="T7423" s="3"/>
      <c r="U7423" s="3"/>
      <c r="V7423" s="3"/>
      <c r="W7423" s="3"/>
      <c r="X7423" s="3"/>
      <c r="Y7423" s="3"/>
    </row>
    <row r="7424">
      <c r="A7424" s="3"/>
      <c r="B7424" s="3"/>
      <c r="C7424" s="3"/>
      <c r="D7424" s="3"/>
      <c r="E7424" s="3"/>
      <c r="F7424" s="3"/>
      <c r="G7424" s="3"/>
      <c r="H7424" s="3"/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  <c r="T7424" s="3"/>
      <c r="U7424" s="3"/>
      <c r="V7424" s="3"/>
      <c r="W7424" s="3"/>
      <c r="X7424" s="3"/>
      <c r="Y7424" s="3"/>
    </row>
    <row r="7425">
      <c r="A7425" s="3"/>
      <c r="B7425" s="3"/>
      <c r="C7425" s="3"/>
      <c r="D7425" s="3"/>
      <c r="E7425" s="3"/>
      <c r="F7425" s="3"/>
      <c r="G7425" s="3"/>
      <c r="H7425" s="3"/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  <c r="T7425" s="3"/>
      <c r="U7425" s="3"/>
      <c r="V7425" s="3"/>
      <c r="W7425" s="3"/>
      <c r="X7425" s="3"/>
      <c r="Y7425" s="3"/>
    </row>
    <row r="7426">
      <c r="A7426" s="3"/>
      <c r="B7426" s="3"/>
      <c r="C7426" s="3"/>
      <c r="D7426" s="3"/>
      <c r="E7426" s="3"/>
      <c r="F7426" s="3"/>
      <c r="G7426" s="3"/>
      <c r="H7426" s="3"/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  <c r="T7426" s="3"/>
      <c r="U7426" s="3"/>
      <c r="V7426" s="3"/>
      <c r="W7426" s="3"/>
      <c r="X7426" s="3"/>
      <c r="Y7426" s="3"/>
    </row>
    <row r="7427">
      <c r="A7427" s="3"/>
      <c r="B7427" s="3"/>
      <c r="C7427" s="3"/>
      <c r="D7427" s="3"/>
      <c r="E7427" s="3"/>
      <c r="F7427" s="3"/>
      <c r="G7427" s="3"/>
      <c r="H7427" s="3"/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  <c r="T7427" s="3"/>
      <c r="U7427" s="3"/>
      <c r="V7427" s="3"/>
      <c r="W7427" s="3"/>
      <c r="X7427" s="3"/>
      <c r="Y7427" s="3"/>
    </row>
    <row r="7428">
      <c r="A7428" s="3"/>
      <c r="B7428" s="3"/>
      <c r="C7428" s="3"/>
      <c r="D7428" s="3"/>
      <c r="E7428" s="3"/>
      <c r="F7428" s="3"/>
      <c r="G7428" s="3"/>
      <c r="H7428" s="3"/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  <c r="T7428" s="3"/>
      <c r="U7428" s="3"/>
      <c r="V7428" s="3"/>
      <c r="W7428" s="3"/>
      <c r="X7428" s="3"/>
      <c r="Y7428" s="3"/>
    </row>
    <row r="7429">
      <c r="A7429" s="3"/>
      <c r="B7429" s="3"/>
      <c r="C7429" s="3"/>
      <c r="D7429" s="3"/>
      <c r="E7429" s="3"/>
      <c r="F7429" s="3"/>
      <c r="G7429" s="3"/>
      <c r="H7429" s="3"/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  <c r="T7429" s="3"/>
      <c r="U7429" s="3"/>
      <c r="V7429" s="3"/>
      <c r="W7429" s="3"/>
      <c r="X7429" s="3"/>
      <c r="Y7429" s="3"/>
    </row>
    <row r="7430">
      <c r="A7430" s="3"/>
      <c r="B7430" s="3"/>
      <c r="C7430" s="3"/>
      <c r="D7430" s="3"/>
      <c r="E7430" s="3"/>
      <c r="F7430" s="3"/>
      <c r="G7430" s="3"/>
      <c r="H7430" s="3"/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  <c r="T7430" s="3"/>
      <c r="U7430" s="3"/>
      <c r="V7430" s="3"/>
      <c r="W7430" s="3"/>
      <c r="X7430" s="3"/>
      <c r="Y7430" s="3"/>
    </row>
    <row r="7431">
      <c r="A7431" s="3"/>
      <c r="B7431" s="3"/>
      <c r="C7431" s="3"/>
      <c r="D7431" s="3"/>
      <c r="E7431" s="3"/>
      <c r="F7431" s="3"/>
      <c r="G7431" s="3"/>
      <c r="H7431" s="3"/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  <c r="T7431" s="3"/>
      <c r="U7431" s="3"/>
      <c r="V7431" s="3"/>
      <c r="W7431" s="3"/>
      <c r="X7431" s="3"/>
      <c r="Y7431" s="3"/>
    </row>
    <row r="7432">
      <c r="A7432" s="3"/>
      <c r="B7432" s="3"/>
      <c r="C7432" s="3"/>
      <c r="D7432" s="3"/>
      <c r="E7432" s="3"/>
      <c r="F7432" s="3"/>
      <c r="G7432" s="3"/>
      <c r="H7432" s="3"/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  <c r="T7432" s="3"/>
      <c r="U7432" s="3"/>
      <c r="V7432" s="3"/>
      <c r="W7432" s="3"/>
      <c r="X7432" s="3"/>
      <c r="Y7432" s="3"/>
    </row>
    <row r="7433">
      <c r="A7433" s="3"/>
      <c r="B7433" s="3"/>
      <c r="C7433" s="3"/>
      <c r="D7433" s="3"/>
      <c r="E7433" s="3"/>
      <c r="F7433" s="3"/>
      <c r="G7433" s="3"/>
      <c r="H7433" s="3"/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  <c r="T7433" s="3"/>
      <c r="U7433" s="3"/>
      <c r="V7433" s="3"/>
      <c r="W7433" s="3"/>
      <c r="X7433" s="3"/>
      <c r="Y7433" s="3"/>
    </row>
    <row r="7434">
      <c r="A7434" s="3"/>
      <c r="B7434" s="3"/>
      <c r="C7434" s="3"/>
      <c r="D7434" s="3"/>
      <c r="E7434" s="3"/>
      <c r="F7434" s="3"/>
      <c r="G7434" s="3"/>
      <c r="H7434" s="3"/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  <c r="T7434" s="3"/>
      <c r="U7434" s="3"/>
      <c r="V7434" s="3"/>
      <c r="W7434" s="3"/>
      <c r="X7434" s="3"/>
      <c r="Y7434" s="3"/>
    </row>
    <row r="7435">
      <c r="A7435" s="3"/>
      <c r="B7435" s="3"/>
      <c r="C7435" s="3"/>
      <c r="D7435" s="3"/>
      <c r="E7435" s="3"/>
      <c r="F7435" s="3"/>
      <c r="G7435" s="3"/>
      <c r="H7435" s="3"/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  <c r="T7435" s="3"/>
      <c r="U7435" s="3"/>
      <c r="V7435" s="3"/>
      <c r="W7435" s="3"/>
      <c r="X7435" s="3"/>
      <c r="Y7435" s="3"/>
    </row>
    <row r="7436">
      <c r="A7436" s="3"/>
      <c r="B7436" s="3"/>
      <c r="C7436" s="3"/>
      <c r="D7436" s="3"/>
      <c r="E7436" s="3"/>
      <c r="F7436" s="3"/>
      <c r="G7436" s="3"/>
      <c r="H7436" s="3"/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  <c r="T7436" s="3"/>
      <c r="U7436" s="3"/>
      <c r="V7436" s="3"/>
      <c r="W7436" s="3"/>
      <c r="X7436" s="3"/>
      <c r="Y7436" s="3"/>
    </row>
    <row r="7437">
      <c r="A7437" s="3"/>
      <c r="B7437" s="3"/>
      <c r="C7437" s="3"/>
      <c r="D7437" s="3"/>
      <c r="E7437" s="3"/>
      <c r="F7437" s="3"/>
      <c r="G7437" s="3"/>
      <c r="H7437" s="3"/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  <c r="T7437" s="3"/>
      <c r="U7437" s="3"/>
      <c r="V7437" s="3"/>
      <c r="W7437" s="3"/>
      <c r="X7437" s="3"/>
      <c r="Y7437" s="3"/>
    </row>
    <row r="7438">
      <c r="A7438" s="3"/>
      <c r="B7438" s="3"/>
      <c r="C7438" s="3"/>
      <c r="D7438" s="3"/>
      <c r="E7438" s="3"/>
      <c r="F7438" s="3"/>
      <c r="G7438" s="3"/>
      <c r="H7438" s="3"/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  <c r="T7438" s="3"/>
      <c r="U7438" s="3"/>
      <c r="V7438" s="3"/>
      <c r="W7438" s="3"/>
      <c r="X7438" s="3"/>
      <c r="Y7438" s="3"/>
    </row>
    <row r="7439">
      <c r="A7439" s="3"/>
      <c r="B7439" s="3"/>
      <c r="C7439" s="3"/>
      <c r="D7439" s="3"/>
      <c r="E7439" s="3"/>
      <c r="F7439" s="3"/>
      <c r="G7439" s="3"/>
      <c r="H7439" s="3"/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  <c r="T7439" s="3"/>
      <c r="U7439" s="3"/>
      <c r="V7439" s="3"/>
      <c r="W7439" s="3"/>
      <c r="X7439" s="3"/>
      <c r="Y7439" s="3"/>
    </row>
    <row r="7440">
      <c r="A7440" s="3"/>
      <c r="B7440" s="3"/>
      <c r="C7440" s="3"/>
      <c r="D7440" s="3"/>
      <c r="E7440" s="3"/>
      <c r="F7440" s="3"/>
      <c r="G7440" s="3"/>
      <c r="H7440" s="3"/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  <c r="T7440" s="3"/>
      <c r="U7440" s="3"/>
      <c r="V7440" s="3"/>
      <c r="W7440" s="3"/>
      <c r="X7440" s="3"/>
      <c r="Y7440" s="3"/>
    </row>
    <row r="7441">
      <c r="A7441" s="3"/>
      <c r="B7441" s="3"/>
      <c r="C7441" s="3"/>
      <c r="D7441" s="3"/>
      <c r="E7441" s="3"/>
      <c r="F7441" s="3"/>
      <c r="G7441" s="3"/>
      <c r="H7441" s="3"/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  <c r="T7441" s="3"/>
      <c r="U7441" s="3"/>
      <c r="V7441" s="3"/>
      <c r="W7441" s="3"/>
      <c r="X7441" s="3"/>
      <c r="Y7441" s="3"/>
    </row>
    <row r="7442">
      <c r="A7442" s="3"/>
      <c r="B7442" s="3"/>
      <c r="C7442" s="3"/>
      <c r="D7442" s="3"/>
      <c r="E7442" s="3"/>
      <c r="F7442" s="3"/>
      <c r="G7442" s="3"/>
      <c r="H7442" s="3"/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  <c r="T7442" s="3"/>
      <c r="U7442" s="3"/>
      <c r="V7442" s="3"/>
      <c r="W7442" s="3"/>
      <c r="X7442" s="3"/>
      <c r="Y7442" s="3"/>
    </row>
    <row r="7443">
      <c r="A7443" s="3"/>
      <c r="B7443" s="3"/>
      <c r="C7443" s="3"/>
      <c r="D7443" s="3"/>
      <c r="E7443" s="3"/>
      <c r="F7443" s="3"/>
      <c r="G7443" s="3"/>
      <c r="H7443" s="3"/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  <c r="T7443" s="3"/>
      <c r="U7443" s="3"/>
      <c r="V7443" s="3"/>
      <c r="W7443" s="3"/>
      <c r="X7443" s="3"/>
      <c r="Y7443" s="3"/>
    </row>
    <row r="7444">
      <c r="A7444" s="3"/>
      <c r="B7444" s="3"/>
      <c r="C7444" s="3"/>
      <c r="D7444" s="3"/>
      <c r="E7444" s="3"/>
      <c r="F7444" s="3"/>
      <c r="G7444" s="3"/>
      <c r="H7444" s="3"/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  <c r="T7444" s="3"/>
      <c r="U7444" s="3"/>
      <c r="V7444" s="3"/>
      <c r="W7444" s="3"/>
      <c r="X7444" s="3"/>
      <c r="Y7444" s="3"/>
    </row>
    <row r="7445">
      <c r="A7445" s="3"/>
      <c r="B7445" s="3"/>
      <c r="C7445" s="3"/>
      <c r="D7445" s="3"/>
      <c r="E7445" s="3"/>
      <c r="F7445" s="3"/>
      <c r="G7445" s="3"/>
      <c r="H7445" s="3"/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  <c r="T7445" s="3"/>
      <c r="U7445" s="3"/>
      <c r="V7445" s="3"/>
      <c r="W7445" s="3"/>
      <c r="X7445" s="3"/>
      <c r="Y7445" s="3"/>
    </row>
    <row r="7446">
      <c r="A7446" s="3"/>
      <c r="B7446" s="3"/>
      <c r="C7446" s="3"/>
      <c r="D7446" s="3"/>
      <c r="E7446" s="3"/>
      <c r="F7446" s="3"/>
      <c r="G7446" s="3"/>
      <c r="H7446" s="3"/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  <c r="T7446" s="3"/>
      <c r="U7446" s="3"/>
      <c r="V7446" s="3"/>
      <c r="W7446" s="3"/>
      <c r="X7446" s="3"/>
      <c r="Y7446" s="3"/>
    </row>
    <row r="7447">
      <c r="A7447" s="3"/>
      <c r="B7447" s="3"/>
      <c r="C7447" s="3"/>
      <c r="D7447" s="3"/>
      <c r="E7447" s="3"/>
      <c r="F7447" s="3"/>
      <c r="G7447" s="3"/>
      <c r="H7447" s="3"/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  <c r="T7447" s="3"/>
      <c r="U7447" s="3"/>
      <c r="V7447" s="3"/>
      <c r="W7447" s="3"/>
      <c r="X7447" s="3"/>
      <c r="Y7447" s="3"/>
    </row>
    <row r="7448">
      <c r="A7448" s="3"/>
      <c r="B7448" s="3"/>
      <c r="C7448" s="3"/>
      <c r="D7448" s="3"/>
      <c r="E7448" s="3"/>
      <c r="F7448" s="3"/>
      <c r="G7448" s="3"/>
      <c r="H7448" s="3"/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  <c r="T7448" s="3"/>
      <c r="U7448" s="3"/>
      <c r="V7448" s="3"/>
      <c r="W7448" s="3"/>
      <c r="X7448" s="3"/>
      <c r="Y7448" s="3"/>
    </row>
    <row r="7449">
      <c r="A7449" s="3"/>
      <c r="B7449" s="3"/>
      <c r="C7449" s="3"/>
      <c r="D7449" s="3"/>
      <c r="E7449" s="3"/>
      <c r="F7449" s="3"/>
      <c r="G7449" s="3"/>
      <c r="H7449" s="3"/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  <c r="T7449" s="3"/>
      <c r="U7449" s="3"/>
      <c r="V7449" s="3"/>
      <c r="W7449" s="3"/>
      <c r="X7449" s="3"/>
      <c r="Y7449" s="3"/>
    </row>
    <row r="7450">
      <c r="A7450" s="3"/>
      <c r="B7450" s="3"/>
      <c r="C7450" s="3"/>
      <c r="D7450" s="3"/>
      <c r="E7450" s="3"/>
      <c r="F7450" s="3"/>
      <c r="G7450" s="3"/>
      <c r="H7450" s="3"/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  <c r="T7450" s="3"/>
      <c r="U7450" s="3"/>
      <c r="V7450" s="3"/>
      <c r="W7450" s="3"/>
      <c r="X7450" s="3"/>
      <c r="Y7450" s="3"/>
    </row>
    <row r="7451">
      <c r="A7451" s="3"/>
      <c r="B7451" s="3"/>
      <c r="C7451" s="3"/>
      <c r="D7451" s="3"/>
      <c r="E7451" s="3"/>
      <c r="F7451" s="3"/>
      <c r="G7451" s="3"/>
      <c r="H7451" s="3"/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  <c r="T7451" s="3"/>
      <c r="U7451" s="3"/>
      <c r="V7451" s="3"/>
      <c r="W7451" s="3"/>
      <c r="X7451" s="3"/>
      <c r="Y7451" s="3"/>
    </row>
    <row r="7452">
      <c r="A7452" s="3"/>
      <c r="B7452" s="3"/>
      <c r="C7452" s="3"/>
      <c r="D7452" s="3"/>
      <c r="E7452" s="3"/>
      <c r="F7452" s="3"/>
      <c r="G7452" s="3"/>
      <c r="H7452" s="3"/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  <c r="T7452" s="3"/>
      <c r="U7452" s="3"/>
      <c r="V7452" s="3"/>
      <c r="W7452" s="3"/>
      <c r="X7452" s="3"/>
      <c r="Y7452" s="3"/>
    </row>
    <row r="7453">
      <c r="A7453" s="3"/>
      <c r="B7453" s="3"/>
      <c r="C7453" s="3"/>
      <c r="D7453" s="3"/>
      <c r="E7453" s="3"/>
      <c r="F7453" s="3"/>
      <c r="G7453" s="3"/>
      <c r="H7453" s="3"/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  <c r="T7453" s="3"/>
      <c r="U7453" s="3"/>
      <c r="V7453" s="3"/>
      <c r="W7453" s="3"/>
      <c r="X7453" s="3"/>
      <c r="Y7453" s="3"/>
    </row>
    <row r="7454">
      <c r="A7454" s="3"/>
      <c r="B7454" s="3"/>
      <c r="C7454" s="3"/>
      <c r="D7454" s="3"/>
      <c r="E7454" s="3"/>
      <c r="F7454" s="3"/>
      <c r="G7454" s="3"/>
      <c r="H7454" s="3"/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  <c r="T7454" s="3"/>
      <c r="U7454" s="3"/>
      <c r="V7454" s="3"/>
      <c r="W7454" s="3"/>
      <c r="X7454" s="3"/>
      <c r="Y7454" s="3"/>
    </row>
    <row r="7455">
      <c r="A7455" s="3"/>
      <c r="B7455" s="3"/>
      <c r="C7455" s="3"/>
      <c r="D7455" s="3"/>
      <c r="E7455" s="3"/>
      <c r="F7455" s="3"/>
      <c r="G7455" s="3"/>
      <c r="H7455" s="3"/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  <c r="T7455" s="3"/>
      <c r="U7455" s="3"/>
      <c r="V7455" s="3"/>
      <c r="W7455" s="3"/>
      <c r="X7455" s="3"/>
      <c r="Y7455" s="3"/>
    </row>
    <row r="7456">
      <c r="A7456" s="3"/>
      <c r="B7456" s="3"/>
      <c r="C7456" s="3"/>
      <c r="D7456" s="3"/>
      <c r="E7456" s="3"/>
      <c r="F7456" s="3"/>
      <c r="G7456" s="3"/>
      <c r="H7456" s="3"/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  <c r="T7456" s="3"/>
      <c r="U7456" s="3"/>
      <c r="V7456" s="3"/>
      <c r="W7456" s="3"/>
      <c r="X7456" s="3"/>
      <c r="Y7456" s="3"/>
    </row>
    <row r="7457">
      <c r="A7457" s="3"/>
      <c r="B7457" s="3"/>
      <c r="C7457" s="3"/>
      <c r="D7457" s="3"/>
      <c r="E7457" s="3"/>
      <c r="F7457" s="3"/>
      <c r="G7457" s="3"/>
      <c r="H7457" s="3"/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  <c r="T7457" s="3"/>
      <c r="U7457" s="3"/>
      <c r="V7457" s="3"/>
      <c r="W7457" s="3"/>
      <c r="X7457" s="3"/>
      <c r="Y7457" s="3"/>
    </row>
    <row r="7458">
      <c r="A7458" s="3"/>
      <c r="B7458" s="3"/>
      <c r="C7458" s="3"/>
      <c r="D7458" s="3"/>
      <c r="E7458" s="3"/>
      <c r="F7458" s="3"/>
      <c r="G7458" s="3"/>
      <c r="H7458" s="3"/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  <c r="T7458" s="3"/>
      <c r="U7458" s="3"/>
      <c r="V7458" s="3"/>
      <c r="W7458" s="3"/>
      <c r="X7458" s="3"/>
      <c r="Y7458" s="3"/>
    </row>
    <row r="7459">
      <c r="A7459" s="3"/>
      <c r="B7459" s="3"/>
      <c r="C7459" s="3"/>
      <c r="D7459" s="3"/>
      <c r="E7459" s="3"/>
      <c r="F7459" s="3"/>
      <c r="G7459" s="3"/>
      <c r="H7459" s="3"/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  <c r="T7459" s="3"/>
      <c r="U7459" s="3"/>
      <c r="V7459" s="3"/>
      <c r="W7459" s="3"/>
      <c r="X7459" s="3"/>
      <c r="Y7459" s="3"/>
    </row>
    <row r="7460">
      <c r="A7460" s="3"/>
      <c r="B7460" s="3"/>
      <c r="C7460" s="3"/>
      <c r="D7460" s="3"/>
      <c r="E7460" s="3"/>
      <c r="F7460" s="3"/>
      <c r="G7460" s="3"/>
      <c r="H7460" s="3"/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  <c r="T7460" s="3"/>
      <c r="U7460" s="3"/>
      <c r="V7460" s="3"/>
      <c r="W7460" s="3"/>
      <c r="X7460" s="3"/>
      <c r="Y7460" s="3"/>
    </row>
    <row r="7461">
      <c r="A7461" s="3"/>
      <c r="B7461" s="3"/>
      <c r="C7461" s="3"/>
      <c r="D7461" s="3"/>
      <c r="E7461" s="3"/>
      <c r="F7461" s="3"/>
      <c r="G7461" s="3"/>
      <c r="H7461" s="3"/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  <c r="T7461" s="3"/>
      <c r="U7461" s="3"/>
      <c r="V7461" s="3"/>
      <c r="W7461" s="3"/>
      <c r="X7461" s="3"/>
      <c r="Y7461" s="3"/>
    </row>
    <row r="7462">
      <c r="A7462" s="3"/>
      <c r="B7462" s="3"/>
      <c r="C7462" s="3"/>
      <c r="D7462" s="3"/>
      <c r="E7462" s="3"/>
      <c r="F7462" s="3"/>
      <c r="G7462" s="3"/>
      <c r="H7462" s="3"/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  <c r="T7462" s="3"/>
      <c r="U7462" s="3"/>
      <c r="V7462" s="3"/>
      <c r="W7462" s="3"/>
      <c r="X7462" s="3"/>
      <c r="Y7462" s="3"/>
    </row>
    <row r="7463">
      <c r="A7463" s="3"/>
      <c r="B7463" s="3"/>
      <c r="C7463" s="3"/>
      <c r="D7463" s="3"/>
      <c r="E7463" s="3"/>
      <c r="F7463" s="3"/>
      <c r="G7463" s="3"/>
      <c r="H7463" s="3"/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  <c r="T7463" s="3"/>
      <c r="U7463" s="3"/>
      <c r="V7463" s="3"/>
      <c r="W7463" s="3"/>
      <c r="X7463" s="3"/>
      <c r="Y7463" s="3"/>
    </row>
    <row r="7464">
      <c r="A7464" s="3"/>
      <c r="B7464" s="3"/>
      <c r="C7464" s="3"/>
      <c r="D7464" s="3"/>
      <c r="E7464" s="3"/>
      <c r="F7464" s="3"/>
      <c r="G7464" s="3"/>
      <c r="H7464" s="3"/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  <c r="T7464" s="3"/>
      <c r="U7464" s="3"/>
      <c r="V7464" s="3"/>
      <c r="W7464" s="3"/>
      <c r="X7464" s="3"/>
      <c r="Y7464" s="3"/>
    </row>
    <row r="7465">
      <c r="A7465" s="3"/>
      <c r="B7465" s="3"/>
      <c r="C7465" s="3"/>
      <c r="D7465" s="3"/>
      <c r="E7465" s="3"/>
      <c r="F7465" s="3"/>
      <c r="G7465" s="3"/>
      <c r="H7465" s="3"/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  <c r="T7465" s="3"/>
      <c r="U7465" s="3"/>
      <c r="V7465" s="3"/>
      <c r="W7465" s="3"/>
      <c r="X7465" s="3"/>
      <c r="Y7465" s="3"/>
    </row>
    <row r="7466">
      <c r="A7466" s="3"/>
      <c r="B7466" s="3"/>
      <c r="C7466" s="3"/>
      <c r="D7466" s="3"/>
      <c r="E7466" s="3"/>
      <c r="F7466" s="3"/>
      <c r="G7466" s="3"/>
      <c r="H7466" s="3"/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  <c r="T7466" s="3"/>
      <c r="U7466" s="3"/>
      <c r="V7466" s="3"/>
      <c r="W7466" s="3"/>
      <c r="X7466" s="3"/>
      <c r="Y7466" s="3"/>
    </row>
    <row r="7467">
      <c r="A7467" s="3"/>
      <c r="B7467" s="3"/>
      <c r="C7467" s="3"/>
      <c r="D7467" s="3"/>
      <c r="E7467" s="3"/>
      <c r="F7467" s="3"/>
      <c r="G7467" s="3"/>
      <c r="H7467" s="3"/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  <c r="T7467" s="3"/>
      <c r="U7467" s="3"/>
      <c r="V7467" s="3"/>
      <c r="W7467" s="3"/>
      <c r="X7467" s="3"/>
      <c r="Y7467" s="3"/>
    </row>
    <row r="7468">
      <c r="A7468" s="3"/>
      <c r="B7468" s="3"/>
      <c r="C7468" s="3"/>
      <c r="D7468" s="3"/>
      <c r="E7468" s="3"/>
      <c r="F7468" s="3"/>
      <c r="G7468" s="3"/>
      <c r="H7468" s="3"/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  <c r="T7468" s="3"/>
      <c r="U7468" s="3"/>
      <c r="V7468" s="3"/>
      <c r="W7468" s="3"/>
      <c r="X7468" s="3"/>
      <c r="Y7468" s="3"/>
    </row>
    <row r="7469">
      <c r="A7469" s="3"/>
      <c r="B7469" s="3"/>
      <c r="C7469" s="3"/>
      <c r="D7469" s="3"/>
      <c r="E7469" s="3"/>
      <c r="F7469" s="3"/>
      <c r="G7469" s="3"/>
      <c r="H7469" s="3"/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  <c r="T7469" s="3"/>
      <c r="U7469" s="3"/>
      <c r="V7469" s="3"/>
      <c r="W7469" s="3"/>
      <c r="X7469" s="3"/>
      <c r="Y7469" s="3"/>
    </row>
    <row r="7470">
      <c r="A7470" s="3"/>
      <c r="B7470" s="3"/>
      <c r="C7470" s="3"/>
      <c r="D7470" s="3"/>
      <c r="E7470" s="3"/>
      <c r="F7470" s="3"/>
      <c r="G7470" s="3"/>
      <c r="H7470" s="3"/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  <c r="T7470" s="3"/>
      <c r="U7470" s="3"/>
      <c r="V7470" s="3"/>
      <c r="W7470" s="3"/>
      <c r="X7470" s="3"/>
      <c r="Y7470" s="3"/>
    </row>
    <row r="7471">
      <c r="A7471" s="3"/>
      <c r="B7471" s="3"/>
      <c r="C7471" s="3"/>
      <c r="D7471" s="3"/>
      <c r="E7471" s="3"/>
      <c r="F7471" s="3"/>
      <c r="G7471" s="3"/>
      <c r="H7471" s="3"/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  <c r="T7471" s="3"/>
      <c r="U7471" s="3"/>
      <c r="V7471" s="3"/>
      <c r="W7471" s="3"/>
      <c r="X7471" s="3"/>
      <c r="Y7471" s="3"/>
    </row>
    <row r="7472">
      <c r="A7472" s="3"/>
      <c r="B7472" s="3"/>
      <c r="C7472" s="3"/>
      <c r="D7472" s="3"/>
      <c r="E7472" s="3"/>
      <c r="F7472" s="3"/>
      <c r="G7472" s="3"/>
      <c r="H7472" s="3"/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  <c r="T7472" s="3"/>
      <c r="U7472" s="3"/>
      <c r="V7472" s="3"/>
      <c r="W7472" s="3"/>
      <c r="X7472" s="3"/>
      <c r="Y7472" s="3"/>
    </row>
    <row r="7473">
      <c r="A7473" s="3"/>
      <c r="B7473" s="3"/>
      <c r="C7473" s="3"/>
      <c r="D7473" s="3"/>
      <c r="E7473" s="3"/>
      <c r="F7473" s="3"/>
      <c r="G7473" s="3"/>
      <c r="H7473" s="3"/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  <c r="T7473" s="3"/>
      <c r="U7473" s="3"/>
      <c r="V7473" s="3"/>
      <c r="W7473" s="3"/>
      <c r="X7473" s="3"/>
      <c r="Y7473" s="3"/>
    </row>
    <row r="7474">
      <c r="A7474" s="3"/>
      <c r="B7474" s="3"/>
      <c r="C7474" s="3"/>
      <c r="D7474" s="3"/>
      <c r="E7474" s="3"/>
      <c r="F7474" s="3"/>
      <c r="G7474" s="3"/>
      <c r="H7474" s="3"/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  <c r="T7474" s="3"/>
      <c r="U7474" s="3"/>
      <c r="V7474" s="3"/>
      <c r="W7474" s="3"/>
      <c r="X7474" s="3"/>
      <c r="Y7474" s="3"/>
    </row>
    <row r="7475">
      <c r="A7475" s="3"/>
      <c r="B7475" s="3"/>
      <c r="C7475" s="3"/>
      <c r="D7475" s="3"/>
      <c r="E7475" s="3"/>
      <c r="F7475" s="3"/>
      <c r="G7475" s="3"/>
      <c r="H7475" s="3"/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  <c r="T7475" s="3"/>
      <c r="U7475" s="3"/>
      <c r="V7475" s="3"/>
      <c r="W7475" s="3"/>
      <c r="X7475" s="3"/>
      <c r="Y7475" s="3"/>
    </row>
    <row r="7476">
      <c r="A7476" s="3"/>
      <c r="B7476" s="3"/>
      <c r="C7476" s="3"/>
      <c r="D7476" s="3"/>
      <c r="E7476" s="3"/>
      <c r="F7476" s="3"/>
      <c r="G7476" s="3"/>
      <c r="H7476" s="3"/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  <c r="T7476" s="3"/>
      <c r="U7476" s="3"/>
      <c r="V7476" s="3"/>
      <c r="W7476" s="3"/>
      <c r="X7476" s="3"/>
      <c r="Y7476" s="3"/>
    </row>
    <row r="7477">
      <c r="A7477" s="3"/>
      <c r="B7477" s="3"/>
      <c r="C7477" s="3"/>
      <c r="D7477" s="3"/>
      <c r="E7477" s="3"/>
      <c r="F7477" s="3"/>
      <c r="G7477" s="3"/>
      <c r="H7477" s="3"/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  <c r="T7477" s="3"/>
      <c r="U7477" s="3"/>
      <c r="V7477" s="3"/>
      <c r="W7477" s="3"/>
      <c r="X7477" s="3"/>
      <c r="Y7477" s="3"/>
    </row>
    <row r="7478">
      <c r="A7478" s="3"/>
      <c r="B7478" s="3"/>
      <c r="C7478" s="3"/>
      <c r="D7478" s="3"/>
      <c r="E7478" s="3"/>
      <c r="F7478" s="3"/>
      <c r="G7478" s="3"/>
      <c r="H7478" s="3"/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  <c r="T7478" s="3"/>
      <c r="U7478" s="3"/>
      <c r="V7478" s="3"/>
      <c r="W7478" s="3"/>
      <c r="X7478" s="3"/>
      <c r="Y7478" s="3"/>
    </row>
    <row r="7479">
      <c r="A7479" s="3"/>
      <c r="B7479" s="3"/>
      <c r="C7479" s="3"/>
      <c r="D7479" s="3"/>
      <c r="E7479" s="3"/>
      <c r="F7479" s="3"/>
      <c r="G7479" s="3"/>
      <c r="H7479" s="3"/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  <c r="T7479" s="3"/>
      <c r="U7479" s="3"/>
      <c r="V7479" s="3"/>
      <c r="W7479" s="3"/>
      <c r="X7479" s="3"/>
      <c r="Y7479" s="3"/>
    </row>
    <row r="7480">
      <c r="A7480" s="3"/>
      <c r="B7480" s="3"/>
      <c r="C7480" s="3"/>
      <c r="D7480" s="3"/>
      <c r="E7480" s="3"/>
      <c r="F7480" s="3"/>
      <c r="G7480" s="3"/>
      <c r="H7480" s="3"/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  <c r="T7480" s="3"/>
      <c r="U7480" s="3"/>
      <c r="V7480" s="3"/>
      <c r="W7480" s="3"/>
      <c r="X7480" s="3"/>
      <c r="Y7480" s="3"/>
    </row>
    <row r="7481">
      <c r="A7481" s="3"/>
      <c r="B7481" s="3"/>
      <c r="C7481" s="3"/>
      <c r="D7481" s="3"/>
      <c r="E7481" s="3"/>
      <c r="F7481" s="3"/>
      <c r="G7481" s="3"/>
      <c r="H7481" s="3"/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  <c r="T7481" s="3"/>
      <c r="U7481" s="3"/>
      <c r="V7481" s="3"/>
      <c r="W7481" s="3"/>
      <c r="X7481" s="3"/>
      <c r="Y7481" s="3"/>
    </row>
    <row r="7482">
      <c r="A7482" s="3"/>
      <c r="B7482" s="3"/>
      <c r="C7482" s="3"/>
      <c r="D7482" s="3"/>
      <c r="E7482" s="3"/>
      <c r="F7482" s="3"/>
      <c r="G7482" s="3"/>
      <c r="H7482" s="3"/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  <c r="T7482" s="3"/>
      <c r="U7482" s="3"/>
      <c r="V7482" s="3"/>
      <c r="W7482" s="3"/>
      <c r="X7482" s="3"/>
      <c r="Y7482" s="3"/>
    </row>
    <row r="7483">
      <c r="A7483" s="3"/>
      <c r="B7483" s="3"/>
      <c r="C7483" s="3"/>
      <c r="D7483" s="3"/>
      <c r="E7483" s="3"/>
      <c r="F7483" s="3"/>
      <c r="G7483" s="3"/>
      <c r="H7483" s="3"/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  <c r="T7483" s="3"/>
      <c r="U7483" s="3"/>
      <c r="V7483" s="3"/>
      <c r="W7483" s="3"/>
      <c r="X7483" s="3"/>
      <c r="Y7483" s="3"/>
    </row>
    <row r="7484">
      <c r="A7484" s="3"/>
      <c r="B7484" s="3"/>
      <c r="C7484" s="3"/>
      <c r="D7484" s="3"/>
      <c r="E7484" s="3"/>
      <c r="F7484" s="3"/>
      <c r="G7484" s="3"/>
      <c r="H7484" s="3"/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  <c r="T7484" s="3"/>
      <c r="U7484" s="3"/>
      <c r="V7484" s="3"/>
      <c r="W7484" s="3"/>
      <c r="X7484" s="3"/>
      <c r="Y7484" s="3"/>
    </row>
    <row r="7485">
      <c r="A7485" s="3"/>
      <c r="B7485" s="3"/>
      <c r="C7485" s="3"/>
      <c r="D7485" s="3"/>
      <c r="E7485" s="3"/>
      <c r="F7485" s="3"/>
      <c r="G7485" s="3"/>
      <c r="H7485" s="3"/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  <c r="T7485" s="3"/>
      <c r="U7485" s="3"/>
      <c r="V7485" s="3"/>
      <c r="W7485" s="3"/>
      <c r="X7485" s="3"/>
      <c r="Y7485" s="3"/>
    </row>
    <row r="7486">
      <c r="A7486" s="3"/>
      <c r="B7486" s="3"/>
      <c r="C7486" s="3"/>
      <c r="D7486" s="3"/>
      <c r="E7486" s="3"/>
      <c r="F7486" s="3"/>
      <c r="G7486" s="3"/>
      <c r="H7486" s="3"/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  <c r="T7486" s="3"/>
      <c r="U7486" s="3"/>
      <c r="V7486" s="3"/>
      <c r="W7486" s="3"/>
      <c r="X7486" s="3"/>
      <c r="Y7486" s="3"/>
    </row>
    <row r="7487">
      <c r="A7487" s="3"/>
      <c r="B7487" s="3"/>
      <c r="C7487" s="3"/>
      <c r="D7487" s="3"/>
      <c r="E7487" s="3"/>
      <c r="F7487" s="3"/>
      <c r="G7487" s="3"/>
      <c r="H7487" s="3"/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  <c r="T7487" s="3"/>
      <c r="U7487" s="3"/>
      <c r="V7487" s="3"/>
      <c r="W7487" s="3"/>
      <c r="X7487" s="3"/>
      <c r="Y7487" s="3"/>
    </row>
    <row r="7488">
      <c r="A7488" s="3"/>
      <c r="B7488" s="3"/>
      <c r="C7488" s="3"/>
      <c r="D7488" s="3"/>
      <c r="E7488" s="3"/>
      <c r="F7488" s="3"/>
      <c r="G7488" s="3"/>
      <c r="H7488" s="3"/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  <c r="T7488" s="3"/>
      <c r="U7488" s="3"/>
      <c r="V7488" s="3"/>
      <c r="W7488" s="3"/>
      <c r="X7488" s="3"/>
      <c r="Y7488" s="3"/>
    </row>
    <row r="7489">
      <c r="A7489" s="3"/>
      <c r="B7489" s="3"/>
      <c r="C7489" s="3"/>
      <c r="D7489" s="3"/>
      <c r="E7489" s="3"/>
      <c r="F7489" s="3"/>
      <c r="G7489" s="3"/>
      <c r="H7489" s="3"/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  <c r="T7489" s="3"/>
      <c r="U7489" s="3"/>
      <c r="V7489" s="3"/>
      <c r="W7489" s="3"/>
      <c r="X7489" s="3"/>
      <c r="Y7489" s="3"/>
    </row>
    <row r="7490">
      <c r="A7490" s="3"/>
      <c r="B7490" s="3"/>
      <c r="C7490" s="3"/>
      <c r="D7490" s="3"/>
      <c r="E7490" s="3"/>
      <c r="F7490" s="3"/>
      <c r="G7490" s="3"/>
      <c r="H7490" s="3"/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  <c r="T7490" s="3"/>
      <c r="U7490" s="3"/>
      <c r="V7490" s="3"/>
      <c r="W7490" s="3"/>
      <c r="X7490" s="3"/>
      <c r="Y7490" s="3"/>
    </row>
    <row r="7491">
      <c r="A7491" s="3"/>
      <c r="B7491" s="3"/>
      <c r="C7491" s="3"/>
      <c r="D7491" s="3"/>
      <c r="E7491" s="3"/>
      <c r="F7491" s="3"/>
      <c r="G7491" s="3"/>
      <c r="H7491" s="3"/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  <c r="T7491" s="3"/>
      <c r="U7491" s="3"/>
      <c r="V7491" s="3"/>
      <c r="W7491" s="3"/>
      <c r="X7491" s="3"/>
      <c r="Y7491" s="3"/>
    </row>
    <row r="7492">
      <c r="A7492" s="3"/>
      <c r="B7492" s="3"/>
      <c r="C7492" s="3"/>
      <c r="D7492" s="3"/>
      <c r="E7492" s="3"/>
      <c r="F7492" s="3"/>
      <c r="G7492" s="3"/>
      <c r="H7492" s="3"/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  <c r="T7492" s="3"/>
      <c r="U7492" s="3"/>
      <c r="V7492" s="3"/>
      <c r="W7492" s="3"/>
      <c r="X7492" s="3"/>
      <c r="Y7492" s="3"/>
    </row>
    <row r="7493">
      <c r="A7493" s="3"/>
      <c r="B7493" s="3"/>
      <c r="C7493" s="3"/>
      <c r="D7493" s="3"/>
      <c r="E7493" s="3"/>
      <c r="F7493" s="3"/>
      <c r="G7493" s="3"/>
      <c r="H7493" s="3"/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  <c r="T7493" s="3"/>
      <c r="U7493" s="3"/>
      <c r="V7493" s="3"/>
      <c r="W7493" s="3"/>
      <c r="X7493" s="3"/>
      <c r="Y7493" s="3"/>
    </row>
    <row r="7494">
      <c r="A7494" s="3"/>
      <c r="B7494" s="3"/>
      <c r="C7494" s="3"/>
      <c r="D7494" s="3"/>
      <c r="E7494" s="3"/>
      <c r="F7494" s="3"/>
      <c r="G7494" s="3"/>
      <c r="H7494" s="3"/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  <c r="T7494" s="3"/>
      <c r="U7494" s="3"/>
      <c r="V7494" s="3"/>
      <c r="W7494" s="3"/>
      <c r="X7494" s="3"/>
      <c r="Y7494" s="3"/>
    </row>
    <row r="7495">
      <c r="A7495" s="3"/>
      <c r="B7495" s="3"/>
      <c r="C7495" s="3"/>
      <c r="D7495" s="3"/>
      <c r="E7495" s="3"/>
      <c r="F7495" s="3"/>
      <c r="G7495" s="3"/>
      <c r="H7495" s="3"/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  <c r="T7495" s="3"/>
      <c r="U7495" s="3"/>
      <c r="V7495" s="3"/>
      <c r="W7495" s="3"/>
      <c r="X7495" s="3"/>
      <c r="Y7495" s="3"/>
    </row>
    <row r="7496">
      <c r="A7496" s="3"/>
      <c r="B7496" s="3"/>
      <c r="C7496" s="3"/>
      <c r="D7496" s="3"/>
      <c r="E7496" s="3"/>
      <c r="F7496" s="3"/>
      <c r="G7496" s="3"/>
      <c r="H7496" s="3"/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  <c r="T7496" s="3"/>
      <c r="U7496" s="3"/>
      <c r="V7496" s="3"/>
      <c r="W7496" s="3"/>
      <c r="X7496" s="3"/>
      <c r="Y7496" s="3"/>
    </row>
    <row r="7497">
      <c r="A7497" s="3"/>
      <c r="B7497" s="3"/>
      <c r="C7497" s="3"/>
      <c r="D7497" s="3"/>
      <c r="E7497" s="3"/>
      <c r="F7497" s="3"/>
      <c r="G7497" s="3"/>
      <c r="H7497" s="3"/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  <c r="T7497" s="3"/>
      <c r="U7497" s="3"/>
      <c r="V7497" s="3"/>
      <c r="W7497" s="3"/>
      <c r="X7497" s="3"/>
      <c r="Y7497" s="3"/>
    </row>
    <row r="7498">
      <c r="A7498" s="3"/>
      <c r="B7498" s="3"/>
      <c r="C7498" s="3"/>
      <c r="D7498" s="3"/>
      <c r="E7498" s="3"/>
      <c r="F7498" s="3"/>
      <c r="G7498" s="3"/>
      <c r="H7498" s="3"/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  <c r="T7498" s="3"/>
      <c r="U7498" s="3"/>
      <c r="V7498" s="3"/>
      <c r="W7498" s="3"/>
      <c r="X7498" s="3"/>
      <c r="Y7498" s="3"/>
    </row>
    <row r="7499">
      <c r="A7499" s="3"/>
      <c r="B7499" s="3"/>
      <c r="C7499" s="3"/>
      <c r="D7499" s="3"/>
      <c r="E7499" s="3"/>
      <c r="F7499" s="3"/>
      <c r="G7499" s="3"/>
      <c r="H7499" s="3"/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  <c r="T7499" s="3"/>
      <c r="U7499" s="3"/>
      <c r="V7499" s="3"/>
      <c r="W7499" s="3"/>
      <c r="X7499" s="3"/>
      <c r="Y7499" s="3"/>
    </row>
    <row r="7500">
      <c r="A7500" s="3"/>
      <c r="B7500" s="3"/>
      <c r="C7500" s="3"/>
      <c r="D7500" s="3"/>
      <c r="E7500" s="3"/>
      <c r="F7500" s="3"/>
      <c r="G7500" s="3"/>
      <c r="H7500" s="3"/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  <c r="T7500" s="3"/>
      <c r="U7500" s="3"/>
      <c r="V7500" s="3"/>
      <c r="W7500" s="3"/>
      <c r="X7500" s="3"/>
      <c r="Y7500" s="3"/>
    </row>
    <row r="7501">
      <c r="A7501" s="3"/>
      <c r="B7501" s="3"/>
      <c r="C7501" s="3"/>
      <c r="D7501" s="3"/>
      <c r="E7501" s="3"/>
      <c r="F7501" s="3"/>
      <c r="G7501" s="3"/>
      <c r="H7501" s="3"/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  <c r="T7501" s="3"/>
      <c r="U7501" s="3"/>
      <c r="V7501" s="3"/>
      <c r="W7501" s="3"/>
      <c r="X7501" s="3"/>
      <c r="Y7501" s="3"/>
    </row>
    <row r="7502">
      <c r="A7502" s="3"/>
      <c r="B7502" s="3"/>
      <c r="C7502" s="3"/>
      <c r="D7502" s="3"/>
      <c r="E7502" s="3"/>
      <c r="F7502" s="3"/>
      <c r="G7502" s="3"/>
      <c r="H7502" s="3"/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  <c r="T7502" s="3"/>
      <c r="U7502" s="3"/>
      <c r="V7502" s="3"/>
      <c r="W7502" s="3"/>
      <c r="X7502" s="3"/>
      <c r="Y7502" s="3"/>
    </row>
    <row r="7503">
      <c r="A7503" s="3"/>
      <c r="B7503" s="3"/>
      <c r="C7503" s="3"/>
      <c r="D7503" s="3"/>
      <c r="E7503" s="3"/>
      <c r="F7503" s="3"/>
      <c r="G7503" s="3"/>
      <c r="H7503" s="3"/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  <c r="T7503" s="3"/>
      <c r="U7503" s="3"/>
      <c r="V7503" s="3"/>
      <c r="W7503" s="3"/>
      <c r="X7503" s="3"/>
      <c r="Y7503" s="3"/>
    </row>
    <row r="7504">
      <c r="A7504" s="3"/>
      <c r="B7504" s="3"/>
      <c r="C7504" s="3"/>
      <c r="D7504" s="3"/>
      <c r="E7504" s="3"/>
      <c r="F7504" s="3"/>
      <c r="G7504" s="3"/>
      <c r="H7504" s="3"/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  <c r="T7504" s="3"/>
      <c r="U7504" s="3"/>
      <c r="V7504" s="3"/>
      <c r="W7504" s="3"/>
      <c r="X7504" s="3"/>
      <c r="Y7504" s="3"/>
    </row>
    <row r="7505">
      <c r="A7505" s="3"/>
      <c r="B7505" s="3"/>
      <c r="C7505" s="3"/>
      <c r="D7505" s="3"/>
      <c r="E7505" s="3"/>
      <c r="F7505" s="3"/>
      <c r="G7505" s="3"/>
      <c r="H7505" s="3"/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  <c r="T7505" s="3"/>
      <c r="U7505" s="3"/>
      <c r="V7505" s="3"/>
      <c r="W7505" s="3"/>
      <c r="X7505" s="3"/>
      <c r="Y7505" s="3"/>
    </row>
    <row r="7506">
      <c r="A7506" s="3"/>
      <c r="B7506" s="3"/>
      <c r="C7506" s="3"/>
      <c r="D7506" s="3"/>
      <c r="E7506" s="3"/>
      <c r="F7506" s="3"/>
      <c r="G7506" s="3"/>
      <c r="H7506" s="3"/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  <c r="T7506" s="3"/>
      <c r="U7506" s="3"/>
      <c r="V7506" s="3"/>
      <c r="W7506" s="3"/>
      <c r="X7506" s="3"/>
      <c r="Y7506" s="3"/>
    </row>
    <row r="7507">
      <c r="A7507" s="3"/>
      <c r="B7507" s="3"/>
      <c r="C7507" s="3"/>
      <c r="D7507" s="3"/>
      <c r="E7507" s="3"/>
      <c r="F7507" s="3"/>
      <c r="G7507" s="3"/>
      <c r="H7507" s="3"/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  <c r="T7507" s="3"/>
      <c r="U7507" s="3"/>
      <c r="V7507" s="3"/>
      <c r="W7507" s="3"/>
      <c r="X7507" s="3"/>
      <c r="Y7507" s="3"/>
    </row>
    <row r="7508">
      <c r="A7508" s="3"/>
      <c r="B7508" s="3"/>
      <c r="C7508" s="3"/>
      <c r="D7508" s="3"/>
      <c r="E7508" s="3"/>
      <c r="F7508" s="3"/>
      <c r="G7508" s="3"/>
      <c r="H7508" s="3"/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  <c r="T7508" s="3"/>
      <c r="U7508" s="3"/>
      <c r="V7508" s="3"/>
      <c r="W7508" s="3"/>
      <c r="X7508" s="3"/>
      <c r="Y7508" s="3"/>
    </row>
    <row r="7509">
      <c r="A7509" s="3"/>
      <c r="B7509" s="3"/>
      <c r="C7509" s="3"/>
      <c r="D7509" s="3"/>
      <c r="E7509" s="3"/>
      <c r="F7509" s="3"/>
      <c r="G7509" s="3"/>
      <c r="H7509" s="3"/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  <c r="T7509" s="3"/>
      <c r="U7509" s="3"/>
      <c r="V7509" s="3"/>
      <c r="W7509" s="3"/>
      <c r="X7509" s="3"/>
      <c r="Y7509" s="3"/>
    </row>
    <row r="7510">
      <c r="A7510" s="3"/>
      <c r="B7510" s="3"/>
      <c r="C7510" s="3"/>
      <c r="D7510" s="3"/>
      <c r="E7510" s="3"/>
      <c r="F7510" s="3"/>
      <c r="G7510" s="3"/>
      <c r="H7510" s="3"/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  <c r="T7510" s="3"/>
      <c r="U7510" s="3"/>
      <c r="V7510" s="3"/>
      <c r="W7510" s="3"/>
      <c r="X7510" s="3"/>
      <c r="Y7510" s="3"/>
    </row>
    <row r="7511">
      <c r="A7511" s="3"/>
      <c r="B7511" s="3"/>
      <c r="C7511" s="3"/>
      <c r="D7511" s="3"/>
      <c r="E7511" s="3"/>
      <c r="F7511" s="3"/>
      <c r="G7511" s="3"/>
      <c r="H7511" s="3"/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  <c r="T7511" s="3"/>
      <c r="U7511" s="3"/>
      <c r="V7511" s="3"/>
      <c r="W7511" s="3"/>
      <c r="X7511" s="3"/>
      <c r="Y7511" s="3"/>
    </row>
    <row r="7512">
      <c r="A7512" s="3"/>
      <c r="B7512" s="3"/>
      <c r="C7512" s="3"/>
      <c r="D7512" s="3"/>
      <c r="E7512" s="3"/>
      <c r="F7512" s="3"/>
      <c r="G7512" s="3"/>
      <c r="H7512" s="3"/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  <c r="T7512" s="3"/>
      <c r="U7512" s="3"/>
      <c r="V7512" s="3"/>
      <c r="W7512" s="3"/>
      <c r="X7512" s="3"/>
      <c r="Y7512" s="3"/>
    </row>
    <row r="7513">
      <c r="A7513" s="3"/>
      <c r="B7513" s="3"/>
      <c r="C7513" s="3"/>
      <c r="D7513" s="3"/>
      <c r="E7513" s="3"/>
      <c r="F7513" s="3"/>
      <c r="G7513" s="3"/>
      <c r="H7513" s="3"/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  <c r="T7513" s="3"/>
      <c r="U7513" s="3"/>
      <c r="V7513" s="3"/>
      <c r="W7513" s="3"/>
      <c r="X7513" s="3"/>
      <c r="Y7513" s="3"/>
    </row>
    <row r="7514">
      <c r="A7514" s="3"/>
      <c r="B7514" s="3"/>
      <c r="C7514" s="3"/>
      <c r="D7514" s="3"/>
      <c r="E7514" s="3"/>
      <c r="F7514" s="3"/>
      <c r="G7514" s="3"/>
      <c r="H7514" s="3"/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  <c r="T7514" s="3"/>
      <c r="U7514" s="3"/>
      <c r="V7514" s="3"/>
      <c r="W7514" s="3"/>
      <c r="X7514" s="3"/>
      <c r="Y7514" s="3"/>
    </row>
    <row r="7515">
      <c r="A7515" s="3"/>
      <c r="B7515" s="3"/>
      <c r="C7515" s="3"/>
      <c r="D7515" s="3"/>
      <c r="E7515" s="3"/>
      <c r="F7515" s="3"/>
      <c r="G7515" s="3"/>
      <c r="H7515" s="3"/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  <c r="T7515" s="3"/>
      <c r="U7515" s="3"/>
      <c r="V7515" s="3"/>
      <c r="W7515" s="3"/>
      <c r="X7515" s="3"/>
      <c r="Y7515" s="3"/>
    </row>
    <row r="7516">
      <c r="A7516" s="3"/>
      <c r="B7516" s="3"/>
      <c r="C7516" s="3"/>
      <c r="D7516" s="3"/>
      <c r="E7516" s="3"/>
      <c r="F7516" s="3"/>
      <c r="G7516" s="3"/>
      <c r="H7516" s="3"/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  <c r="T7516" s="3"/>
      <c r="U7516" s="3"/>
      <c r="V7516" s="3"/>
      <c r="W7516" s="3"/>
      <c r="X7516" s="3"/>
      <c r="Y7516" s="3"/>
    </row>
    <row r="7517">
      <c r="A7517" s="3"/>
      <c r="B7517" s="3"/>
      <c r="C7517" s="3"/>
      <c r="D7517" s="3"/>
      <c r="E7517" s="3"/>
      <c r="F7517" s="3"/>
      <c r="G7517" s="3"/>
      <c r="H7517" s="3"/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  <c r="T7517" s="3"/>
      <c r="U7517" s="3"/>
      <c r="V7517" s="3"/>
      <c r="W7517" s="3"/>
      <c r="X7517" s="3"/>
      <c r="Y7517" s="3"/>
    </row>
    <row r="7518">
      <c r="A7518" s="3"/>
      <c r="B7518" s="3"/>
      <c r="C7518" s="3"/>
      <c r="D7518" s="3"/>
      <c r="E7518" s="3"/>
      <c r="F7518" s="3"/>
      <c r="G7518" s="3"/>
      <c r="H7518" s="3"/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  <c r="T7518" s="3"/>
      <c r="U7518" s="3"/>
      <c r="V7518" s="3"/>
      <c r="W7518" s="3"/>
      <c r="X7518" s="3"/>
      <c r="Y7518" s="3"/>
    </row>
    <row r="7519">
      <c r="A7519" s="3"/>
      <c r="B7519" s="3"/>
      <c r="C7519" s="3"/>
      <c r="D7519" s="3"/>
      <c r="E7519" s="3"/>
      <c r="F7519" s="3"/>
      <c r="G7519" s="3"/>
      <c r="H7519" s="3"/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  <c r="T7519" s="3"/>
      <c r="U7519" s="3"/>
      <c r="V7519" s="3"/>
      <c r="W7519" s="3"/>
      <c r="X7519" s="3"/>
      <c r="Y7519" s="3"/>
    </row>
    <row r="7520">
      <c r="A7520" s="3"/>
      <c r="B7520" s="3"/>
      <c r="C7520" s="3"/>
      <c r="D7520" s="3"/>
      <c r="E7520" s="3"/>
      <c r="F7520" s="3"/>
      <c r="G7520" s="3"/>
      <c r="H7520" s="3"/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  <c r="T7520" s="3"/>
      <c r="U7520" s="3"/>
      <c r="V7520" s="3"/>
      <c r="W7520" s="3"/>
      <c r="X7520" s="3"/>
      <c r="Y7520" s="3"/>
    </row>
    <row r="7521">
      <c r="A7521" s="3"/>
      <c r="B7521" s="3"/>
      <c r="C7521" s="3"/>
      <c r="D7521" s="3"/>
      <c r="E7521" s="3"/>
      <c r="F7521" s="3"/>
      <c r="G7521" s="3"/>
      <c r="H7521" s="3"/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  <c r="T7521" s="3"/>
      <c r="U7521" s="3"/>
      <c r="V7521" s="3"/>
      <c r="W7521" s="3"/>
      <c r="X7521" s="3"/>
      <c r="Y7521" s="3"/>
    </row>
    <row r="7522">
      <c r="A7522" s="3"/>
      <c r="B7522" s="3"/>
      <c r="C7522" s="3"/>
      <c r="D7522" s="3"/>
      <c r="E7522" s="3"/>
      <c r="F7522" s="3"/>
      <c r="G7522" s="3"/>
      <c r="H7522" s="3"/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  <c r="T7522" s="3"/>
      <c r="U7522" s="3"/>
      <c r="V7522" s="3"/>
      <c r="W7522" s="3"/>
      <c r="X7522" s="3"/>
      <c r="Y7522" s="3"/>
    </row>
    <row r="7523">
      <c r="A7523" s="3"/>
      <c r="B7523" s="3"/>
      <c r="C7523" s="3"/>
      <c r="D7523" s="3"/>
      <c r="E7523" s="3"/>
      <c r="F7523" s="3"/>
      <c r="G7523" s="3"/>
      <c r="H7523" s="3"/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  <c r="T7523" s="3"/>
      <c r="U7523" s="3"/>
      <c r="V7523" s="3"/>
      <c r="W7523" s="3"/>
      <c r="X7523" s="3"/>
      <c r="Y7523" s="3"/>
    </row>
    <row r="7524">
      <c r="A7524" s="3"/>
      <c r="B7524" s="3"/>
      <c r="C7524" s="3"/>
      <c r="D7524" s="3"/>
      <c r="E7524" s="3"/>
      <c r="F7524" s="3"/>
      <c r="G7524" s="3"/>
      <c r="H7524" s="3"/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  <c r="T7524" s="3"/>
      <c r="U7524" s="3"/>
      <c r="V7524" s="3"/>
      <c r="W7524" s="3"/>
      <c r="X7524" s="3"/>
      <c r="Y7524" s="3"/>
    </row>
    <row r="7525">
      <c r="A7525" s="3"/>
      <c r="B7525" s="3"/>
      <c r="C7525" s="3"/>
      <c r="D7525" s="3"/>
      <c r="E7525" s="3"/>
      <c r="F7525" s="3"/>
      <c r="G7525" s="3"/>
      <c r="H7525" s="3"/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  <c r="T7525" s="3"/>
      <c r="U7525" s="3"/>
      <c r="V7525" s="3"/>
      <c r="W7525" s="3"/>
      <c r="X7525" s="3"/>
      <c r="Y7525" s="3"/>
    </row>
    <row r="7526">
      <c r="A7526" s="3"/>
      <c r="B7526" s="3"/>
      <c r="C7526" s="3"/>
      <c r="D7526" s="3"/>
      <c r="E7526" s="3"/>
      <c r="F7526" s="3"/>
      <c r="G7526" s="3"/>
      <c r="H7526" s="3"/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  <c r="T7526" s="3"/>
      <c r="U7526" s="3"/>
      <c r="V7526" s="3"/>
      <c r="W7526" s="3"/>
      <c r="X7526" s="3"/>
      <c r="Y7526" s="3"/>
    </row>
    <row r="7527">
      <c r="A7527" s="3"/>
      <c r="B7527" s="3"/>
      <c r="C7527" s="3"/>
      <c r="D7527" s="3"/>
      <c r="E7527" s="3"/>
      <c r="F7527" s="3"/>
      <c r="G7527" s="3"/>
      <c r="H7527" s="3"/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  <c r="T7527" s="3"/>
      <c r="U7527" s="3"/>
      <c r="V7527" s="3"/>
      <c r="W7527" s="3"/>
      <c r="X7527" s="3"/>
      <c r="Y7527" s="3"/>
    </row>
    <row r="7528">
      <c r="A7528" s="3"/>
      <c r="B7528" s="3"/>
      <c r="C7528" s="3"/>
      <c r="D7528" s="3"/>
      <c r="E7528" s="3"/>
      <c r="F7528" s="3"/>
      <c r="G7528" s="3"/>
      <c r="H7528" s="3"/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  <c r="T7528" s="3"/>
      <c r="U7528" s="3"/>
      <c r="V7528" s="3"/>
      <c r="W7528" s="3"/>
      <c r="X7528" s="3"/>
      <c r="Y7528" s="3"/>
    </row>
    <row r="7529">
      <c r="A7529" s="3"/>
      <c r="B7529" s="3"/>
      <c r="C7529" s="3"/>
      <c r="D7529" s="3"/>
      <c r="E7529" s="3"/>
      <c r="F7529" s="3"/>
      <c r="G7529" s="3"/>
      <c r="H7529" s="3"/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  <c r="T7529" s="3"/>
      <c r="U7529" s="3"/>
      <c r="V7529" s="3"/>
      <c r="W7529" s="3"/>
      <c r="X7529" s="3"/>
      <c r="Y7529" s="3"/>
    </row>
    <row r="7530">
      <c r="A7530" s="3"/>
      <c r="B7530" s="3"/>
      <c r="C7530" s="3"/>
      <c r="D7530" s="3"/>
      <c r="E7530" s="3"/>
      <c r="F7530" s="3"/>
      <c r="G7530" s="3"/>
      <c r="H7530" s="3"/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  <c r="T7530" s="3"/>
      <c r="U7530" s="3"/>
      <c r="V7530" s="3"/>
      <c r="W7530" s="3"/>
      <c r="X7530" s="3"/>
      <c r="Y7530" s="3"/>
    </row>
    <row r="7531">
      <c r="A7531" s="3"/>
      <c r="B7531" s="3"/>
      <c r="C7531" s="3"/>
      <c r="D7531" s="3"/>
      <c r="E7531" s="3"/>
      <c r="F7531" s="3"/>
      <c r="G7531" s="3"/>
      <c r="H7531" s="3"/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  <c r="T7531" s="3"/>
      <c r="U7531" s="3"/>
      <c r="V7531" s="3"/>
      <c r="W7531" s="3"/>
      <c r="X7531" s="3"/>
      <c r="Y7531" s="3"/>
    </row>
    <row r="7532">
      <c r="A7532" s="3"/>
      <c r="B7532" s="3"/>
      <c r="C7532" s="3"/>
      <c r="D7532" s="3"/>
      <c r="E7532" s="3"/>
      <c r="F7532" s="3"/>
      <c r="G7532" s="3"/>
      <c r="H7532" s="3"/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  <c r="T7532" s="3"/>
      <c r="U7532" s="3"/>
      <c r="V7532" s="3"/>
      <c r="W7532" s="3"/>
      <c r="X7532" s="3"/>
      <c r="Y7532" s="3"/>
    </row>
    <row r="7533">
      <c r="A7533" s="3"/>
      <c r="B7533" s="3"/>
      <c r="C7533" s="3"/>
      <c r="D7533" s="3"/>
      <c r="E7533" s="3"/>
      <c r="F7533" s="3"/>
      <c r="G7533" s="3"/>
      <c r="H7533" s="3"/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  <c r="T7533" s="3"/>
      <c r="U7533" s="3"/>
      <c r="V7533" s="3"/>
      <c r="W7533" s="3"/>
      <c r="X7533" s="3"/>
      <c r="Y7533" s="3"/>
    </row>
    <row r="7534">
      <c r="A7534" s="3"/>
      <c r="B7534" s="3"/>
      <c r="C7534" s="3"/>
      <c r="D7534" s="3"/>
      <c r="E7534" s="3"/>
      <c r="F7534" s="3"/>
      <c r="G7534" s="3"/>
      <c r="H7534" s="3"/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  <c r="T7534" s="3"/>
      <c r="U7534" s="3"/>
      <c r="V7534" s="3"/>
      <c r="W7534" s="3"/>
      <c r="X7534" s="3"/>
      <c r="Y7534" s="3"/>
    </row>
    <row r="7535">
      <c r="A7535" s="3"/>
      <c r="B7535" s="3"/>
      <c r="C7535" s="3"/>
      <c r="D7535" s="3"/>
      <c r="E7535" s="3"/>
      <c r="F7535" s="3"/>
      <c r="G7535" s="3"/>
      <c r="H7535" s="3"/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  <c r="T7535" s="3"/>
      <c r="U7535" s="3"/>
      <c r="V7535" s="3"/>
      <c r="W7535" s="3"/>
      <c r="X7535" s="3"/>
      <c r="Y7535" s="3"/>
    </row>
    <row r="7536">
      <c r="A7536" s="3"/>
      <c r="B7536" s="3"/>
      <c r="C7536" s="3"/>
      <c r="D7536" s="3"/>
      <c r="E7536" s="3"/>
      <c r="F7536" s="3"/>
      <c r="G7536" s="3"/>
      <c r="H7536" s="3"/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  <c r="T7536" s="3"/>
      <c r="U7536" s="3"/>
      <c r="V7536" s="3"/>
      <c r="W7536" s="3"/>
      <c r="X7536" s="3"/>
      <c r="Y7536" s="3"/>
    </row>
    <row r="7537">
      <c r="A7537" s="3"/>
      <c r="B7537" s="3"/>
      <c r="C7537" s="3"/>
      <c r="D7537" s="3"/>
      <c r="E7537" s="3"/>
      <c r="F7537" s="3"/>
      <c r="G7537" s="3"/>
      <c r="H7537" s="3"/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  <c r="T7537" s="3"/>
      <c r="U7537" s="3"/>
      <c r="V7537" s="3"/>
      <c r="W7537" s="3"/>
      <c r="X7537" s="3"/>
      <c r="Y7537" s="3"/>
    </row>
    <row r="7538">
      <c r="A7538" s="3"/>
      <c r="B7538" s="3"/>
      <c r="C7538" s="3"/>
      <c r="D7538" s="3"/>
      <c r="E7538" s="3"/>
      <c r="F7538" s="3"/>
      <c r="G7538" s="3"/>
      <c r="H7538" s="3"/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  <c r="T7538" s="3"/>
      <c r="U7538" s="3"/>
      <c r="V7538" s="3"/>
      <c r="W7538" s="3"/>
      <c r="X7538" s="3"/>
      <c r="Y7538" s="3"/>
    </row>
    <row r="7539">
      <c r="A7539" s="3"/>
      <c r="B7539" s="3"/>
      <c r="C7539" s="3"/>
      <c r="D7539" s="3"/>
      <c r="E7539" s="3"/>
      <c r="F7539" s="3"/>
      <c r="G7539" s="3"/>
      <c r="H7539" s="3"/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  <c r="T7539" s="3"/>
      <c r="U7539" s="3"/>
      <c r="V7539" s="3"/>
      <c r="W7539" s="3"/>
      <c r="X7539" s="3"/>
      <c r="Y7539" s="3"/>
    </row>
    <row r="7540">
      <c r="A7540" s="3"/>
      <c r="B7540" s="3"/>
      <c r="C7540" s="3"/>
      <c r="D7540" s="3"/>
      <c r="E7540" s="3"/>
      <c r="F7540" s="3"/>
      <c r="G7540" s="3"/>
      <c r="H7540" s="3"/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  <c r="T7540" s="3"/>
      <c r="U7540" s="3"/>
      <c r="V7540" s="3"/>
      <c r="W7540" s="3"/>
      <c r="X7540" s="3"/>
      <c r="Y7540" s="3"/>
    </row>
    <row r="7541">
      <c r="A7541" s="3"/>
      <c r="B7541" s="3"/>
      <c r="C7541" s="3"/>
      <c r="D7541" s="3"/>
      <c r="E7541" s="3"/>
      <c r="F7541" s="3"/>
      <c r="G7541" s="3"/>
      <c r="H7541" s="3"/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  <c r="T7541" s="3"/>
      <c r="U7541" s="3"/>
      <c r="V7541" s="3"/>
      <c r="W7541" s="3"/>
      <c r="X7541" s="3"/>
      <c r="Y7541" s="3"/>
    </row>
    <row r="7542">
      <c r="A7542" s="3"/>
      <c r="B7542" s="3"/>
      <c r="C7542" s="3"/>
      <c r="D7542" s="3"/>
      <c r="E7542" s="3"/>
      <c r="F7542" s="3"/>
      <c r="G7542" s="3"/>
      <c r="H7542" s="3"/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  <c r="T7542" s="3"/>
      <c r="U7542" s="3"/>
      <c r="V7542" s="3"/>
      <c r="W7542" s="3"/>
      <c r="X7542" s="3"/>
      <c r="Y7542" s="3"/>
    </row>
    <row r="7543">
      <c r="A7543" s="3"/>
      <c r="B7543" s="3"/>
      <c r="C7543" s="3"/>
      <c r="D7543" s="3"/>
      <c r="E7543" s="3"/>
      <c r="F7543" s="3"/>
      <c r="G7543" s="3"/>
      <c r="H7543" s="3"/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  <c r="T7543" s="3"/>
      <c r="U7543" s="3"/>
      <c r="V7543" s="3"/>
      <c r="W7543" s="3"/>
      <c r="X7543" s="3"/>
      <c r="Y7543" s="3"/>
    </row>
    <row r="7544">
      <c r="A7544" s="3"/>
      <c r="B7544" s="3"/>
      <c r="C7544" s="3"/>
      <c r="D7544" s="3"/>
      <c r="E7544" s="3"/>
      <c r="F7544" s="3"/>
      <c r="G7544" s="3"/>
      <c r="H7544" s="3"/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  <c r="T7544" s="3"/>
      <c r="U7544" s="3"/>
      <c r="V7544" s="3"/>
      <c r="W7544" s="3"/>
      <c r="X7544" s="3"/>
      <c r="Y7544" s="3"/>
    </row>
    <row r="7545">
      <c r="A7545" s="3"/>
      <c r="B7545" s="3"/>
      <c r="C7545" s="3"/>
      <c r="D7545" s="3"/>
      <c r="E7545" s="3"/>
      <c r="F7545" s="3"/>
      <c r="G7545" s="3"/>
      <c r="H7545" s="3"/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  <c r="T7545" s="3"/>
      <c r="U7545" s="3"/>
      <c r="V7545" s="3"/>
      <c r="W7545" s="3"/>
      <c r="X7545" s="3"/>
      <c r="Y7545" s="3"/>
    </row>
    <row r="7546">
      <c r="A7546" s="3"/>
      <c r="B7546" s="3"/>
      <c r="C7546" s="3"/>
      <c r="D7546" s="3"/>
      <c r="E7546" s="3"/>
      <c r="F7546" s="3"/>
      <c r="G7546" s="3"/>
      <c r="H7546" s="3"/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  <c r="T7546" s="3"/>
      <c r="U7546" s="3"/>
      <c r="V7546" s="3"/>
      <c r="W7546" s="3"/>
      <c r="X7546" s="3"/>
      <c r="Y7546" s="3"/>
    </row>
    <row r="7547">
      <c r="A7547" s="3"/>
      <c r="B7547" s="3"/>
      <c r="C7547" s="3"/>
      <c r="D7547" s="3"/>
      <c r="E7547" s="3"/>
      <c r="F7547" s="3"/>
      <c r="G7547" s="3"/>
      <c r="H7547" s="3"/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  <c r="T7547" s="3"/>
      <c r="U7547" s="3"/>
      <c r="V7547" s="3"/>
      <c r="W7547" s="3"/>
      <c r="X7547" s="3"/>
      <c r="Y7547" s="3"/>
    </row>
    <row r="7548">
      <c r="A7548" s="3"/>
      <c r="B7548" s="3"/>
      <c r="C7548" s="3"/>
      <c r="D7548" s="3"/>
      <c r="E7548" s="3"/>
      <c r="F7548" s="3"/>
      <c r="G7548" s="3"/>
      <c r="H7548" s="3"/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  <c r="T7548" s="3"/>
      <c r="U7548" s="3"/>
      <c r="V7548" s="3"/>
      <c r="W7548" s="3"/>
      <c r="X7548" s="3"/>
      <c r="Y7548" s="3"/>
    </row>
    <row r="7549">
      <c r="A7549" s="3"/>
      <c r="B7549" s="3"/>
      <c r="C7549" s="3"/>
      <c r="D7549" s="3"/>
      <c r="E7549" s="3"/>
      <c r="F7549" s="3"/>
      <c r="G7549" s="3"/>
      <c r="H7549" s="3"/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  <c r="T7549" s="3"/>
      <c r="U7549" s="3"/>
      <c r="V7549" s="3"/>
      <c r="W7549" s="3"/>
      <c r="X7549" s="3"/>
      <c r="Y7549" s="3"/>
    </row>
    <row r="7550">
      <c r="A7550" s="3"/>
      <c r="B7550" s="3"/>
      <c r="C7550" s="3"/>
      <c r="D7550" s="3"/>
      <c r="E7550" s="3"/>
      <c r="F7550" s="3"/>
      <c r="G7550" s="3"/>
      <c r="H7550" s="3"/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  <c r="T7550" s="3"/>
      <c r="U7550" s="3"/>
      <c r="V7550" s="3"/>
      <c r="W7550" s="3"/>
      <c r="X7550" s="3"/>
      <c r="Y7550" s="3"/>
    </row>
    <row r="7551">
      <c r="A7551" s="3"/>
      <c r="B7551" s="3"/>
      <c r="C7551" s="3"/>
      <c r="D7551" s="3"/>
      <c r="E7551" s="3"/>
      <c r="F7551" s="3"/>
      <c r="G7551" s="3"/>
      <c r="H7551" s="3"/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  <c r="T7551" s="3"/>
      <c r="U7551" s="3"/>
      <c r="V7551" s="3"/>
      <c r="W7551" s="3"/>
      <c r="X7551" s="3"/>
      <c r="Y7551" s="3"/>
    </row>
    <row r="7552">
      <c r="A7552" s="3"/>
      <c r="B7552" s="3"/>
      <c r="C7552" s="3"/>
      <c r="D7552" s="3"/>
      <c r="E7552" s="3"/>
      <c r="F7552" s="3"/>
      <c r="G7552" s="3"/>
      <c r="H7552" s="3"/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  <c r="T7552" s="3"/>
      <c r="U7552" s="3"/>
      <c r="V7552" s="3"/>
      <c r="W7552" s="3"/>
      <c r="X7552" s="3"/>
      <c r="Y7552" s="3"/>
    </row>
    <row r="7553">
      <c r="A7553" s="3"/>
      <c r="B7553" s="3"/>
      <c r="C7553" s="3"/>
      <c r="D7553" s="3"/>
      <c r="E7553" s="3"/>
      <c r="F7553" s="3"/>
      <c r="G7553" s="3"/>
      <c r="H7553" s="3"/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  <c r="T7553" s="3"/>
      <c r="U7553" s="3"/>
      <c r="V7553" s="3"/>
      <c r="W7553" s="3"/>
      <c r="X7553" s="3"/>
      <c r="Y7553" s="3"/>
    </row>
    <row r="7554">
      <c r="A7554" s="3"/>
      <c r="B7554" s="3"/>
      <c r="C7554" s="3"/>
      <c r="D7554" s="3"/>
      <c r="E7554" s="3"/>
      <c r="F7554" s="3"/>
      <c r="G7554" s="3"/>
      <c r="H7554" s="3"/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  <c r="T7554" s="3"/>
      <c r="U7554" s="3"/>
      <c r="V7554" s="3"/>
      <c r="W7554" s="3"/>
      <c r="X7554" s="3"/>
      <c r="Y7554" s="3"/>
    </row>
    <row r="7555">
      <c r="A7555" s="3"/>
      <c r="B7555" s="3"/>
      <c r="C7555" s="3"/>
      <c r="D7555" s="3"/>
      <c r="E7555" s="3"/>
      <c r="F7555" s="3"/>
      <c r="G7555" s="3"/>
      <c r="H7555" s="3"/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  <c r="T7555" s="3"/>
      <c r="U7555" s="3"/>
      <c r="V7555" s="3"/>
      <c r="W7555" s="3"/>
      <c r="X7555" s="3"/>
      <c r="Y7555" s="3"/>
    </row>
    <row r="7556">
      <c r="A7556" s="3"/>
      <c r="B7556" s="3"/>
      <c r="C7556" s="3"/>
      <c r="D7556" s="3"/>
      <c r="E7556" s="3"/>
      <c r="F7556" s="3"/>
      <c r="G7556" s="3"/>
      <c r="H7556" s="3"/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  <c r="T7556" s="3"/>
      <c r="U7556" s="3"/>
      <c r="V7556" s="3"/>
      <c r="W7556" s="3"/>
      <c r="X7556" s="3"/>
      <c r="Y7556" s="3"/>
    </row>
    <row r="7557">
      <c r="A7557" s="3"/>
      <c r="B7557" s="3"/>
      <c r="C7557" s="3"/>
      <c r="D7557" s="3"/>
      <c r="E7557" s="3"/>
      <c r="F7557" s="3"/>
      <c r="G7557" s="3"/>
      <c r="H7557" s="3"/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  <c r="T7557" s="3"/>
      <c r="U7557" s="3"/>
      <c r="V7557" s="3"/>
      <c r="W7557" s="3"/>
      <c r="X7557" s="3"/>
      <c r="Y7557" s="3"/>
    </row>
    <row r="7558">
      <c r="A7558" s="3"/>
      <c r="B7558" s="3"/>
      <c r="C7558" s="3"/>
      <c r="D7558" s="3"/>
      <c r="E7558" s="3"/>
      <c r="F7558" s="3"/>
      <c r="G7558" s="3"/>
      <c r="H7558" s="3"/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  <c r="T7558" s="3"/>
      <c r="U7558" s="3"/>
      <c r="V7558" s="3"/>
      <c r="W7558" s="3"/>
      <c r="X7558" s="3"/>
      <c r="Y7558" s="3"/>
    </row>
    <row r="7559">
      <c r="A7559" s="3"/>
      <c r="B7559" s="3"/>
      <c r="C7559" s="3"/>
      <c r="D7559" s="3"/>
      <c r="E7559" s="3"/>
      <c r="F7559" s="3"/>
      <c r="G7559" s="3"/>
      <c r="H7559" s="3"/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  <c r="T7559" s="3"/>
      <c r="U7559" s="3"/>
      <c r="V7559" s="3"/>
      <c r="W7559" s="3"/>
      <c r="X7559" s="3"/>
      <c r="Y7559" s="3"/>
    </row>
    <row r="7560">
      <c r="A7560" s="3"/>
      <c r="B7560" s="3"/>
      <c r="C7560" s="3"/>
      <c r="D7560" s="3"/>
      <c r="E7560" s="3"/>
      <c r="F7560" s="3"/>
      <c r="G7560" s="3"/>
      <c r="H7560" s="3"/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  <c r="T7560" s="3"/>
      <c r="U7560" s="3"/>
      <c r="V7560" s="3"/>
      <c r="W7560" s="3"/>
      <c r="X7560" s="3"/>
      <c r="Y7560" s="3"/>
    </row>
    <row r="7561">
      <c r="A7561" s="3"/>
      <c r="B7561" s="3"/>
      <c r="C7561" s="3"/>
      <c r="D7561" s="3"/>
      <c r="E7561" s="3"/>
      <c r="F7561" s="3"/>
      <c r="G7561" s="3"/>
      <c r="H7561" s="3"/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  <c r="T7561" s="3"/>
      <c r="U7561" s="3"/>
      <c r="V7561" s="3"/>
      <c r="W7561" s="3"/>
      <c r="X7561" s="3"/>
      <c r="Y7561" s="3"/>
    </row>
    <row r="7562">
      <c r="A7562" s="3"/>
      <c r="B7562" s="3"/>
      <c r="C7562" s="3"/>
      <c r="D7562" s="3"/>
      <c r="E7562" s="3"/>
      <c r="F7562" s="3"/>
      <c r="G7562" s="3"/>
      <c r="H7562" s="3"/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  <c r="T7562" s="3"/>
      <c r="U7562" s="3"/>
      <c r="V7562" s="3"/>
      <c r="W7562" s="3"/>
      <c r="X7562" s="3"/>
      <c r="Y7562" s="3"/>
    </row>
    <row r="7563">
      <c r="A7563" s="3"/>
      <c r="B7563" s="3"/>
      <c r="C7563" s="3"/>
      <c r="D7563" s="3"/>
      <c r="E7563" s="3"/>
      <c r="F7563" s="3"/>
      <c r="G7563" s="3"/>
      <c r="H7563" s="3"/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  <c r="T7563" s="3"/>
      <c r="U7563" s="3"/>
      <c r="V7563" s="3"/>
      <c r="W7563" s="3"/>
      <c r="X7563" s="3"/>
      <c r="Y7563" s="3"/>
    </row>
    <row r="7564">
      <c r="A7564" s="3"/>
      <c r="B7564" s="3"/>
      <c r="C7564" s="3"/>
      <c r="D7564" s="3"/>
      <c r="E7564" s="3"/>
      <c r="F7564" s="3"/>
      <c r="G7564" s="3"/>
      <c r="H7564" s="3"/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  <c r="T7564" s="3"/>
      <c r="U7564" s="3"/>
      <c r="V7564" s="3"/>
      <c r="W7564" s="3"/>
      <c r="X7564" s="3"/>
      <c r="Y7564" s="3"/>
    </row>
    <row r="7565">
      <c r="A7565" s="3"/>
      <c r="B7565" s="3"/>
      <c r="C7565" s="3"/>
      <c r="D7565" s="3"/>
      <c r="E7565" s="3"/>
      <c r="F7565" s="3"/>
      <c r="G7565" s="3"/>
      <c r="H7565" s="3"/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  <c r="T7565" s="3"/>
      <c r="U7565" s="3"/>
      <c r="V7565" s="3"/>
      <c r="W7565" s="3"/>
      <c r="X7565" s="3"/>
      <c r="Y7565" s="3"/>
    </row>
    <row r="7566">
      <c r="A7566" s="3"/>
      <c r="B7566" s="3"/>
      <c r="C7566" s="3"/>
      <c r="D7566" s="3"/>
      <c r="E7566" s="3"/>
      <c r="F7566" s="3"/>
      <c r="G7566" s="3"/>
      <c r="H7566" s="3"/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  <c r="T7566" s="3"/>
      <c r="U7566" s="3"/>
      <c r="V7566" s="3"/>
      <c r="W7566" s="3"/>
      <c r="X7566" s="3"/>
      <c r="Y7566" s="3"/>
    </row>
    <row r="7567">
      <c r="A7567" s="3"/>
      <c r="B7567" s="3"/>
      <c r="C7567" s="3"/>
      <c r="D7567" s="3"/>
      <c r="E7567" s="3"/>
      <c r="F7567" s="3"/>
      <c r="G7567" s="3"/>
      <c r="H7567" s="3"/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  <c r="T7567" s="3"/>
      <c r="U7567" s="3"/>
      <c r="V7567" s="3"/>
      <c r="W7567" s="3"/>
      <c r="X7567" s="3"/>
      <c r="Y7567" s="3"/>
    </row>
    <row r="7568">
      <c r="A7568" s="3"/>
      <c r="B7568" s="3"/>
      <c r="C7568" s="3"/>
      <c r="D7568" s="3"/>
      <c r="E7568" s="3"/>
      <c r="F7568" s="3"/>
      <c r="G7568" s="3"/>
      <c r="H7568" s="3"/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  <c r="T7568" s="3"/>
      <c r="U7568" s="3"/>
      <c r="V7568" s="3"/>
      <c r="W7568" s="3"/>
      <c r="X7568" s="3"/>
      <c r="Y7568" s="3"/>
    </row>
    <row r="7569">
      <c r="A7569" s="3"/>
      <c r="B7569" s="3"/>
      <c r="C7569" s="3"/>
      <c r="D7569" s="3"/>
      <c r="E7569" s="3"/>
      <c r="F7569" s="3"/>
      <c r="G7569" s="3"/>
      <c r="H7569" s="3"/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  <c r="T7569" s="3"/>
      <c r="U7569" s="3"/>
      <c r="V7569" s="3"/>
      <c r="W7569" s="3"/>
      <c r="X7569" s="3"/>
      <c r="Y7569" s="3"/>
    </row>
    <row r="7570">
      <c r="A7570" s="3"/>
      <c r="B7570" s="3"/>
      <c r="C7570" s="3"/>
      <c r="D7570" s="3"/>
      <c r="E7570" s="3"/>
      <c r="F7570" s="3"/>
      <c r="G7570" s="3"/>
      <c r="H7570" s="3"/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  <c r="T7570" s="3"/>
      <c r="U7570" s="3"/>
      <c r="V7570" s="3"/>
      <c r="W7570" s="3"/>
      <c r="X7570" s="3"/>
      <c r="Y7570" s="3"/>
    </row>
    <row r="7571">
      <c r="A7571" s="3"/>
      <c r="B7571" s="3"/>
      <c r="C7571" s="3"/>
      <c r="D7571" s="3"/>
      <c r="E7571" s="3"/>
      <c r="F7571" s="3"/>
      <c r="G7571" s="3"/>
      <c r="H7571" s="3"/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  <c r="T7571" s="3"/>
      <c r="U7571" s="3"/>
      <c r="V7571" s="3"/>
      <c r="W7571" s="3"/>
      <c r="X7571" s="3"/>
      <c r="Y7571" s="3"/>
    </row>
    <row r="7572">
      <c r="A7572" s="3"/>
      <c r="B7572" s="3"/>
      <c r="C7572" s="3"/>
      <c r="D7572" s="3"/>
      <c r="E7572" s="3"/>
      <c r="F7572" s="3"/>
      <c r="G7572" s="3"/>
      <c r="H7572" s="3"/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  <c r="T7572" s="3"/>
      <c r="U7572" s="3"/>
      <c r="V7572" s="3"/>
      <c r="W7572" s="3"/>
      <c r="X7572" s="3"/>
      <c r="Y7572" s="3"/>
    </row>
    <row r="7573">
      <c r="A7573" s="3"/>
      <c r="B7573" s="3"/>
      <c r="C7573" s="3"/>
      <c r="D7573" s="3"/>
      <c r="E7573" s="3"/>
      <c r="F7573" s="3"/>
      <c r="G7573" s="3"/>
      <c r="H7573" s="3"/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  <c r="T7573" s="3"/>
      <c r="U7573" s="3"/>
      <c r="V7573" s="3"/>
      <c r="W7573" s="3"/>
      <c r="X7573" s="3"/>
      <c r="Y7573" s="3"/>
    </row>
    <row r="7574">
      <c r="A7574" s="3"/>
      <c r="B7574" s="3"/>
      <c r="C7574" s="3"/>
      <c r="D7574" s="3"/>
      <c r="E7574" s="3"/>
      <c r="F7574" s="3"/>
      <c r="G7574" s="3"/>
      <c r="H7574" s="3"/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  <c r="T7574" s="3"/>
      <c r="U7574" s="3"/>
      <c r="V7574" s="3"/>
      <c r="W7574" s="3"/>
      <c r="X7574" s="3"/>
      <c r="Y7574" s="3"/>
    </row>
    <row r="7575">
      <c r="A7575" s="3"/>
      <c r="B7575" s="3"/>
      <c r="C7575" s="3"/>
      <c r="D7575" s="3"/>
      <c r="E7575" s="3"/>
      <c r="F7575" s="3"/>
      <c r="G7575" s="3"/>
      <c r="H7575" s="3"/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  <c r="T7575" s="3"/>
      <c r="U7575" s="3"/>
      <c r="V7575" s="3"/>
      <c r="W7575" s="3"/>
      <c r="X7575" s="3"/>
      <c r="Y7575" s="3"/>
    </row>
    <row r="7576">
      <c r="A7576" s="3"/>
      <c r="B7576" s="3"/>
      <c r="C7576" s="3"/>
      <c r="D7576" s="3"/>
      <c r="E7576" s="3"/>
      <c r="F7576" s="3"/>
      <c r="G7576" s="3"/>
      <c r="H7576" s="3"/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  <c r="T7576" s="3"/>
      <c r="U7576" s="3"/>
      <c r="V7576" s="3"/>
      <c r="W7576" s="3"/>
      <c r="X7576" s="3"/>
      <c r="Y7576" s="3"/>
    </row>
    <row r="7577">
      <c r="A7577" s="3"/>
      <c r="B7577" s="3"/>
      <c r="C7577" s="3"/>
      <c r="D7577" s="3"/>
      <c r="E7577" s="3"/>
      <c r="F7577" s="3"/>
      <c r="G7577" s="3"/>
      <c r="H7577" s="3"/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  <c r="T7577" s="3"/>
      <c r="U7577" s="3"/>
      <c r="V7577" s="3"/>
      <c r="W7577" s="3"/>
      <c r="X7577" s="3"/>
      <c r="Y7577" s="3"/>
    </row>
    <row r="7578">
      <c r="A7578" s="3"/>
      <c r="B7578" s="3"/>
      <c r="C7578" s="3"/>
      <c r="D7578" s="3"/>
      <c r="E7578" s="3"/>
      <c r="F7578" s="3"/>
      <c r="G7578" s="3"/>
      <c r="H7578" s="3"/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  <c r="T7578" s="3"/>
      <c r="U7578" s="3"/>
      <c r="V7578" s="3"/>
      <c r="W7578" s="3"/>
      <c r="X7578" s="3"/>
      <c r="Y7578" s="3"/>
    </row>
    <row r="7579">
      <c r="A7579" s="3"/>
      <c r="B7579" s="3"/>
      <c r="C7579" s="3"/>
      <c r="D7579" s="3"/>
      <c r="E7579" s="3"/>
      <c r="F7579" s="3"/>
      <c r="G7579" s="3"/>
      <c r="H7579" s="3"/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  <c r="T7579" s="3"/>
      <c r="U7579" s="3"/>
      <c r="V7579" s="3"/>
      <c r="W7579" s="3"/>
      <c r="X7579" s="3"/>
      <c r="Y7579" s="3"/>
    </row>
    <row r="7580">
      <c r="A7580" s="3"/>
      <c r="B7580" s="3"/>
      <c r="C7580" s="3"/>
      <c r="D7580" s="3"/>
      <c r="E7580" s="3"/>
      <c r="F7580" s="3"/>
      <c r="G7580" s="3"/>
      <c r="H7580" s="3"/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  <c r="T7580" s="3"/>
      <c r="U7580" s="3"/>
      <c r="V7580" s="3"/>
      <c r="W7580" s="3"/>
      <c r="X7580" s="3"/>
      <c r="Y7580" s="3"/>
    </row>
    <row r="7581">
      <c r="A7581" s="3"/>
      <c r="B7581" s="3"/>
      <c r="C7581" s="3"/>
      <c r="D7581" s="3"/>
      <c r="E7581" s="3"/>
      <c r="F7581" s="3"/>
      <c r="G7581" s="3"/>
      <c r="H7581" s="3"/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  <c r="T7581" s="3"/>
      <c r="U7581" s="3"/>
      <c r="V7581" s="3"/>
      <c r="W7581" s="3"/>
      <c r="X7581" s="3"/>
      <c r="Y7581" s="3"/>
    </row>
    <row r="7582">
      <c r="A7582" s="3"/>
      <c r="B7582" s="3"/>
      <c r="C7582" s="3"/>
      <c r="D7582" s="3"/>
      <c r="E7582" s="3"/>
      <c r="F7582" s="3"/>
      <c r="G7582" s="3"/>
      <c r="H7582" s="3"/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  <c r="T7582" s="3"/>
      <c r="U7582" s="3"/>
      <c r="V7582" s="3"/>
      <c r="W7582" s="3"/>
      <c r="X7582" s="3"/>
      <c r="Y7582" s="3"/>
    </row>
    <row r="7583">
      <c r="A7583" s="3"/>
      <c r="B7583" s="3"/>
      <c r="C7583" s="3"/>
      <c r="D7583" s="3"/>
      <c r="E7583" s="3"/>
      <c r="F7583" s="3"/>
      <c r="G7583" s="3"/>
      <c r="H7583" s="3"/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  <c r="T7583" s="3"/>
      <c r="U7583" s="3"/>
      <c r="V7583" s="3"/>
      <c r="W7583" s="3"/>
      <c r="X7583" s="3"/>
      <c r="Y7583" s="3"/>
    </row>
    <row r="7584">
      <c r="A7584" s="3"/>
      <c r="B7584" s="3"/>
      <c r="C7584" s="3"/>
      <c r="D7584" s="3"/>
      <c r="E7584" s="3"/>
      <c r="F7584" s="3"/>
      <c r="G7584" s="3"/>
      <c r="H7584" s="3"/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  <c r="T7584" s="3"/>
      <c r="U7584" s="3"/>
      <c r="V7584" s="3"/>
      <c r="W7584" s="3"/>
      <c r="X7584" s="3"/>
      <c r="Y7584" s="3"/>
    </row>
    <row r="7585">
      <c r="A7585" s="3"/>
      <c r="B7585" s="3"/>
      <c r="C7585" s="3"/>
      <c r="D7585" s="3"/>
      <c r="E7585" s="3"/>
      <c r="F7585" s="3"/>
      <c r="G7585" s="3"/>
      <c r="H7585" s="3"/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  <c r="T7585" s="3"/>
      <c r="U7585" s="3"/>
      <c r="V7585" s="3"/>
      <c r="W7585" s="3"/>
      <c r="X7585" s="3"/>
      <c r="Y7585" s="3"/>
    </row>
    <row r="7586">
      <c r="A7586" s="3"/>
      <c r="B7586" s="3"/>
      <c r="C7586" s="3"/>
      <c r="D7586" s="3"/>
      <c r="E7586" s="3"/>
      <c r="F7586" s="3"/>
      <c r="G7586" s="3"/>
      <c r="H7586" s="3"/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  <c r="T7586" s="3"/>
      <c r="U7586" s="3"/>
      <c r="V7586" s="3"/>
      <c r="W7586" s="3"/>
      <c r="X7586" s="3"/>
      <c r="Y7586" s="3"/>
    </row>
    <row r="7587">
      <c r="A7587" s="3"/>
      <c r="B7587" s="3"/>
      <c r="C7587" s="3"/>
      <c r="D7587" s="3"/>
      <c r="E7587" s="3"/>
      <c r="F7587" s="3"/>
      <c r="G7587" s="3"/>
      <c r="H7587" s="3"/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  <c r="T7587" s="3"/>
      <c r="U7587" s="3"/>
      <c r="V7587" s="3"/>
      <c r="W7587" s="3"/>
      <c r="X7587" s="3"/>
      <c r="Y7587" s="3"/>
    </row>
    <row r="7588">
      <c r="A7588" s="3"/>
      <c r="B7588" s="3"/>
      <c r="C7588" s="3"/>
      <c r="D7588" s="3"/>
      <c r="E7588" s="3"/>
      <c r="F7588" s="3"/>
      <c r="G7588" s="3"/>
      <c r="H7588" s="3"/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  <c r="T7588" s="3"/>
      <c r="U7588" s="3"/>
      <c r="V7588" s="3"/>
      <c r="W7588" s="3"/>
      <c r="X7588" s="3"/>
      <c r="Y7588" s="3"/>
    </row>
    <row r="7589">
      <c r="A7589" s="3"/>
      <c r="B7589" s="3"/>
      <c r="C7589" s="3"/>
      <c r="D7589" s="3"/>
      <c r="E7589" s="3"/>
      <c r="F7589" s="3"/>
      <c r="G7589" s="3"/>
      <c r="H7589" s="3"/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  <c r="T7589" s="3"/>
      <c r="U7589" s="3"/>
      <c r="V7589" s="3"/>
      <c r="W7589" s="3"/>
      <c r="X7589" s="3"/>
      <c r="Y7589" s="3"/>
    </row>
    <row r="7590">
      <c r="A7590" s="3"/>
      <c r="B7590" s="3"/>
      <c r="C7590" s="3"/>
      <c r="D7590" s="3"/>
      <c r="E7590" s="3"/>
      <c r="F7590" s="3"/>
      <c r="G7590" s="3"/>
      <c r="H7590" s="3"/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  <c r="T7590" s="3"/>
      <c r="U7590" s="3"/>
      <c r="V7590" s="3"/>
      <c r="W7590" s="3"/>
      <c r="X7590" s="3"/>
      <c r="Y7590" s="3"/>
    </row>
    <row r="7591">
      <c r="A7591" s="3"/>
      <c r="B7591" s="3"/>
      <c r="C7591" s="3"/>
      <c r="D7591" s="3"/>
      <c r="E7591" s="3"/>
      <c r="F7591" s="3"/>
      <c r="G7591" s="3"/>
      <c r="H7591" s="3"/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  <c r="T7591" s="3"/>
      <c r="U7591" s="3"/>
      <c r="V7591" s="3"/>
      <c r="W7591" s="3"/>
      <c r="X7591" s="3"/>
      <c r="Y7591" s="3"/>
    </row>
    <row r="7592">
      <c r="A7592" s="3"/>
      <c r="B7592" s="3"/>
      <c r="C7592" s="3"/>
      <c r="D7592" s="3"/>
      <c r="E7592" s="3"/>
      <c r="F7592" s="3"/>
      <c r="G7592" s="3"/>
      <c r="H7592" s="3"/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  <c r="T7592" s="3"/>
      <c r="U7592" s="3"/>
      <c r="V7592" s="3"/>
      <c r="W7592" s="3"/>
      <c r="X7592" s="3"/>
      <c r="Y7592" s="3"/>
    </row>
    <row r="7593">
      <c r="A7593" s="3"/>
      <c r="B7593" s="3"/>
      <c r="C7593" s="3"/>
      <c r="D7593" s="3"/>
      <c r="E7593" s="3"/>
      <c r="F7593" s="3"/>
      <c r="G7593" s="3"/>
      <c r="H7593" s="3"/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  <c r="T7593" s="3"/>
      <c r="U7593" s="3"/>
      <c r="V7593" s="3"/>
      <c r="W7593" s="3"/>
      <c r="X7593" s="3"/>
      <c r="Y7593" s="3"/>
    </row>
    <row r="7594">
      <c r="A7594" s="3"/>
      <c r="B7594" s="3"/>
      <c r="C7594" s="3"/>
      <c r="D7594" s="3"/>
      <c r="E7594" s="3"/>
      <c r="F7594" s="3"/>
      <c r="G7594" s="3"/>
      <c r="H7594" s="3"/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  <c r="T7594" s="3"/>
      <c r="U7594" s="3"/>
      <c r="V7594" s="3"/>
      <c r="W7594" s="3"/>
      <c r="X7594" s="3"/>
      <c r="Y7594" s="3"/>
    </row>
    <row r="7595">
      <c r="A7595" s="3"/>
      <c r="B7595" s="3"/>
      <c r="C7595" s="3"/>
      <c r="D7595" s="3"/>
      <c r="E7595" s="3"/>
      <c r="F7595" s="3"/>
      <c r="G7595" s="3"/>
      <c r="H7595" s="3"/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  <c r="T7595" s="3"/>
      <c r="U7595" s="3"/>
      <c r="V7595" s="3"/>
      <c r="W7595" s="3"/>
      <c r="X7595" s="3"/>
      <c r="Y7595" s="3"/>
    </row>
    <row r="7596">
      <c r="A7596" s="3"/>
      <c r="B7596" s="3"/>
      <c r="C7596" s="3"/>
      <c r="D7596" s="3"/>
      <c r="E7596" s="3"/>
      <c r="F7596" s="3"/>
      <c r="G7596" s="3"/>
      <c r="H7596" s="3"/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  <c r="T7596" s="3"/>
      <c r="U7596" s="3"/>
      <c r="V7596" s="3"/>
      <c r="W7596" s="3"/>
      <c r="X7596" s="3"/>
      <c r="Y7596" s="3"/>
    </row>
    <row r="7597">
      <c r="A7597" s="3"/>
      <c r="B7597" s="3"/>
      <c r="C7597" s="3"/>
      <c r="D7597" s="3"/>
      <c r="E7597" s="3"/>
      <c r="F7597" s="3"/>
      <c r="G7597" s="3"/>
      <c r="H7597" s="3"/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  <c r="T7597" s="3"/>
      <c r="U7597" s="3"/>
      <c r="V7597" s="3"/>
      <c r="W7597" s="3"/>
      <c r="X7597" s="3"/>
      <c r="Y7597" s="3"/>
    </row>
    <row r="7598">
      <c r="A7598" s="3"/>
      <c r="B7598" s="3"/>
      <c r="C7598" s="3"/>
      <c r="D7598" s="3"/>
      <c r="E7598" s="3"/>
      <c r="F7598" s="3"/>
      <c r="G7598" s="3"/>
      <c r="H7598" s="3"/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  <c r="T7598" s="3"/>
      <c r="U7598" s="3"/>
      <c r="V7598" s="3"/>
      <c r="W7598" s="3"/>
      <c r="X7598" s="3"/>
      <c r="Y7598" s="3"/>
    </row>
    <row r="7599">
      <c r="A7599" s="3"/>
      <c r="B7599" s="3"/>
      <c r="C7599" s="3"/>
      <c r="D7599" s="3"/>
      <c r="E7599" s="3"/>
      <c r="F7599" s="3"/>
      <c r="G7599" s="3"/>
      <c r="H7599" s="3"/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  <c r="T7599" s="3"/>
      <c r="U7599" s="3"/>
      <c r="V7599" s="3"/>
      <c r="W7599" s="3"/>
      <c r="X7599" s="3"/>
      <c r="Y7599" s="3"/>
    </row>
    <row r="7600">
      <c r="A7600" s="3"/>
      <c r="B7600" s="3"/>
      <c r="C7600" s="3"/>
      <c r="D7600" s="3"/>
      <c r="E7600" s="3"/>
      <c r="F7600" s="3"/>
      <c r="G7600" s="3"/>
      <c r="H7600" s="3"/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  <c r="T7600" s="3"/>
      <c r="U7600" s="3"/>
      <c r="V7600" s="3"/>
      <c r="W7600" s="3"/>
      <c r="X7600" s="3"/>
      <c r="Y7600" s="3"/>
    </row>
    <row r="7601">
      <c r="A7601" s="3"/>
      <c r="B7601" s="3"/>
      <c r="C7601" s="3"/>
      <c r="D7601" s="3"/>
      <c r="E7601" s="3"/>
      <c r="F7601" s="3"/>
      <c r="G7601" s="3"/>
      <c r="H7601" s="3"/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  <c r="T7601" s="3"/>
      <c r="U7601" s="3"/>
      <c r="V7601" s="3"/>
      <c r="W7601" s="3"/>
      <c r="X7601" s="3"/>
      <c r="Y7601" s="3"/>
    </row>
    <row r="7602">
      <c r="A7602" s="3"/>
      <c r="B7602" s="3"/>
      <c r="C7602" s="3"/>
      <c r="D7602" s="3"/>
      <c r="E7602" s="3"/>
      <c r="F7602" s="3"/>
      <c r="G7602" s="3"/>
      <c r="H7602" s="3"/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  <c r="T7602" s="3"/>
      <c r="U7602" s="3"/>
      <c r="V7602" s="3"/>
      <c r="W7602" s="3"/>
      <c r="X7602" s="3"/>
      <c r="Y7602" s="3"/>
    </row>
    <row r="7603">
      <c r="A7603" s="3"/>
      <c r="B7603" s="3"/>
      <c r="C7603" s="3"/>
      <c r="D7603" s="3"/>
      <c r="E7603" s="3"/>
      <c r="F7603" s="3"/>
      <c r="G7603" s="3"/>
      <c r="H7603" s="3"/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  <c r="T7603" s="3"/>
      <c r="U7603" s="3"/>
      <c r="V7603" s="3"/>
      <c r="W7603" s="3"/>
      <c r="X7603" s="3"/>
      <c r="Y7603" s="3"/>
    </row>
    <row r="7604">
      <c r="A7604" s="3"/>
      <c r="B7604" s="3"/>
      <c r="C7604" s="3"/>
      <c r="D7604" s="3"/>
      <c r="E7604" s="3"/>
      <c r="F7604" s="3"/>
      <c r="G7604" s="3"/>
      <c r="H7604" s="3"/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  <c r="T7604" s="3"/>
      <c r="U7604" s="3"/>
      <c r="V7604" s="3"/>
      <c r="W7604" s="3"/>
      <c r="X7604" s="3"/>
      <c r="Y7604" s="3"/>
    </row>
    <row r="7605">
      <c r="A7605" s="3"/>
      <c r="B7605" s="3"/>
      <c r="C7605" s="3"/>
      <c r="D7605" s="3"/>
      <c r="E7605" s="3"/>
      <c r="F7605" s="3"/>
      <c r="G7605" s="3"/>
      <c r="H7605" s="3"/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  <c r="T7605" s="3"/>
      <c r="U7605" s="3"/>
      <c r="V7605" s="3"/>
      <c r="W7605" s="3"/>
      <c r="X7605" s="3"/>
      <c r="Y7605" s="3"/>
    </row>
    <row r="7606">
      <c r="A7606" s="3"/>
      <c r="B7606" s="3"/>
      <c r="C7606" s="3"/>
      <c r="D7606" s="3"/>
      <c r="E7606" s="3"/>
      <c r="F7606" s="3"/>
      <c r="G7606" s="3"/>
      <c r="H7606" s="3"/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  <c r="T7606" s="3"/>
      <c r="U7606" s="3"/>
      <c r="V7606" s="3"/>
      <c r="W7606" s="3"/>
      <c r="X7606" s="3"/>
      <c r="Y7606" s="3"/>
    </row>
    <row r="7607">
      <c r="A7607" s="3"/>
      <c r="B7607" s="3"/>
      <c r="C7607" s="3"/>
      <c r="D7607" s="3"/>
      <c r="E7607" s="3"/>
      <c r="F7607" s="3"/>
      <c r="G7607" s="3"/>
      <c r="H7607" s="3"/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  <c r="T7607" s="3"/>
      <c r="U7607" s="3"/>
      <c r="V7607" s="3"/>
      <c r="W7607" s="3"/>
      <c r="X7607" s="3"/>
      <c r="Y7607" s="3"/>
    </row>
    <row r="7608">
      <c r="A7608" s="3"/>
      <c r="B7608" s="3"/>
      <c r="C7608" s="3"/>
      <c r="D7608" s="3"/>
      <c r="E7608" s="3"/>
      <c r="F7608" s="3"/>
      <c r="G7608" s="3"/>
      <c r="H7608" s="3"/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  <c r="T7608" s="3"/>
      <c r="U7608" s="3"/>
      <c r="V7608" s="3"/>
      <c r="W7608" s="3"/>
      <c r="X7608" s="3"/>
      <c r="Y7608" s="3"/>
    </row>
    <row r="7609">
      <c r="A7609" s="3"/>
      <c r="B7609" s="3"/>
      <c r="C7609" s="3"/>
      <c r="D7609" s="3"/>
      <c r="E7609" s="3"/>
      <c r="F7609" s="3"/>
      <c r="G7609" s="3"/>
      <c r="H7609" s="3"/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  <c r="T7609" s="3"/>
      <c r="U7609" s="3"/>
      <c r="V7609" s="3"/>
      <c r="W7609" s="3"/>
      <c r="X7609" s="3"/>
      <c r="Y7609" s="3"/>
    </row>
    <row r="7610">
      <c r="A7610" s="3"/>
      <c r="B7610" s="3"/>
      <c r="C7610" s="3"/>
      <c r="D7610" s="3"/>
      <c r="E7610" s="3"/>
      <c r="F7610" s="3"/>
      <c r="G7610" s="3"/>
      <c r="H7610" s="3"/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  <c r="T7610" s="3"/>
      <c r="U7610" s="3"/>
      <c r="V7610" s="3"/>
      <c r="W7610" s="3"/>
      <c r="X7610" s="3"/>
      <c r="Y7610" s="3"/>
    </row>
    <row r="7611">
      <c r="A7611" s="3"/>
      <c r="B7611" s="3"/>
      <c r="C7611" s="3"/>
      <c r="D7611" s="3"/>
      <c r="E7611" s="3"/>
      <c r="F7611" s="3"/>
      <c r="G7611" s="3"/>
      <c r="H7611" s="3"/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  <c r="T7611" s="3"/>
      <c r="U7611" s="3"/>
      <c r="V7611" s="3"/>
      <c r="W7611" s="3"/>
      <c r="X7611" s="3"/>
      <c r="Y7611" s="3"/>
    </row>
    <row r="7612">
      <c r="A7612" s="3"/>
      <c r="B7612" s="3"/>
      <c r="C7612" s="3"/>
      <c r="D7612" s="3"/>
      <c r="E7612" s="3"/>
      <c r="F7612" s="3"/>
      <c r="G7612" s="3"/>
      <c r="H7612" s="3"/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  <c r="T7612" s="3"/>
      <c r="U7612" s="3"/>
      <c r="V7612" s="3"/>
      <c r="W7612" s="3"/>
      <c r="X7612" s="3"/>
      <c r="Y7612" s="3"/>
    </row>
    <row r="7613">
      <c r="A7613" s="3"/>
      <c r="B7613" s="3"/>
      <c r="C7613" s="3"/>
      <c r="D7613" s="3"/>
      <c r="E7613" s="3"/>
      <c r="F7613" s="3"/>
      <c r="G7613" s="3"/>
      <c r="H7613" s="3"/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  <c r="T7613" s="3"/>
      <c r="U7613" s="3"/>
      <c r="V7613" s="3"/>
      <c r="W7613" s="3"/>
      <c r="X7613" s="3"/>
      <c r="Y7613" s="3"/>
    </row>
    <row r="7614">
      <c r="A7614" s="3"/>
      <c r="B7614" s="3"/>
      <c r="C7614" s="3"/>
      <c r="D7614" s="3"/>
      <c r="E7614" s="3"/>
      <c r="F7614" s="3"/>
      <c r="G7614" s="3"/>
      <c r="H7614" s="3"/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  <c r="T7614" s="3"/>
      <c r="U7614" s="3"/>
      <c r="V7614" s="3"/>
      <c r="W7614" s="3"/>
      <c r="X7614" s="3"/>
      <c r="Y7614" s="3"/>
    </row>
    <row r="7615">
      <c r="A7615" s="3"/>
      <c r="B7615" s="3"/>
      <c r="C7615" s="3"/>
      <c r="D7615" s="3"/>
      <c r="E7615" s="3"/>
      <c r="F7615" s="3"/>
      <c r="G7615" s="3"/>
      <c r="H7615" s="3"/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  <c r="T7615" s="3"/>
      <c r="U7615" s="3"/>
      <c r="V7615" s="3"/>
      <c r="W7615" s="3"/>
      <c r="X7615" s="3"/>
      <c r="Y7615" s="3"/>
    </row>
    <row r="7616">
      <c r="A7616" s="3"/>
      <c r="B7616" s="3"/>
      <c r="C7616" s="3"/>
      <c r="D7616" s="3"/>
      <c r="E7616" s="3"/>
      <c r="F7616" s="3"/>
      <c r="G7616" s="3"/>
      <c r="H7616" s="3"/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  <c r="T7616" s="3"/>
      <c r="U7616" s="3"/>
      <c r="V7616" s="3"/>
      <c r="W7616" s="3"/>
      <c r="X7616" s="3"/>
      <c r="Y7616" s="3"/>
    </row>
    <row r="7617">
      <c r="A7617" s="3"/>
      <c r="B7617" s="3"/>
      <c r="C7617" s="3"/>
      <c r="D7617" s="3"/>
      <c r="E7617" s="3"/>
      <c r="F7617" s="3"/>
      <c r="G7617" s="3"/>
      <c r="H7617" s="3"/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  <c r="T7617" s="3"/>
      <c r="U7617" s="3"/>
      <c r="V7617" s="3"/>
      <c r="W7617" s="3"/>
      <c r="X7617" s="3"/>
      <c r="Y7617" s="3"/>
    </row>
    <row r="7618">
      <c r="A7618" s="3"/>
      <c r="B7618" s="3"/>
      <c r="C7618" s="3"/>
      <c r="D7618" s="3"/>
      <c r="E7618" s="3"/>
      <c r="F7618" s="3"/>
      <c r="G7618" s="3"/>
      <c r="H7618" s="3"/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  <c r="T7618" s="3"/>
      <c r="U7618" s="3"/>
      <c r="V7618" s="3"/>
      <c r="W7618" s="3"/>
      <c r="X7618" s="3"/>
      <c r="Y7618" s="3"/>
    </row>
    <row r="7619">
      <c r="A7619" s="3"/>
      <c r="B7619" s="3"/>
      <c r="C7619" s="3"/>
      <c r="D7619" s="3"/>
      <c r="E7619" s="3"/>
      <c r="F7619" s="3"/>
      <c r="G7619" s="3"/>
      <c r="H7619" s="3"/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  <c r="T7619" s="3"/>
      <c r="U7619" s="3"/>
      <c r="V7619" s="3"/>
      <c r="W7619" s="3"/>
      <c r="X7619" s="3"/>
      <c r="Y7619" s="3"/>
    </row>
    <row r="7620">
      <c r="A7620" s="3"/>
      <c r="B7620" s="3"/>
      <c r="C7620" s="3"/>
      <c r="D7620" s="3"/>
      <c r="E7620" s="3"/>
      <c r="F7620" s="3"/>
      <c r="G7620" s="3"/>
      <c r="H7620" s="3"/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  <c r="T7620" s="3"/>
      <c r="U7620" s="3"/>
      <c r="V7620" s="3"/>
      <c r="W7620" s="3"/>
      <c r="X7620" s="3"/>
      <c r="Y7620" s="3"/>
    </row>
    <row r="7621">
      <c r="A7621" s="3"/>
      <c r="B7621" s="3"/>
      <c r="C7621" s="3"/>
      <c r="D7621" s="3"/>
      <c r="E7621" s="3"/>
      <c r="F7621" s="3"/>
      <c r="G7621" s="3"/>
      <c r="H7621" s="3"/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  <c r="T7621" s="3"/>
      <c r="U7621" s="3"/>
      <c r="V7621" s="3"/>
      <c r="W7621" s="3"/>
      <c r="X7621" s="3"/>
      <c r="Y7621" s="3"/>
    </row>
    <row r="7622">
      <c r="A7622" s="3"/>
      <c r="B7622" s="3"/>
      <c r="C7622" s="3"/>
      <c r="D7622" s="3"/>
      <c r="E7622" s="3"/>
      <c r="F7622" s="3"/>
      <c r="G7622" s="3"/>
      <c r="H7622" s="3"/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  <c r="T7622" s="3"/>
      <c r="U7622" s="3"/>
      <c r="V7622" s="3"/>
      <c r="W7622" s="3"/>
      <c r="X7622" s="3"/>
      <c r="Y7622" s="3"/>
    </row>
    <row r="7623">
      <c r="A7623" s="3"/>
      <c r="B7623" s="3"/>
      <c r="C7623" s="3"/>
      <c r="D7623" s="3"/>
      <c r="E7623" s="3"/>
      <c r="F7623" s="3"/>
      <c r="G7623" s="3"/>
      <c r="H7623" s="3"/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  <c r="T7623" s="3"/>
      <c r="U7623" s="3"/>
      <c r="V7623" s="3"/>
      <c r="W7623" s="3"/>
      <c r="X7623" s="3"/>
      <c r="Y7623" s="3"/>
    </row>
    <row r="7624">
      <c r="A7624" s="3"/>
      <c r="B7624" s="3"/>
      <c r="C7624" s="3"/>
      <c r="D7624" s="3"/>
      <c r="E7624" s="3"/>
      <c r="F7624" s="3"/>
      <c r="G7624" s="3"/>
      <c r="H7624" s="3"/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  <c r="T7624" s="3"/>
      <c r="U7624" s="3"/>
      <c r="V7624" s="3"/>
      <c r="W7624" s="3"/>
      <c r="X7624" s="3"/>
      <c r="Y7624" s="3"/>
    </row>
    <row r="7625">
      <c r="A7625" s="3"/>
      <c r="B7625" s="3"/>
      <c r="C7625" s="3"/>
      <c r="D7625" s="3"/>
      <c r="E7625" s="3"/>
      <c r="F7625" s="3"/>
      <c r="G7625" s="3"/>
      <c r="H7625" s="3"/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  <c r="T7625" s="3"/>
      <c r="U7625" s="3"/>
      <c r="V7625" s="3"/>
      <c r="W7625" s="3"/>
      <c r="X7625" s="3"/>
      <c r="Y7625" s="3"/>
    </row>
    <row r="7626">
      <c r="A7626" s="3"/>
      <c r="B7626" s="3"/>
      <c r="C7626" s="3"/>
      <c r="D7626" s="3"/>
      <c r="E7626" s="3"/>
      <c r="F7626" s="3"/>
      <c r="G7626" s="3"/>
      <c r="H7626" s="3"/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  <c r="T7626" s="3"/>
      <c r="U7626" s="3"/>
      <c r="V7626" s="3"/>
      <c r="W7626" s="3"/>
      <c r="X7626" s="3"/>
      <c r="Y7626" s="3"/>
    </row>
    <row r="7627">
      <c r="A7627" s="3"/>
      <c r="B7627" s="3"/>
      <c r="C7627" s="3"/>
      <c r="D7627" s="3"/>
      <c r="E7627" s="3"/>
      <c r="F7627" s="3"/>
      <c r="G7627" s="3"/>
      <c r="H7627" s="3"/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  <c r="T7627" s="3"/>
      <c r="U7627" s="3"/>
      <c r="V7627" s="3"/>
      <c r="W7627" s="3"/>
      <c r="X7627" s="3"/>
      <c r="Y7627" s="3"/>
    </row>
    <row r="7628">
      <c r="A7628" s="3"/>
      <c r="B7628" s="3"/>
      <c r="C7628" s="3"/>
      <c r="D7628" s="3"/>
      <c r="E7628" s="3"/>
      <c r="F7628" s="3"/>
      <c r="G7628" s="3"/>
      <c r="H7628" s="3"/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  <c r="T7628" s="3"/>
      <c r="U7628" s="3"/>
      <c r="V7628" s="3"/>
      <c r="W7628" s="3"/>
      <c r="X7628" s="3"/>
      <c r="Y7628" s="3"/>
    </row>
    <row r="7629">
      <c r="A7629" s="3"/>
      <c r="B7629" s="3"/>
      <c r="C7629" s="3"/>
      <c r="D7629" s="3"/>
      <c r="E7629" s="3"/>
      <c r="F7629" s="3"/>
      <c r="G7629" s="3"/>
      <c r="H7629" s="3"/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  <c r="T7629" s="3"/>
      <c r="U7629" s="3"/>
      <c r="V7629" s="3"/>
      <c r="W7629" s="3"/>
      <c r="X7629" s="3"/>
      <c r="Y7629" s="3"/>
    </row>
    <row r="7630">
      <c r="A7630" s="3"/>
      <c r="B7630" s="3"/>
      <c r="C7630" s="3"/>
      <c r="D7630" s="3"/>
      <c r="E7630" s="3"/>
      <c r="F7630" s="3"/>
      <c r="G7630" s="3"/>
      <c r="H7630" s="3"/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  <c r="T7630" s="3"/>
      <c r="U7630" s="3"/>
      <c r="V7630" s="3"/>
      <c r="W7630" s="3"/>
      <c r="X7630" s="3"/>
      <c r="Y7630" s="3"/>
    </row>
    <row r="7631">
      <c r="A7631" s="3"/>
      <c r="B7631" s="3"/>
      <c r="C7631" s="3"/>
      <c r="D7631" s="3"/>
      <c r="E7631" s="3"/>
      <c r="F7631" s="3"/>
      <c r="G7631" s="3"/>
      <c r="H7631" s="3"/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  <c r="T7631" s="3"/>
      <c r="U7631" s="3"/>
      <c r="V7631" s="3"/>
      <c r="W7631" s="3"/>
      <c r="X7631" s="3"/>
      <c r="Y7631" s="3"/>
    </row>
    <row r="7632">
      <c r="A7632" s="3"/>
      <c r="B7632" s="3"/>
      <c r="C7632" s="3"/>
      <c r="D7632" s="3"/>
      <c r="E7632" s="3"/>
      <c r="F7632" s="3"/>
      <c r="G7632" s="3"/>
      <c r="H7632" s="3"/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  <c r="T7632" s="3"/>
      <c r="U7632" s="3"/>
      <c r="V7632" s="3"/>
      <c r="W7632" s="3"/>
      <c r="X7632" s="3"/>
      <c r="Y7632" s="3"/>
    </row>
    <row r="7633">
      <c r="A7633" s="3"/>
      <c r="B7633" s="3"/>
      <c r="C7633" s="3"/>
      <c r="D7633" s="3"/>
      <c r="E7633" s="3"/>
      <c r="F7633" s="3"/>
      <c r="G7633" s="3"/>
      <c r="H7633" s="3"/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  <c r="T7633" s="3"/>
      <c r="U7633" s="3"/>
      <c r="V7633" s="3"/>
      <c r="W7633" s="3"/>
      <c r="X7633" s="3"/>
      <c r="Y7633" s="3"/>
    </row>
    <row r="7634">
      <c r="A7634" s="3"/>
      <c r="B7634" s="3"/>
      <c r="C7634" s="3"/>
      <c r="D7634" s="3"/>
      <c r="E7634" s="3"/>
      <c r="F7634" s="3"/>
      <c r="G7634" s="3"/>
      <c r="H7634" s="3"/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  <c r="T7634" s="3"/>
      <c r="U7634" s="3"/>
      <c r="V7634" s="3"/>
      <c r="W7634" s="3"/>
      <c r="X7634" s="3"/>
      <c r="Y7634" s="3"/>
    </row>
    <row r="7635">
      <c r="A7635" s="3"/>
      <c r="B7635" s="3"/>
      <c r="C7635" s="3"/>
      <c r="D7635" s="3"/>
      <c r="E7635" s="3"/>
      <c r="F7635" s="3"/>
      <c r="G7635" s="3"/>
      <c r="H7635" s="3"/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  <c r="T7635" s="3"/>
      <c r="U7635" s="3"/>
      <c r="V7635" s="3"/>
      <c r="W7635" s="3"/>
      <c r="X7635" s="3"/>
      <c r="Y7635" s="3"/>
    </row>
    <row r="7636">
      <c r="A7636" s="3"/>
      <c r="B7636" s="3"/>
      <c r="C7636" s="3"/>
      <c r="D7636" s="3"/>
      <c r="E7636" s="3"/>
      <c r="F7636" s="3"/>
      <c r="G7636" s="3"/>
      <c r="H7636" s="3"/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  <c r="T7636" s="3"/>
      <c r="U7636" s="3"/>
      <c r="V7636" s="3"/>
      <c r="W7636" s="3"/>
      <c r="X7636" s="3"/>
      <c r="Y7636" s="3"/>
    </row>
    <row r="7637">
      <c r="A7637" s="3"/>
      <c r="B7637" s="3"/>
      <c r="C7637" s="3"/>
      <c r="D7637" s="3"/>
      <c r="E7637" s="3"/>
      <c r="F7637" s="3"/>
      <c r="G7637" s="3"/>
      <c r="H7637" s="3"/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  <c r="T7637" s="3"/>
      <c r="U7637" s="3"/>
      <c r="V7637" s="3"/>
      <c r="W7637" s="3"/>
      <c r="X7637" s="3"/>
      <c r="Y7637" s="3"/>
    </row>
    <row r="7638">
      <c r="A7638" s="3"/>
      <c r="B7638" s="3"/>
      <c r="C7638" s="3"/>
      <c r="D7638" s="3"/>
      <c r="E7638" s="3"/>
      <c r="F7638" s="3"/>
      <c r="G7638" s="3"/>
      <c r="H7638" s="3"/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  <c r="T7638" s="3"/>
      <c r="U7638" s="3"/>
      <c r="V7638" s="3"/>
      <c r="W7638" s="3"/>
      <c r="X7638" s="3"/>
      <c r="Y7638" s="3"/>
    </row>
    <row r="7639">
      <c r="A7639" s="3"/>
      <c r="B7639" s="3"/>
      <c r="C7639" s="3"/>
      <c r="D7639" s="3"/>
      <c r="E7639" s="3"/>
      <c r="F7639" s="3"/>
      <c r="G7639" s="3"/>
      <c r="H7639" s="3"/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  <c r="T7639" s="3"/>
      <c r="U7639" s="3"/>
      <c r="V7639" s="3"/>
      <c r="W7639" s="3"/>
      <c r="X7639" s="3"/>
      <c r="Y7639" s="3"/>
    </row>
    <row r="7640">
      <c r="A7640" s="3"/>
      <c r="B7640" s="3"/>
      <c r="C7640" s="3"/>
      <c r="D7640" s="3"/>
      <c r="E7640" s="3"/>
      <c r="F7640" s="3"/>
      <c r="G7640" s="3"/>
      <c r="H7640" s="3"/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  <c r="T7640" s="3"/>
      <c r="U7640" s="3"/>
      <c r="V7640" s="3"/>
      <c r="W7640" s="3"/>
      <c r="X7640" s="3"/>
      <c r="Y7640" s="3"/>
    </row>
    <row r="7641">
      <c r="A7641" s="3"/>
      <c r="B7641" s="3"/>
      <c r="C7641" s="3"/>
      <c r="D7641" s="3"/>
      <c r="E7641" s="3"/>
      <c r="F7641" s="3"/>
      <c r="G7641" s="3"/>
      <c r="H7641" s="3"/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  <c r="T7641" s="3"/>
      <c r="U7641" s="3"/>
      <c r="V7641" s="3"/>
      <c r="W7641" s="3"/>
      <c r="X7641" s="3"/>
      <c r="Y7641" s="3"/>
    </row>
    <row r="7642">
      <c r="A7642" s="3"/>
      <c r="B7642" s="3"/>
      <c r="C7642" s="3"/>
      <c r="D7642" s="3"/>
      <c r="E7642" s="3"/>
      <c r="F7642" s="3"/>
      <c r="G7642" s="3"/>
      <c r="H7642" s="3"/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  <c r="T7642" s="3"/>
      <c r="U7642" s="3"/>
      <c r="V7642" s="3"/>
      <c r="W7642" s="3"/>
      <c r="X7642" s="3"/>
      <c r="Y7642" s="3"/>
    </row>
    <row r="7643">
      <c r="A7643" s="3"/>
      <c r="B7643" s="3"/>
      <c r="C7643" s="3"/>
      <c r="D7643" s="3"/>
      <c r="E7643" s="3"/>
      <c r="F7643" s="3"/>
      <c r="G7643" s="3"/>
      <c r="H7643" s="3"/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  <c r="T7643" s="3"/>
      <c r="U7643" s="3"/>
      <c r="V7643" s="3"/>
      <c r="W7643" s="3"/>
      <c r="X7643" s="3"/>
      <c r="Y7643" s="3"/>
    </row>
    <row r="7644">
      <c r="A7644" s="3"/>
      <c r="B7644" s="3"/>
      <c r="C7644" s="3"/>
      <c r="D7644" s="3"/>
      <c r="E7644" s="3"/>
      <c r="F7644" s="3"/>
      <c r="G7644" s="3"/>
      <c r="H7644" s="3"/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  <c r="T7644" s="3"/>
      <c r="U7644" s="3"/>
      <c r="V7644" s="3"/>
      <c r="W7644" s="3"/>
      <c r="X7644" s="3"/>
      <c r="Y7644" s="3"/>
    </row>
    <row r="7645">
      <c r="A7645" s="3"/>
      <c r="B7645" s="3"/>
      <c r="C7645" s="3"/>
      <c r="D7645" s="3"/>
      <c r="E7645" s="3"/>
      <c r="F7645" s="3"/>
      <c r="G7645" s="3"/>
      <c r="H7645" s="3"/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  <c r="T7645" s="3"/>
      <c r="U7645" s="3"/>
      <c r="V7645" s="3"/>
      <c r="W7645" s="3"/>
      <c r="X7645" s="3"/>
      <c r="Y7645" s="3"/>
    </row>
    <row r="7646">
      <c r="A7646" s="3"/>
      <c r="B7646" s="3"/>
      <c r="C7646" s="3"/>
      <c r="D7646" s="3"/>
      <c r="E7646" s="3"/>
      <c r="F7646" s="3"/>
      <c r="G7646" s="3"/>
      <c r="H7646" s="3"/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  <c r="T7646" s="3"/>
      <c r="U7646" s="3"/>
      <c r="V7646" s="3"/>
      <c r="W7646" s="3"/>
      <c r="X7646" s="3"/>
      <c r="Y7646" s="3"/>
    </row>
    <row r="7647">
      <c r="A7647" s="3"/>
      <c r="B7647" s="3"/>
      <c r="C7647" s="3"/>
      <c r="D7647" s="3"/>
      <c r="E7647" s="3"/>
      <c r="F7647" s="3"/>
      <c r="G7647" s="3"/>
      <c r="H7647" s="3"/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  <c r="T7647" s="3"/>
      <c r="U7647" s="3"/>
      <c r="V7647" s="3"/>
      <c r="W7647" s="3"/>
      <c r="X7647" s="3"/>
      <c r="Y7647" s="3"/>
    </row>
    <row r="7648">
      <c r="A7648" s="3"/>
      <c r="B7648" s="3"/>
      <c r="C7648" s="3"/>
      <c r="D7648" s="3"/>
      <c r="E7648" s="3"/>
      <c r="F7648" s="3"/>
      <c r="G7648" s="3"/>
      <c r="H7648" s="3"/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  <c r="T7648" s="3"/>
      <c r="U7648" s="3"/>
      <c r="V7648" s="3"/>
      <c r="W7648" s="3"/>
      <c r="X7648" s="3"/>
      <c r="Y7648" s="3"/>
    </row>
    <row r="7649">
      <c r="A7649" s="3"/>
      <c r="B7649" s="3"/>
      <c r="C7649" s="3"/>
      <c r="D7649" s="3"/>
      <c r="E7649" s="3"/>
      <c r="F7649" s="3"/>
      <c r="G7649" s="3"/>
      <c r="H7649" s="3"/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  <c r="T7649" s="3"/>
      <c r="U7649" s="3"/>
      <c r="V7649" s="3"/>
      <c r="W7649" s="3"/>
      <c r="X7649" s="3"/>
      <c r="Y7649" s="3"/>
    </row>
    <row r="7650">
      <c r="A7650" s="3"/>
      <c r="B7650" s="3"/>
      <c r="C7650" s="3"/>
      <c r="D7650" s="3"/>
      <c r="E7650" s="3"/>
      <c r="F7650" s="3"/>
      <c r="G7650" s="3"/>
      <c r="H7650" s="3"/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  <c r="T7650" s="3"/>
      <c r="U7650" s="3"/>
      <c r="V7650" s="3"/>
      <c r="W7650" s="3"/>
      <c r="X7650" s="3"/>
      <c r="Y7650" s="3"/>
    </row>
    <row r="7651">
      <c r="A7651" s="3"/>
      <c r="B7651" s="3"/>
      <c r="C7651" s="3"/>
      <c r="D7651" s="3"/>
      <c r="E7651" s="3"/>
      <c r="F7651" s="3"/>
      <c r="G7651" s="3"/>
      <c r="H7651" s="3"/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  <c r="T7651" s="3"/>
      <c r="U7651" s="3"/>
      <c r="V7651" s="3"/>
      <c r="W7651" s="3"/>
      <c r="X7651" s="3"/>
      <c r="Y7651" s="3"/>
    </row>
    <row r="7652">
      <c r="A7652" s="3"/>
      <c r="B7652" s="3"/>
      <c r="C7652" s="3"/>
      <c r="D7652" s="3"/>
      <c r="E7652" s="3"/>
      <c r="F7652" s="3"/>
      <c r="G7652" s="3"/>
      <c r="H7652" s="3"/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  <c r="T7652" s="3"/>
      <c r="U7652" s="3"/>
      <c r="V7652" s="3"/>
      <c r="W7652" s="3"/>
      <c r="X7652" s="3"/>
      <c r="Y7652" s="3"/>
    </row>
    <row r="7653">
      <c r="A7653" s="3"/>
      <c r="B7653" s="3"/>
      <c r="C7653" s="3"/>
      <c r="D7653" s="3"/>
      <c r="E7653" s="3"/>
      <c r="F7653" s="3"/>
      <c r="G7653" s="3"/>
      <c r="H7653" s="3"/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  <c r="T7653" s="3"/>
      <c r="U7653" s="3"/>
      <c r="V7653" s="3"/>
      <c r="W7653" s="3"/>
      <c r="X7653" s="3"/>
      <c r="Y7653" s="3"/>
    </row>
    <row r="7654">
      <c r="A7654" s="3"/>
      <c r="B7654" s="3"/>
      <c r="C7654" s="3"/>
      <c r="D7654" s="3"/>
      <c r="E7654" s="3"/>
      <c r="F7654" s="3"/>
      <c r="G7654" s="3"/>
      <c r="H7654" s="3"/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  <c r="T7654" s="3"/>
      <c r="U7654" s="3"/>
      <c r="V7654" s="3"/>
      <c r="W7654" s="3"/>
      <c r="X7654" s="3"/>
      <c r="Y7654" s="3"/>
    </row>
    <row r="7655">
      <c r="A7655" s="3"/>
      <c r="B7655" s="3"/>
      <c r="C7655" s="3"/>
      <c r="D7655" s="3"/>
      <c r="E7655" s="3"/>
      <c r="F7655" s="3"/>
      <c r="G7655" s="3"/>
      <c r="H7655" s="3"/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  <c r="T7655" s="3"/>
      <c r="U7655" s="3"/>
      <c r="V7655" s="3"/>
      <c r="W7655" s="3"/>
      <c r="X7655" s="3"/>
      <c r="Y7655" s="3"/>
    </row>
    <row r="7656">
      <c r="A7656" s="3"/>
      <c r="B7656" s="3"/>
      <c r="C7656" s="3"/>
      <c r="D7656" s="3"/>
      <c r="E7656" s="3"/>
      <c r="F7656" s="3"/>
      <c r="G7656" s="3"/>
      <c r="H7656" s="3"/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  <c r="T7656" s="3"/>
      <c r="U7656" s="3"/>
      <c r="V7656" s="3"/>
      <c r="W7656" s="3"/>
      <c r="X7656" s="3"/>
      <c r="Y7656" s="3"/>
    </row>
    <row r="7657">
      <c r="A7657" s="3"/>
      <c r="B7657" s="3"/>
      <c r="C7657" s="3"/>
      <c r="D7657" s="3"/>
      <c r="E7657" s="3"/>
      <c r="F7657" s="3"/>
      <c r="G7657" s="3"/>
      <c r="H7657" s="3"/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  <c r="T7657" s="3"/>
      <c r="U7657" s="3"/>
      <c r="V7657" s="3"/>
      <c r="W7657" s="3"/>
      <c r="X7657" s="3"/>
      <c r="Y7657" s="3"/>
    </row>
    <row r="7658">
      <c r="A7658" s="3"/>
      <c r="B7658" s="3"/>
      <c r="C7658" s="3"/>
      <c r="D7658" s="3"/>
      <c r="E7658" s="3"/>
      <c r="F7658" s="3"/>
      <c r="G7658" s="3"/>
      <c r="H7658" s="3"/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  <c r="T7658" s="3"/>
      <c r="U7658" s="3"/>
      <c r="V7658" s="3"/>
      <c r="W7658" s="3"/>
      <c r="X7658" s="3"/>
      <c r="Y7658" s="3"/>
    </row>
    <row r="7659">
      <c r="A7659" s="3"/>
      <c r="B7659" s="3"/>
      <c r="C7659" s="3"/>
      <c r="D7659" s="3"/>
      <c r="E7659" s="3"/>
      <c r="F7659" s="3"/>
      <c r="G7659" s="3"/>
      <c r="H7659" s="3"/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  <c r="T7659" s="3"/>
      <c r="U7659" s="3"/>
      <c r="V7659" s="3"/>
      <c r="W7659" s="3"/>
      <c r="X7659" s="3"/>
      <c r="Y7659" s="3"/>
    </row>
    <row r="7660">
      <c r="A7660" s="3"/>
      <c r="B7660" s="3"/>
      <c r="C7660" s="3"/>
      <c r="D7660" s="3"/>
      <c r="E7660" s="3"/>
      <c r="F7660" s="3"/>
      <c r="G7660" s="3"/>
      <c r="H7660" s="3"/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  <c r="T7660" s="3"/>
      <c r="U7660" s="3"/>
      <c r="V7660" s="3"/>
      <c r="W7660" s="3"/>
      <c r="X7660" s="3"/>
      <c r="Y7660" s="3"/>
    </row>
    <row r="7661">
      <c r="A7661" s="3"/>
      <c r="B7661" s="3"/>
      <c r="C7661" s="3"/>
      <c r="D7661" s="3"/>
      <c r="E7661" s="3"/>
      <c r="F7661" s="3"/>
      <c r="G7661" s="3"/>
      <c r="H7661" s="3"/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  <c r="T7661" s="3"/>
      <c r="U7661" s="3"/>
      <c r="V7661" s="3"/>
      <c r="W7661" s="3"/>
      <c r="X7661" s="3"/>
      <c r="Y7661" s="3"/>
    </row>
    <row r="7662">
      <c r="A7662" s="3"/>
      <c r="B7662" s="3"/>
      <c r="C7662" s="3"/>
      <c r="D7662" s="3"/>
      <c r="E7662" s="3"/>
      <c r="F7662" s="3"/>
      <c r="G7662" s="3"/>
      <c r="H7662" s="3"/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  <c r="T7662" s="3"/>
      <c r="U7662" s="3"/>
      <c r="V7662" s="3"/>
      <c r="W7662" s="3"/>
      <c r="X7662" s="3"/>
      <c r="Y7662" s="3"/>
    </row>
    <row r="7663">
      <c r="A7663" s="3"/>
      <c r="B7663" s="3"/>
      <c r="C7663" s="3"/>
      <c r="D7663" s="3"/>
      <c r="E7663" s="3"/>
      <c r="F7663" s="3"/>
      <c r="G7663" s="3"/>
      <c r="H7663" s="3"/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  <c r="T7663" s="3"/>
      <c r="U7663" s="3"/>
      <c r="V7663" s="3"/>
      <c r="W7663" s="3"/>
      <c r="X7663" s="3"/>
      <c r="Y7663" s="3"/>
    </row>
    <row r="7664">
      <c r="A7664" s="3"/>
      <c r="B7664" s="3"/>
      <c r="C7664" s="3"/>
      <c r="D7664" s="3"/>
      <c r="E7664" s="3"/>
      <c r="F7664" s="3"/>
      <c r="G7664" s="3"/>
      <c r="H7664" s="3"/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  <c r="T7664" s="3"/>
      <c r="U7664" s="3"/>
      <c r="V7664" s="3"/>
      <c r="W7664" s="3"/>
      <c r="X7664" s="3"/>
      <c r="Y7664" s="3"/>
    </row>
    <row r="7665">
      <c r="A7665" s="3"/>
      <c r="B7665" s="3"/>
      <c r="C7665" s="3"/>
      <c r="D7665" s="3"/>
      <c r="E7665" s="3"/>
      <c r="F7665" s="3"/>
      <c r="G7665" s="3"/>
      <c r="H7665" s="3"/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  <c r="T7665" s="3"/>
      <c r="U7665" s="3"/>
      <c r="V7665" s="3"/>
      <c r="W7665" s="3"/>
      <c r="X7665" s="3"/>
      <c r="Y7665" s="3"/>
    </row>
    <row r="7666">
      <c r="A7666" s="3"/>
      <c r="B7666" s="3"/>
      <c r="C7666" s="3"/>
      <c r="D7666" s="3"/>
      <c r="E7666" s="3"/>
      <c r="F7666" s="3"/>
      <c r="G7666" s="3"/>
      <c r="H7666" s="3"/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  <c r="T7666" s="3"/>
      <c r="U7666" s="3"/>
      <c r="V7666" s="3"/>
      <c r="W7666" s="3"/>
      <c r="X7666" s="3"/>
      <c r="Y7666" s="3"/>
    </row>
    <row r="7667">
      <c r="A7667" s="3"/>
      <c r="B7667" s="3"/>
      <c r="C7667" s="3"/>
      <c r="D7667" s="3"/>
      <c r="E7667" s="3"/>
      <c r="F7667" s="3"/>
      <c r="G7667" s="3"/>
      <c r="H7667" s="3"/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  <c r="T7667" s="3"/>
      <c r="U7667" s="3"/>
      <c r="V7667" s="3"/>
      <c r="W7667" s="3"/>
      <c r="X7667" s="3"/>
      <c r="Y7667" s="3"/>
    </row>
    <row r="7668">
      <c r="A7668" s="3"/>
      <c r="B7668" s="3"/>
      <c r="C7668" s="3"/>
      <c r="D7668" s="3"/>
      <c r="E7668" s="3"/>
      <c r="F7668" s="3"/>
      <c r="G7668" s="3"/>
      <c r="H7668" s="3"/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  <c r="T7668" s="3"/>
      <c r="U7668" s="3"/>
      <c r="V7668" s="3"/>
      <c r="W7668" s="3"/>
      <c r="X7668" s="3"/>
      <c r="Y7668" s="3"/>
    </row>
    <row r="7669">
      <c r="A7669" s="3"/>
      <c r="B7669" s="3"/>
      <c r="C7669" s="3"/>
      <c r="D7669" s="3"/>
      <c r="E7669" s="3"/>
      <c r="F7669" s="3"/>
      <c r="G7669" s="3"/>
      <c r="H7669" s="3"/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  <c r="T7669" s="3"/>
      <c r="U7669" s="3"/>
      <c r="V7669" s="3"/>
      <c r="W7669" s="3"/>
      <c r="X7669" s="3"/>
      <c r="Y7669" s="3"/>
    </row>
    <row r="7670">
      <c r="A7670" s="3"/>
      <c r="B7670" s="3"/>
      <c r="C7670" s="3"/>
      <c r="D7670" s="3"/>
      <c r="E7670" s="3"/>
      <c r="F7670" s="3"/>
      <c r="G7670" s="3"/>
      <c r="H7670" s="3"/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  <c r="T7670" s="3"/>
      <c r="U7670" s="3"/>
      <c r="V7670" s="3"/>
      <c r="W7670" s="3"/>
      <c r="X7670" s="3"/>
      <c r="Y7670" s="3"/>
    </row>
    <row r="7671">
      <c r="A7671" s="3"/>
      <c r="B7671" s="3"/>
      <c r="C7671" s="3"/>
      <c r="D7671" s="3"/>
      <c r="E7671" s="3"/>
      <c r="F7671" s="3"/>
      <c r="G7671" s="3"/>
      <c r="H7671" s="3"/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  <c r="T7671" s="3"/>
      <c r="U7671" s="3"/>
      <c r="V7671" s="3"/>
      <c r="W7671" s="3"/>
      <c r="X7671" s="3"/>
      <c r="Y7671" s="3"/>
    </row>
    <row r="7672">
      <c r="A7672" s="3"/>
      <c r="B7672" s="3"/>
      <c r="C7672" s="3"/>
      <c r="D7672" s="3"/>
      <c r="E7672" s="3"/>
      <c r="F7672" s="3"/>
      <c r="G7672" s="3"/>
      <c r="H7672" s="3"/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  <c r="T7672" s="3"/>
      <c r="U7672" s="3"/>
      <c r="V7672" s="3"/>
      <c r="W7672" s="3"/>
      <c r="X7672" s="3"/>
      <c r="Y7672" s="3"/>
    </row>
    <row r="7673">
      <c r="A7673" s="3"/>
      <c r="B7673" s="3"/>
      <c r="C7673" s="3"/>
      <c r="D7673" s="3"/>
      <c r="E7673" s="3"/>
      <c r="F7673" s="3"/>
      <c r="G7673" s="3"/>
      <c r="H7673" s="3"/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  <c r="T7673" s="3"/>
      <c r="U7673" s="3"/>
      <c r="V7673" s="3"/>
      <c r="W7673" s="3"/>
      <c r="X7673" s="3"/>
      <c r="Y7673" s="3"/>
    </row>
    <row r="7674">
      <c r="A7674" s="3"/>
      <c r="B7674" s="3"/>
      <c r="C7674" s="3"/>
      <c r="D7674" s="3"/>
      <c r="E7674" s="3"/>
      <c r="F7674" s="3"/>
      <c r="G7674" s="3"/>
      <c r="H7674" s="3"/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  <c r="T7674" s="3"/>
      <c r="U7674" s="3"/>
      <c r="V7674" s="3"/>
      <c r="W7674" s="3"/>
      <c r="X7674" s="3"/>
      <c r="Y7674" s="3"/>
    </row>
    <row r="7675">
      <c r="A7675" s="3"/>
      <c r="B7675" s="3"/>
      <c r="C7675" s="3"/>
      <c r="D7675" s="3"/>
      <c r="E7675" s="3"/>
      <c r="F7675" s="3"/>
      <c r="G7675" s="3"/>
      <c r="H7675" s="3"/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  <c r="T7675" s="3"/>
      <c r="U7675" s="3"/>
      <c r="V7675" s="3"/>
      <c r="W7675" s="3"/>
      <c r="X7675" s="3"/>
      <c r="Y7675" s="3"/>
    </row>
    <row r="7676">
      <c r="A7676" s="3"/>
      <c r="B7676" s="3"/>
      <c r="C7676" s="3"/>
      <c r="D7676" s="3"/>
      <c r="E7676" s="3"/>
      <c r="F7676" s="3"/>
      <c r="G7676" s="3"/>
      <c r="H7676" s="3"/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  <c r="T7676" s="3"/>
      <c r="U7676" s="3"/>
      <c r="V7676" s="3"/>
      <c r="W7676" s="3"/>
      <c r="X7676" s="3"/>
      <c r="Y7676" s="3"/>
    </row>
    <row r="7677">
      <c r="A7677" s="3"/>
      <c r="B7677" s="3"/>
      <c r="C7677" s="3"/>
      <c r="D7677" s="3"/>
      <c r="E7677" s="3"/>
      <c r="F7677" s="3"/>
      <c r="G7677" s="3"/>
      <c r="H7677" s="3"/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  <c r="T7677" s="3"/>
      <c r="U7677" s="3"/>
      <c r="V7677" s="3"/>
      <c r="W7677" s="3"/>
      <c r="X7677" s="3"/>
      <c r="Y7677" s="3"/>
    </row>
    <row r="7678">
      <c r="A7678" s="3"/>
      <c r="B7678" s="3"/>
      <c r="C7678" s="3"/>
      <c r="D7678" s="3"/>
      <c r="E7678" s="3"/>
      <c r="F7678" s="3"/>
      <c r="G7678" s="3"/>
      <c r="H7678" s="3"/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  <c r="T7678" s="3"/>
      <c r="U7678" s="3"/>
      <c r="V7678" s="3"/>
      <c r="W7678" s="3"/>
      <c r="X7678" s="3"/>
      <c r="Y7678" s="3"/>
    </row>
    <row r="7679">
      <c r="A7679" s="3"/>
      <c r="B7679" s="3"/>
      <c r="C7679" s="3"/>
      <c r="D7679" s="3"/>
      <c r="E7679" s="3"/>
      <c r="F7679" s="3"/>
      <c r="G7679" s="3"/>
      <c r="H7679" s="3"/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  <c r="T7679" s="3"/>
      <c r="U7679" s="3"/>
      <c r="V7679" s="3"/>
      <c r="W7679" s="3"/>
      <c r="X7679" s="3"/>
      <c r="Y7679" s="3"/>
    </row>
    <row r="7680">
      <c r="A7680" s="3"/>
      <c r="B7680" s="3"/>
      <c r="C7680" s="3"/>
      <c r="D7680" s="3"/>
      <c r="E7680" s="3"/>
      <c r="F7680" s="3"/>
      <c r="G7680" s="3"/>
      <c r="H7680" s="3"/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  <c r="T7680" s="3"/>
      <c r="U7680" s="3"/>
      <c r="V7680" s="3"/>
      <c r="W7680" s="3"/>
      <c r="X7680" s="3"/>
      <c r="Y7680" s="3"/>
    </row>
    <row r="7681">
      <c r="A7681" s="3"/>
      <c r="B7681" s="3"/>
      <c r="C7681" s="3"/>
      <c r="D7681" s="3"/>
      <c r="E7681" s="3"/>
      <c r="F7681" s="3"/>
      <c r="G7681" s="3"/>
      <c r="H7681" s="3"/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  <c r="T7681" s="3"/>
      <c r="U7681" s="3"/>
      <c r="V7681" s="3"/>
      <c r="W7681" s="3"/>
      <c r="X7681" s="3"/>
      <c r="Y7681" s="3"/>
    </row>
    <row r="7682">
      <c r="A7682" s="3"/>
      <c r="B7682" s="3"/>
      <c r="C7682" s="3"/>
      <c r="D7682" s="3"/>
      <c r="E7682" s="3"/>
      <c r="F7682" s="3"/>
      <c r="G7682" s="3"/>
      <c r="H7682" s="3"/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  <c r="T7682" s="3"/>
      <c r="U7682" s="3"/>
      <c r="V7682" s="3"/>
      <c r="W7682" s="3"/>
      <c r="X7682" s="3"/>
      <c r="Y7682" s="3"/>
    </row>
    <row r="7683">
      <c r="A7683" s="3"/>
      <c r="B7683" s="3"/>
      <c r="C7683" s="3"/>
      <c r="D7683" s="3"/>
      <c r="E7683" s="3"/>
      <c r="F7683" s="3"/>
      <c r="G7683" s="3"/>
      <c r="H7683" s="3"/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  <c r="T7683" s="3"/>
      <c r="U7683" s="3"/>
      <c r="V7683" s="3"/>
      <c r="W7683" s="3"/>
      <c r="X7683" s="3"/>
      <c r="Y7683" s="3"/>
    </row>
    <row r="7684">
      <c r="A7684" s="3"/>
      <c r="B7684" s="3"/>
      <c r="C7684" s="3"/>
      <c r="D7684" s="3"/>
      <c r="E7684" s="3"/>
      <c r="F7684" s="3"/>
      <c r="G7684" s="3"/>
      <c r="H7684" s="3"/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  <c r="T7684" s="3"/>
      <c r="U7684" s="3"/>
      <c r="V7684" s="3"/>
      <c r="W7684" s="3"/>
      <c r="X7684" s="3"/>
      <c r="Y7684" s="3"/>
    </row>
    <row r="7685">
      <c r="A7685" s="3"/>
      <c r="B7685" s="3"/>
      <c r="C7685" s="3"/>
      <c r="D7685" s="3"/>
      <c r="E7685" s="3"/>
      <c r="F7685" s="3"/>
      <c r="G7685" s="3"/>
      <c r="H7685" s="3"/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  <c r="T7685" s="3"/>
      <c r="U7685" s="3"/>
      <c r="V7685" s="3"/>
      <c r="W7685" s="3"/>
      <c r="X7685" s="3"/>
      <c r="Y7685" s="3"/>
    </row>
    <row r="7686">
      <c r="A7686" s="3"/>
      <c r="B7686" s="3"/>
      <c r="C7686" s="3"/>
      <c r="D7686" s="3"/>
      <c r="E7686" s="3"/>
      <c r="F7686" s="3"/>
      <c r="G7686" s="3"/>
      <c r="H7686" s="3"/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  <c r="T7686" s="3"/>
      <c r="U7686" s="3"/>
      <c r="V7686" s="3"/>
      <c r="W7686" s="3"/>
      <c r="X7686" s="3"/>
      <c r="Y7686" s="3"/>
    </row>
    <row r="7687">
      <c r="A7687" s="3"/>
      <c r="B7687" s="3"/>
      <c r="C7687" s="3"/>
      <c r="D7687" s="3"/>
      <c r="E7687" s="3"/>
      <c r="F7687" s="3"/>
      <c r="G7687" s="3"/>
      <c r="H7687" s="3"/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  <c r="T7687" s="3"/>
      <c r="U7687" s="3"/>
      <c r="V7687" s="3"/>
      <c r="W7687" s="3"/>
      <c r="X7687" s="3"/>
      <c r="Y7687" s="3"/>
    </row>
    <row r="7688">
      <c r="A7688" s="3"/>
      <c r="B7688" s="3"/>
      <c r="C7688" s="3"/>
      <c r="D7688" s="3"/>
      <c r="E7688" s="3"/>
      <c r="F7688" s="3"/>
      <c r="G7688" s="3"/>
      <c r="H7688" s="3"/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  <c r="T7688" s="3"/>
      <c r="U7688" s="3"/>
      <c r="V7688" s="3"/>
      <c r="W7688" s="3"/>
      <c r="X7688" s="3"/>
      <c r="Y7688" s="3"/>
    </row>
    <row r="7689">
      <c r="A7689" s="3"/>
      <c r="B7689" s="3"/>
      <c r="C7689" s="3"/>
      <c r="D7689" s="3"/>
      <c r="E7689" s="3"/>
      <c r="F7689" s="3"/>
      <c r="G7689" s="3"/>
      <c r="H7689" s="3"/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  <c r="T7689" s="3"/>
      <c r="U7689" s="3"/>
      <c r="V7689" s="3"/>
      <c r="W7689" s="3"/>
      <c r="X7689" s="3"/>
      <c r="Y7689" s="3"/>
    </row>
    <row r="7690">
      <c r="A7690" s="3"/>
      <c r="B7690" s="3"/>
      <c r="C7690" s="3"/>
      <c r="D7690" s="3"/>
      <c r="E7690" s="3"/>
      <c r="F7690" s="3"/>
      <c r="G7690" s="3"/>
      <c r="H7690" s="3"/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  <c r="T7690" s="3"/>
      <c r="U7690" s="3"/>
      <c r="V7690" s="3"/>
      <c r="W7690" s="3"/>
      <c r="X7690" s="3"/>
      <c r="Y7690" s="3"/>
    </row>
    <row r="7691">
      <c r="A7691" s="3"/>
      <c r="B7691" s="3"/>
      <c r="C7691" s="3"/>
      <c r="D7691" s="3"/>
      <c r="E7691" s="3"/>
      <c r="F7691" s="3"/>
      <c r="G7691" s="3"/>
      <c r="H7691" s="3"/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  <c r="T7691" s="3"/>
      <c r="U7691" s="3"/>
      <c r="V7691" s="3"/>
      <c r="W7691" s="3"/>
      <c r="X7691" s="3"/>
      <c r="Y7691" s="3"/>
    </row>
    <row r="7692">
      <c r="A7692" s="3"/>
      <c r="B7692" s="3"/>
      <c r="C7692" s="3"/>
      <c r="D7692" s="3"/>
      <c r="E7692" s="3"/>
      <c r="F7692" s="3"/>
      <c r="G7692" s="3"/>
      <c r="H7692" s="3"/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  <c r="T7692" s="3"/>
      <c r="U7692" s="3"/>
      <c r="V7692" s="3"/>
      <c r="W7692" s="3"/>
      <c r="X7692" s="3"/>
      <c r="Y7692" s="3"/>
    </row>
    <row r="7693">
      <c r="A7693" s="3"/>
      <c r="B7693" s="3"/>
      <c r="C7693" s="3"/>
      <c r="D7693" s="3"/>
      <c r="E7693" s="3"/>
      <c r="F7693" s="3"/>
      <c r="G7693" s="3"/>
      <c r="H7693" s="3"/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  <c r="T7693" s="3"/>
      <c r="U7693" s="3"/>
      <c r="V7693" s="3"/>
      <c r="W7693" s="3"/>
      <c r="X7693" s="3"/>
      <c r="Y7693" s="3"/>
    </row>
    <row r="7694">
      <c r="A7694" s="3"/>
      <c r="B7694" s="3"/>
      <c r="C7694" s="3"/>
      <c r="D7694" s="3"/>
      <c r="E7694" s="3"/>
      <c r="F7694" s="3"/>
      <c r="G7694" s="3"/>
      <c r="H7694" s="3"/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  <c r="T7694" s="3"/>
      <c r="U7694" s="3"/>
      <c r="V7694" s="3"/>
      <c r="W7694" s="3"/>
      <c r="X7694" s="3"/>
      <c r="Y7694" s="3"/>
    </row>
    <row r="7695">
      <c r="A7695" s="3"/>
      <c r="B7695" s="3"/>
      <c r="C7695" s="3"/>
      <c r="D7695" s="3"/>
      <c r="E7695" s="3"/>
      <c r="F7695" s="3"/>
      <c r="G7695" s="3"/>
      <c r="H7695" s="3"/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  <c r="T7695" s="3"/>
      <c r="U7695" s="3"/>
      <c r="V7695" s="3"/>
      <c r="W7695" s="3"/>
      <c r="X7695" s="3"/>
      <c r="Y7695" s="3"/>
    </row>
    <row r="7696">
      <c r="A7696" s="3"/>
      <c r="B7696" s="3"/>
      <c r="C7696" s="3"/>
      <c r="D7696" s="3"/>
      <c r="E7696" s="3"/>
      <c r="F7696" s="3"/>
      <c r="G7696" s="3"/>
      <c r="H7696" s="3"/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  <c r="T7696" s="3"/>
      <c r="U7696" s="3"/>
      <c r="V7696" s="3"/>
      <c r="W7696" s="3"/>
      <c r="X7696" s="3"/>
      <c r="Y7696" s="3"/>
    </row>
    <row r="7697">
      <c r="A7697" s="3"/>
      <c r="B7697" s="3"/>
      <c r="C7697" s="3"/>
      <c r="D7697" s="3"/>
      <c r="E7697" s="3"/>
      <c r="F7697" s="3"/>
      <c r="G7697" s="3"/>
      <c r="H7697" s="3"/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  <c r="T7697" s="3"/>
      <c r="U7697" s="3"/>
      <c r="V7697" s="3"/>
      <c r="W7697" s="3"/>
      <c r="X7697" s="3"/>
      <c r="Y7697" s="3"/>
    </row>
    <row r="7698">
      <c r="A7698" s="3"/>
      <c r="B7698" s="3"/>
      <c r="C7698" s="3"/>
      <c r="D7698" s="3"/>
      <c r="E7698" s="3"/>
      <c r="F7698" s="3"/>
      <c r="G7698" s="3"/>
      <c r="H7698" s="3"/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  <c r="T7698" s="3"/>
      <c r="U7698" s="3"/>
      <c r="V7698" s="3"/>
      <c r="W7698" s="3"/>
      <c r="X7698" s="3"/>
      <c r="Y7698" s="3"/>
    </row>
    <row r="7699">
      <c r="A7699" s="3"/>
      <c r="B7699" s="3"/>
      <c r="C7699" s="3"/>
      <c r="D7699" s="3"/>
      <c r="E7699" s="3"/>
      <c r="F7699" s="3"/>
      <c r="G7699" s="3"/>
      <c r="H7699" s="3"/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  <c r="T7699" s="3"/>
      <c r="U7699" s="3"/>
      <c r="V7699" s="3"/>
      <c r="W7699" s="3"/>
      <c r="X7699" s="3"/>
      <c r="Y7699" s="3"/>
    </row>
    <row r="7700">
      <c r="A7700" s="3"/>
      <c r="B7700" s="3"/>
      <c r="C7700" s="3"/>
      <c r="D7700" s="3"/>
      <c r="E7700" s="3"/>
      <c r="F7700" s="3"/>
      <c r="G7700" s="3"/>
      <c r="H7700" s="3"/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  <c r="T7700" s="3"/>
      <c r="U7700" s="3"/>
      <c r="V7700" s="3"/>
      <c r="W7700" s="3"/>
      <c r="X7700" s="3"/>
      <c r="Y7700" s="3"/>
    </row>
    <row r="7701">
      <c r="A7701" s="3"/>
      <c r="B7701" s="3"/>
      <c r="C7701" s="3"/>
      <c r="D7701" s="3"/>
      <c r="E7701" s="3"/>
      <c r="F7701" s="3"/>
      <c r="G7701" s="3"/>
      <c r="H7701" s="3"/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  <c r="T7701" s="3"/>
      <c r="U7701" s="3"/>
      <c r="V7701" s="3"/>
      <c r="W7701" s="3"/>
      <c r="X7701" s="3"/>
      <c r="Y7701" s="3"/>
    </row>
    <row r="7702">
      <c r="A7702" s="3"/>
      <c r="B7702" s="3"/>
      <c r="C7702" s="3"/>
      <c r="D7702" s="3"/>
      <c r="E7702" s="3"/>
      <c r="F7702" s="3"/>
      <c r="G7702" s="3"/>
      <c r="H7702" s="3"/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  <c r="T7702" s="3"/>
      <c r="U7702" s="3"/>
      <c r="V7702" s="3"/>
      <c r="W7702" s="3"/>
      <c r="X7702" s="3"/>
      <c r="Y7702" s="3"/>
    </row>
    <row r="7703">
      <c r="A7703" s="3"/>
      <c r="B7703" s="3"/>
      <c r="C7703" s="3"/>
      <c r="D7703" s="3"/>
      <c r="E7703" s="3"/>
      <c r="F7703" s="3"/>
      <c r="G7703" s="3"/>
      <c r="H7703" s="3"/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  <c r="T7703" s="3"/>
      <c r="U7703" s="3"/>
      <c r="V7703" s="3"/>
      <c r="W7703" s="3"/>
      <c r="X7703" s="3"/>
      <c r="Y7703" s="3"/>
    </row>
    <row r="7704">
      <c r="A7704" s="3"/>
      <c r="B7704" s="3"/>
      <c r="C7704" s="3"/>
      <c r="D7704" s="3"/>
      <c r="E7704" s="3"/>
      <c r="F7704" s="3"/>
      <c r="G7704" s="3"/>
      <c r="H7704" s="3"/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  <c r="T7704" s="3"/>
      <c r="U7704" s="3"/>
      <c r="V7704" s="3"/>
      <c r="W7704" s="3"/>
      <c r="X7704" s="3"/>
      <c r="Y7704" s="3"/>
    </row>
    <row r="7705">
      <c r="A7705" s="3"/>
      <c r="B7705" s="3"/>
      <c r="C7705" s="3"/>
      <c r="D7705" s="3"/>
      <c r="E7705" s="3"/>
      <c r="F7705" s="3"/>
      <c r="G7705" s="3"/>
      <c r="H7705" s="3"/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  <c r="T7705" s="3"/>
      <c r="U7705" s="3"/>
      <c r="V7705" s="3"/>
      <c r="W7705" s="3"/>
      <c r="X7705" s="3"/>
      <c r="Y7705" s="3"/>
    </row>
    <row r="7706">
      <c r="A7706" s="3"/>
      <c r="B7706" s="3"/>
      <c r="C7706" s="3"/>
      <c r="D7706" s="3"/>
      <c r="E7706" s="3"/>
      <c r="F7706" s="3"/>
      <c r="G7706" s="3"/>
      <c r="H7706" s="3"/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  <c r="T7706" s="3"/>
      <c r="U7706" s="3"/>
      <c r="V7706" s="3"/>
      <c r="W7706" s="3"/>
      <c r="X7706" s="3"/>
      <c r="Y7706" s="3"/>
    </row>
    <row r="7707">
      <c r="A7707" s="3"/>
      <c r="B7707" s="3"/>
      <c r="C7707" s="3"/>
      <c r="D7707" s="3"/>
      <c r="E7707" s="3"/>
      <c r="F7707" s="3"/>
      <c r="G7707" s="3"/>
      <c r="H7707" s="3"/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  <c r="T7707" s="3"/>
      <c r="U7707" s="3"/>
      <c r="V7707" s="3"/>
      <c r="W7707" s="3"/>
      <c r="X7707" s="3"/>
      <c r="Y7707" s="3"/>
    </row>
    <row r="7708">
      <c r="A7708" s="3"/>
      <c r="B7708" s="3"/>
      <c r="C7708" s="3"/>
      <c r="D7708" s="3"/>
      <c r="E7708" s="3"/>
      <c r="F7708" s="3"/>
      <c r="G7708" s="3"/>
      <c r="H7708" s="3"/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  <c r="T7708" s="3"/>
      <c r="U7708" s="3"/>
      <c r="V7708" s="3"/>
      <c r="W7708" s="3"/>
      <c r="X7708" s="3"/>
      <c r="Y7708" s="3"/>
    </row>
    <row r="7709">
      <c r="A7709" s="3"/>
      <c r="B7709" s="3"/>
      <c r="C7709" s="3"/>
      <c r="D7709" s="3"/>
      <c r="E7709" s="3"/>
      <c r="F7709" s="3"/>
      <c r="G7709" s="3"/>
      <c r="H7709" s="3"/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  <c r="T7709" s="3"/>
      <c r="U7709" s="3"/>
      <c r="V7709" s="3"/>
      <c r="W7709" s="3"/>
      <c r="X7709" s="3"/>
      <c r="Y7709" s="3"/>
    </row>
    <row r="7710">
      <c r="A7710" s="3"/>
      <c r="B7710" s="3"/>
      <c r="C7710" s="3"/>
      <c r="D7710" s="3"/>
      <c r="E7710" s="3"/>
      <c r="F7710" s="3"/>
      <c r="G7710" s="3"/>
      <c r="H7710" s="3"/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  <c r="T7710" s="3"/>
      <c r="U7710" s="3"/>
      <c r="V7710" s="3"/>
      <c r="W7710" s="3"/>
      <c r="X7710" s="3"/>
      <c r="Y7710" s="3"/>
    </row>
    <row r="7711">
      <c r="A7711" s="3"/>
      <c r="B7711" s="3"/>
      <c r="C7711" s="3"/>
      <c r="D7711" s="3"/>
      <c r="E7711" s="3"/>
      <c r="F7711" s="3"/>
      <c r="G7711" s="3"/>
      <c r="H7711" s="3"/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  <c r="T7711" s="3"/>
      <c r="U7711" s="3"/>
      <c r="V7711" s="3"/>
      <c r="W7711" s="3"/>
      <c r="X7711" s="3"/>
      <c r="Y7711" s="3"/>
    </row>
    <row r="7712">
      <c r="A7712" s="3"/>
      <c r="B7712" s="3"/>
      <c r="C7712" s="3"/>
      <c r="D7712" s="3"/>
      <c r="E7712" s="3"/>
      <c r="F7712" s="3"/>
      <c r="G7712" s="3"/>
      <c r="H7712" s="3"/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  <c r="T7712" s="3"/>
      <c r="U7712" s="3"/>
      <c r="V7712" s="3"/>
      <c r="W7712" s="3"/>
      <c r="X7712" s="3"/>
      <c r="Y7712" s="3"/>
    </row>
    <row r="7713">
      <c r="A7713" s="3"/>
      <c r="B7713" s="3"/>
      <c r="C7713" s="3"/>
      <c r="D7713" s="3"/>
      <c r="E7713" s="3"/>
      <c r="F7713" s="3"/>
      <c r="G7713" s="3"/>
      <c r="H7713" s="3"/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  <c r="T7713" s="3"/>
      <c r="U7713" s="3"/>
      <c r="V7713" s="3"/>
      <c r="W7713" s="3"/>
      <c r="X7713" s="3"/>
      <c r="Y7713" s="3"/>
    </row>
    <row r="7714">
      <c r="A7714" s="3"/>
      <c r="B7714" s="3"/>
      <c r="C7714" s="3"/>
      <c r="D7714" s="3"/>
      <c r="E7714" s="3"/>
      <c r="F7714" s="3"/>
      <c r="G7714" s="3"/>
      <c r="H7714" s="3"/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  <c r="T7714" s="3"/>
      <c r="U7714" s="3"/>
      <c r="V7714" s="3"/>
      <c r="W7714" s="3"/>
      <c r="X7714" s="3"/>
      <c r="Y7714" s="3"/>
    </row>
    <row r="7715">
      <c r="A7715" s="3"/>
      <c r="B7715" s="3"/>
      <c r="C7715" s="3"/>
      <c r="D7715" s="3"/>
      <c r="E7715" s="3"/>
      <c r="F7715" s="3"/>
      <c r="G7715" s="3"/>
      <c r="H7715" s="3"/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  <c r="T7715" s="3"/>
      <c r="U7715" s="3"/>
      <c r="V7715" s="3"/>
      <c r="W7715" s="3"/>
      <c r="X7715" s="3"/>
      <c r="Y7715" s="3"/>
    </row>
    <row r="7716">
      <c r="A7716" s="3"/>
      <c r="B7716" s="3"/>
      <c r="C7716" s="3"/>
      <c r="D7716" s="3"/>
      <c r="E7716" s="3"/>
      <c r="F7716" s="3"/>
      <c r="G7716" s="3"/>
      <c r="H7716" s="3"/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  <c r="T7716" s="3"/>
      <c r="U7716" s="3"/>
      <c r="V7716" s="3"/>
      <c r="W7716" s="3"/>
      <c r="X7716" s="3"/>
      <c r="Y7716" s="3"/>
    </row>
    <row r="7717">
      <c r="A7717" s="3"/>
      <c r="B7717" s="3"/>
      <c r="C7717" s="3"/>
      <c r="D7717" s="3"/>
      <c r="E7717" s="3"/>
      <c r="F7717" s="3"/>
      <c r="G7717" s="3"/>
      <c r="H7717" s="3"/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  <c r="T7717" s="3"/>
      <c r="U7717" s="3"/>
      <c r="V7717" s="3"/>
      <c r="W7717" s="3"/>
      <c r="X7717" s="3"/>
      <c r="Y7717" s="3"/>
    </row>
    <row r="7718">
      <c r="A7718" s="3"/>
      <c r="B7718" s="3"/>
      <c r="C7718" s="3"/>
      <c r="D7718" s="3"/>
      <c r="E7718" s="3"/>
      <c r="F7718" s="3"/>
      <c r="G7718" s="3"/>
      <c r="H7718" s="3"/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  <c r="T7718" s="3"/>
      <c r="U7718" s="3"/>
      <c r="V7718" s="3"/>
      <c r="W7718" s="3"/>
      <c r="X7718" s="3"/>
      <c r="Y7718" s="3"/>
    </row>
    <row r="7719">
      <c r="A7719" s="3"/>
      <c r="B7719" s="3"/>
      <c r="C7719" s="3"/>
      <c r="D7719" s="3"/>
      <c r="E7719" s="3"/>
      <c r="F7719" s="3"/>
      <c r="G7719" s="3"/>
      <c r="H7719" s="3"/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  <c r="T7719" s="3"/>
      <c r="U7719" s="3"/>
      <c r="V7719" s="3"/>
      <c r="W7719" s="3"/>
      <c r="X7719" s="3"/>
      <c r="Y7719" s="3"/>
    </row>
    <row r="7720">
      <c r="A7720" s="3"/>
      <c r="B7720" s="3"/>
      <c r="C7720" s="3"/>
      <c r="D7720" s="3"/>
      <c r="E7720" s="3"/>
      <c r="F7720" s="3"/>
      <c r="G7720" s="3"/>
      <c r="H7720" s="3"/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  <c r="T7720" s="3"/>
      <c r="U7720" s="3"/>
      <c r="V7720" s="3"/>
      <c r="W7720" s="3"/>
      <c r="X7720" s="3"/>
      <c r="Y7720" s="3"/>
    </row>
    <row r="7721">
      <c r="A7721" s="3"/>
      <c r="B7721" s="3"/>
      <c r="C7721" s="3"/>
      <c r="D7721" s="3"/>
      <c r="E7721" s="3"/>
      <c r="F7721" s="3"/>
      <c r="G7721" s="3"/>
      <c r="H7721" s="3"/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  <c r="T7721" s="3"/>
      <c r="U7721" s="3"/>
      <c r="V7721" s="3"/>
      <c r="W7721" s="3"/>
      <c r="X7721" s="3"/>
      <c r="Y7721" s="3"/>
    </row>
    <row r="7722">
      <c r="A7722" s="3"/>
      <c r="B7722" s="3"/>
      <c r="C7722" s="3"/>
      <c r="D7722" s="3"/>
      <c r="E7722" s="3"/>
      <c r="F7722" s="3"/>
      <c r="G7722" s="3"/>
      <c r="H7722" s="3"/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  <c r="T7722" s="3"/>
      <c r="U7722" s="3"/>
      <c r="V7722" s="3"/>
      <c r="W7722" s="3"/>
      <c r="X7722" s="3"/>
      <c r="Y7722" s="3"/>
    </row>
    <row r="7723">
      <c r="A7723" s="3"/>
      <c r="B7723" s="3"/>
      <c r="C7723" s="3"/>
      <c r="D7723" s="3"/>
      <c r="E7723" s="3"/>
      <c r="F7723" s="3"/>
      <c r="G7723" s="3"/>
      <c r="H7723" s="3"/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  <c r="T7723" s="3"/>
      <c r="U7723" s="3"/>
      <c r="V7723" s="3"/>
      <c r="W7723" s="3"/>
      <c r="X7723" s="3"/>
      <c r="Y7723" s="3"/>
    </row>
    <row r="7724">
      <c r="A7724" s="3"/>
      <c r="B7724" s="3"/>
      <c r="C7724" s="3"/>
      <c r="D7724" s="3"/>
      <c r="E7724" s="3"/>
      <c r="F7724" s="3"/>
      <c r="G7724" s="3"/>
      <c r="H7724" s="3"/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  <c r="T7724" s="3"/>
      <c r="U7724" s="3"/>
      <c r="V7724" s="3"/>
      <c r="W7724" s="3"/>
      <c r="X7724" s="3"/>
      <c r="Y7724" s="3"/>
    </row>
    <row r="7725">
      <c r="A7725" s="3"/>
      <c r="B7725" s="3"/>
      <c r="C7725" s="3"/>
      <c r="D7725" s="3"/>
      <c r="E7725" s="3"/>
      <c r="F7725" s="3"/>
      <c r="G7725" s="3"/>
      <c r="H7725" s="3"/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  <c r="T7725" s="3"/>
      <c r="U7725" s="3"/>
      <c r="V7725" s="3"/>
      <c r="W7725" s="3"/>
      <c r="X7725" s="3"/>
      <c r="Y7725" s="3"/>
    </row>
    <row r="7726">
      <c r="A7726" s="3"/>
      <c r="B7726" s="3"/>
      <c r="C7726" s="3"/>
      <c r="D7726" s="3"/>
      <c r="E7726" s="3"/>
      <c r="F7726" s="3"/>
      <c r="G7726" s="3"/>
      <c r="H7726" s="3"/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  <c r="T7726" s="3"/>
      <c r="U7726" s="3"/>
      <c r="V7726" s="3"/>
      <c r="W7726" s="3"/>
      <c r="X7726" s="3"/>
      <c r="Y7726" s="3"/>
    </row>
    <row r="7727">
      <c r="A7727" s="3"/>
      <c r="B7727" s="3"/>
      <c r="C7727" s="3"/>
      <c r="D7727" s="3"/>
      <c r="E7727" s="3"/>
      <c r="F7727" s="3"/>
      <c r="G7727" s="3"/>
      <c r="H7727" s="3"/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  <c r="T7727" s="3"/>
      <c r="U7727" s="3"/>
      <c r="V7727" s="3"/>
      <c r="W7727" s="3"/>
      <c r="X7727" s="3"/>
      <c r="Y7727" s="3"/>
    </row>
    <row r="7728">
      <c r="A7728" s="3"/>
      <c r="B7728" s="3"/>
      <c r="C7728" s="3"/>
      <c r="D7728" s="3"/>
      <c r="E7728" s="3"/>
      <c r="F7728" s="3"/>
      <c r="G7728" s="3"/>
      <c r="H7728" s="3"/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  <c r="T7728" s="3"/>
      <c r="U7728" s="3"/>
      <c r="V7728" s="3"/>
      <c r="W7728" s="3"/>
      <c r="X7728" s="3"/>
      <c r="Y7728" s="3"/>
    </row>
    <row r="7729">
      <c r="A7729" s="3"/>
      <c r="B7729" s="3"/>
      <c r="C7729" s="3"/>
      <c r="D7729" s="3"/>
      <c r="E7729" s="3"/>
      <c r="F7729" s="3"/>
      <c r="G7729" s="3"/>
      <c r="H7729" s="3"/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  <c r="T7729" s="3"/>
      <c r="U7729" s="3"/>
      <c r="V7729" s="3"/>
      <c r="W7729" s="3"/>
      <c r="X7729" s="3"/>
      <c r="Y7729" s="3"/>
    </row>
    <row r="7730">
      <c r="A7730" s="3"/>
      <c r="B7730" s="3"/>
      <c r="C7730" s="3"/>
      <c r="D7730" s="3"/>
      <c r="E7730" s="3"/>
      <c r="F7730" s="3"/>
      <c r="G7730" s="3"/>
      <c r="H7730" s="3"/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  <c r="T7730" s="3"/>
      <c r="U7730" s="3"/>
      <c r="V7730" s="3"/>
      <c r="W7730" s="3"/>
      <c r="X7730" s="3"/>
      <c r="Y7730" s="3"/>
    </row>
    <row r="7731">
      <c r="A7731" s="3"/>
      <c r="B7731" s="3"/>
      <c r="C7731" s="3"/>
      <c r="D7731" s="3"/>
      <c r="E7731" s="3"/>
      <c r="F7731" s="3"/>
      <c r="G7731" s="3"/>
      <c r="H7731" s="3"/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  <c r="T7731" s="3"/>
      <c r="U7731" s="3"/>
      <c r="V7731" s="3"/>
      <c r="W7731" s="3"/>
      <c r="X7731" s="3"/>
      <c r="Y7731" s="3"/>
    </row>
    <row r="7732">
      <c r="A7732" s="3"/>
      <c r="B7732" s="3"/>
      <c r="C7732" s="3"/>
      <c r="D7732" s="3"/>
      <c r="E7732" s="3"/>
      <c r="F7732" s="3"/>
      <c r="G7732" s="3"/>
      <c r="H7732" s="3"/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  <c r="T7732" s="3"/>
      <c r="U7732" s="3"/>
      <c r="V7732" s="3"/>
      <c r="W7732" s="3"/>
      <c r="X7732" s="3"/>
      <c r="Y7732" s="3"/>
    </row>
    <row r="7733">
      <c r="A7733" s="3"/>
      <c r="B7733" s="3"/>
      <c r="C7733" s="3"/>
      <c r="D7733" s="3"/>
      <c r="E7733" s="3"/>
      <c r="F7733" s="3"/>
      <c r="G7733" s="3"/>
      <c r="H7733" s="3"/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  <c r="T7733" s="3"/>
      <c r="U7733" s="3"/>
      <c r="V7733" s="3"/>
      <c r="W7733" s="3"/>
      <c r="X7733" s="3"/>
      <c r="Y7733" s="3"/>
    </row>
    <row r="7734">
      <c r="A7734" s="3"/>
      <c r="B7734" s="3"/>
      <c r="C7734" s="3"/>
      <c r="D7734" s="3"/>
      <c r="E7734" s="3"/>
      <c r="F7734" s="3"/>
      <c r="G7734" s="3"/>
      <c r="H7734" s="3"/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  <c r="T7734" s="3"/>
      <c r="U7734" s="3"/>
      <c r="V7734" s="3"/>
      <c r="W7734" s="3"/>
      <c r="X7734" s="3"/>
      <c r="Y7734" s="3"/>
    </row>
    <row r="7735">
      <c r="A7735" s="3"/>
      <c r="B7735" s="3"/>
      <c r="C7735" s="3"/>
      <c r="D7735" s="3"/>
      <c r="E7735" s="3"/>
      <c r="F7735" s="3"/>
      <c r="G7735" s="3"/>
      <c r="H7735" s="3"/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  <c r="T7735" s="3"/>
      <c r="U7735" s="3"/>
      <c r="V7735" s="3"/>
      <c r="W7735" s="3"/>
      <c r="X7735" s="3"/>
      <c r="Y7735" s="3"/>
    </row>
    <row r="7736">
      <c r="A7736" s="3"/>
      <c r="B7736" s="3"/>
      <c r="C7736" s="3"/>
      <c r="D7736" s="3"/>
      <c r="E7736" s="3"/>
      <c r="F7736" s="3"/>
      <c r="G7736" s="3"/>
      <c r="H7736" s="3"/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  <c r="T7736" s="3"/>
      <c r="U7736" s="3"/>
      <c r="V7736" s="3"/>
      <c r="W7736" s="3"/>
      <c r="X7736" s="3"/>
      <c r="Y7736" s="3"/>
    </row>
    <row r="7737">
      <c r="A7737" s="3"/>
      <c r="B7737" s="3"/>
      <c r="C7737" s="3"/>
      <c r="D7737" s="3"/>
      <c r="E7737" s="3"/>
      <c r="F7737" s="3"/>
      <c r="G7737" s="3"/>
      <c r="H7737" s="3"/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  <c r="T7737" s="3"/>
      <c r="U7737" s="3"/>
      <c r="V7737" s="3"/>
      <c r="W7737" s="3"/>
      <c r="X7737" s="3"/>
      <c r="Y7737" s="3"/>
    </row>
    <row r="7738">
      <c r="A7738" s="3"/>
      <c r="B7738" s="3"/>
      <c r="C7738" s="3"/>
      <c r="D7738" s="3"/>
      <c r="E7738" s="3"/>
      <c r="F7738" s="3"/>
      <c r="G7738" s="3"/>
      <c r="H7738" s="3"/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  <c r="T7738" s="3"/>
      <c r="U7738" s="3"/>
      <c r="V7738" s="3"/>
      <c r="W7738" s="3"/>
      <c r="X7738" s="3"/>
      <c r="Y7738" s="3"/>
    </row>
    <row r="7739">
      <c r="A7739" s="3"/>
      <c r="B7739" s="3"/>
      <c r="C7739" s="3"/>
      <c r="D7739" s="3"/>
      <c r="E7739" s="3"/>
      <c r="F7739" s="3"/>
      <c r="G7739" s="3"/>
      <c r="H7739" s="3"/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  <c r="T7739" s="3"/>
      <c r="U7739" s="3"/>
      <c r="V7739" s="3"/>
      <c r="W7739" s="3"/>
      <c r="X7739" s="3"/>
      <c r="Y7739" s="3"/>
    </row>
    <row r="7740">
      <c r="A7740" s="3"/>
      <c r="B7740" s="3"/>
      <c r="C7740" s="3"/>
      <c r="D7740" s="3"/>
      <c r="E7740" s="3"/>
      <c r="F7740" s="3"/>
      <c r="G7740" s="3"/>
      <c r="H7740" s="3"/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  <c r="T7740" s="3"/>
      <c r="U7740" s="3"/>
      <c r="V7740" s="3"/>
      <c r="W7740" s="3"/>
      <c r="X7740" s="3"/>
      <c r="Y7740" s="3"/>
    </row>
    <row r="7741">
      <c r="A7741" s="3"/>
      <c r="B7741" s="3"/>
      <c r="C7741" s="3"/>
      <c r="D7741" s="3"/>
      <c r="E7741" s="3"/>
      <c r="F7741" s="3"/>
      <c r="G7741" s="3"/>
      <c r="H7741" s="3"/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  <c r="T7741" s="3"/>
      <c r="U7741" s="3"/>
      <c r="V7741" s="3"/>
      <c r="W7741" s="3"/>
      <c r="X7741" s="3"/>
      <c r="Y7741" s="3"/>
    </row>
    <row r="7742">
      <c r="A7742" s="3"/>
      <c r="B7742" s="3"/>
      <c r="C7742" s="3"/>
      <c r="D7742" s="3"/>
      <c r="E7742" s="3"/>
      <c r="F7742" s="3"/>
      <c r="G7742" s="3"/>
      <c r="H7742" s="3"/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  <c r="T7742" s="3"/>
      <c r="U7742" s="3"/>
      <c r="V7742" s="3"/>
      <c r="W7742" s="3"/>
      <c r="X7742" s="3"/>
      <c r="Y7742" s="3"/>
    </row>
    <row r="7743">
      <c r="A7743" s="3"/>
      <c r="B7743" s="3"/>
      <c r="C7743" s="3"/>
      <c r="D7743" s="3"/>
      <c r="E7743" s="3"/>
      <c r="F7743" s="3"/>
      <c r="G7743" s="3"/>
      <c r="H7743" s="3"/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  <c r="T7743" s="3"/>
      <c r="U7743" s="3"/>
      <c r="V7743" s="3"/>
      <c r="W7743" s="3"/>
      <c r="X7743" s="3"/>
      <c r="Y7743" s="3"/>
    </row>
    <row r="7744">
      <c r="A7744" s="3"/>
      <c r="B7744" s="3"/>
      <c r="C7744" s="3"/>
      <c r="D7744" s="3"/>
      <c r="E7744" s="3"/>
      <c r="F7744" s="3"/>
      <c r="G7744" s="3"/>
      <c r="H7744" s="3"/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  <c r="T7744" s="3"/>
      <c r="U7744" s="3"/>
      <c r="V7744" s="3"/>
      <c r="W7744" s="3"/>
      <c r="X7744" s="3"/>
      <c r="Y7744" s="3"/>
    </row>
    <row r="7745">
      <c r="A7745" s="3"/>
      <c r="B7745" s="3"/>
      <c r="C7745" s="3"/>
      <c r="D7745" s="3"/>
      <c r="E7745" s="3"/>
      <c r="F7745" s="3"/>
      <c r="G7745" s="3"/>
      <c r="H7745" s="3"/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  <c r="T7745" s="3"/>
      <c r="U7745" s="3"/>
      <c r="V7745" s="3"/>
      <c r="W7745" s="3"/>
      <c r="X7745" s="3"/>
      <c r="Y7745" s="3"/>
    </row>
    <row r="7746">
      <c r="A7746" s="3"/>
      <c r="B7746" s="3"/>
      <c r="C7746" s="3"/>
      <c r="D7746" s="3"/>
      <c r="E7746" s="3"/>
      <c r="F7746" s="3"/>
      <c r="G7746" s="3"/>
      <c r="H7746" s="3"/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  <c r="T7746" s="3"/>
      <c r="U7746" s="3"/>
      <c r="V7746" s="3"/>
      <c r="W7746" s="3"/>
      <c r="X7746" s="3"/>
      <c r="Y7746" s="3"/>
    </row>
    <row r="7747">
      <c r="A7747" s="3"/>
      <c r="B7747" s="3"/>
      <c r="C7747" s="3"/>
      <c r="D7747" s="3"/>
      <c r="E7747" s="3"/>
      <c r="F7747" s="3"/>
      <c r="G7747" s="3"/>
      <c r="H7747" s="3"/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  <c r="T7747" s="3"/>
      <c r="U7747" s="3"/>
      <c r="V7747" s="3"/>
      <c r="W7747" s="3"/>
      <c r="X7747" s="3"/>
      <c r="Y7747" s="3"/>
    </row>
    <row r="7748">
      <c r="A7748" s="3"/>
      <c r="B7748" s="3"/>
      <c r="C7748" s="3"/>
      <c r="D7748" s="3"/>
      <c r="E7748" s="3"/>
      <c r="F7748" s="3"/>
      <c r="G7748" s="3"/>
      <c r="H7748" s="3"/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  <c r="T7748" s="3"/>
      <c r="U7748" s="3"/>
      <c r="V7748" s="3"/>
      <c r="W7748" s="3"/>
      <c r="X7748" s="3"/>
      <c r="Y7748" s="3"/>
    </row>
    <row r="7749">
      <c r="A7749" s="3"/>
      <c r="B7749" s="3"/>
      <c r="C7749" s="3"/>
      <c r="D7749" s="3"/>
      <c r="E7749" s="3"/>
      <c r="F7749" s="3"/>
      <c r="G7749" s="3"/>
      <c r="H7749" s="3"/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  <c r="T7749" s="3"/>
      <c r="U7749" s="3"/>
      <c r="V7749" s="3"/>
      <c r="W7749" s="3"/>
      <c r="X7749" s="3"/>
      <c r="Y7749" s="3"/>
    </row>
    <row r="7750">
      <c r="A7750" s="3"/>
      <c r="B7750" s="3"/>
      <c r="C7750" s="3"/>
      <c r="D7750" s="3"/>
      <c r="E7750" s="3"/>
      <c r="F7750" s="3"/>
      <c r="G7750" s="3"/>
      <c r="H7750" s="3"/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  <c r="T7750" s="3"/>
      <c r="U7750" s="3"/>
      <c r="V7750" s="3"/>
      <c r="W7750" s="3"/>
      <c r="X7750" s="3"/>
      <c r="Y7750" s="3"/>
    </row>
    <row r="7751">
      <c r="A7751" s="3"/>
      <c r="B7751" s="3"/>
      <c r="C7751" s="3"/>
      <c r="D7751" s="3"/>
      <c r="E7751" s="3"/>
      <c r="F7751" s="3"/>
      <c r="G7751" s="3"/>
      <c r="H7751" s="3"/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  <c r="T7751" s="3"/>
      <c r="U7751" s="3"/>
      <c r="V7751" s="3"/>
      <c r="W7751" s="3"/>
      <c r="X7751" s="3"/>
      <c r="Y7751" s="3"/>
    </row>
    <row r="7752">
      <c r="A7752" s="3"/>
      <c r="B7752" s="3"/>
      <c r="C7752" s="3"/>
      <c r="D7752" s="3"/>
      <c r="E7752" s="3"/>
      <c r="F7752" s="3"/>
      <c r="G7752" s="3"/>
      <c r="H7752" s="3"/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  <c r="T7752" s="3"/>
      <c r="U7752" s="3"/>
      <c r="V7752" s="3"/>
      <c r="W7752" s="3"/>
      <c r="X7752" s="3"/>
      <c r="Y7752" s="3"/>
    </row>
    <row r="7753">
      <c r="A7753" s="3"/>
      <c r="B7753" s="3"/>
      <c r="C7753" s="3"/>
      <c r="D7753" s="3"/>
      <c r="E7753" s="3"/>
      <c r="F7753" s="3"/>
      <c r="G7753" s="3"/>
      <c r="H7753" s="3"/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  <c r="T7753" s="3"/>
      <c r="U7753" s="3"/>
      <c r="V7753" s="3"/>
      <c r="W7753" s="3"/>
      <c r="X7753" s="3"/>
      <c r="Y7753" s="3"/>
    </row>
    <row r="7754">
      <c r="A7754" s="3"/>
      <c r="B7754" s="3"/>
      <c r="C7754" s="3"/>
      <c r="D7754" s="3"/>
      <c r="E7754" s="3"/>
      <c r="F7754" s="3"/>
      <c r="G7754" s="3"/>
      <c r="H7754" s="3"/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  <c r="T7754" s="3"/>
      <c r="U7754" s="3"/>
      <c r="V7754" s="3"/>
      <c r="W7754" s="3"/>
      <c r="X7754" s="3"/>
      <c r="Y7754" s="3"/>
    </row>
    <row r="7755">
      <c r="A7755" s="3"/>
      <c r="B7755" s="3"/>
      <c r="C7755" s="3"/>
      <c r="D7755" s="3"/>
      <c r="E7755" s="3"/>
      <c r="F7755" s="3"/>
      <c r="G7755" s="3"/>
      <c r="H7755" s="3"/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  <c r="T7755" s="3"/>
      <c r="U7755" s="3"/>
      <c r="V7755" s="3"/>
      <c r="W7755" s="3"/>
      <c r="X7755" s="3"/>
      <c r="Y7755" s="3"/>
    </row>
    <row r="7756">
      <c r="A7756" s="3"/>
      <c r="B7756" s="3"/>
      <c r="C7756" s="3"/>
      <c r="D7756" s="3"/>
      <c r="E7756" s="3"/>
      <c r="F7756" s="3"/>
      <c r="G7756" s="3"/>
      <c r="H7756" s="3"/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  <c r="T7756" s="3"/>
      <c r="U7756" s="3"/>
      <c r="V7756" s="3"/>
      <c r="W7756" s="3"/>
      <c r="X7756" s="3"/>
      <c r="Y7756" s="3"/>
    </row>
    <row r="7757">
      <c r="A7757" s="3"/>
      <c r="B7757" s="3"/>
      <c r="C7757" s="3"/>
      <c r="D7757" s="3"/>
      <c r="E7757" s="3"/>
      <c r="F7757" s="3"/>
      <c r="G7757" s="3"/>
      <c r="H7757" s="3"/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  <c r="T7757" s="3"/>
      <c r="U7757" s="3"/>
      <c r="V7757" s="3"/>
      <c r="W7757" s="3"/>
      <c r="X7757" s="3"/>
      <c r="Y7757" s="3"/>
    </row>
    <row r="7758">
      <c r="A7758" s="3"/>
      <c r="B7758" s="3"/>
      <c r="C7758" s="3"/>
      <c r="D7758" s="3"/>
      <c r="E7758" s="3"/>
      <c r="F7758" s="3"/>
      <c r="G7758" s="3"/>
      <c r="H7758" s="3"/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  <c r="T7758" s="3"/>
      <c r="U7758" s="3"/>
      <c r="V7758" s="3"/>
      <c r="W7758" s="3"/>
      <c r="X7758" s="3"/>
      <c r="Y7758" s="3"/>
    </row>
    <row r="7759">
      <c r="A7759" s="3"/>
      <c r="B7759" s="3"/>
      <c r="C7759" s="3"/>
      <c r="D7759" s="3"/>
      <c r="E7759" s="3"/>
      <c r="F7759" s="3"/>
      <c r="G7759" s="3"/>
      <c r="H7759" s="3"/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  <c r="T7759" s="3"/>
      <c r="U7759" s="3"/>
      <c r="V7759" s="3"/>
      <c r="W7759" s="3"/>
      <c r="X7759" s="3"/>
      <c r="Y7759" s="3"/>
    </row>
    <row r="7760">
      <c r="A7760" s="3"/>
      <c r="B7760" s="3"/>
      <c r="C7760" s="3"/>
      <c r="D7760" s="3"/>
      <c r="E7760" s="3"/>
      <c r="F7760" s="3"/>
      <c r="G7760" s="3"/>
      <c r="H7760" s="3"/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  <c r="T7760" s="3"/>
      <c r="U7760" s="3"/>
      <c r="V7760" s="3"/>
      <c r="W7760" s="3"/>
      <c r="X7760" s="3"/>
      <c r="Y7760" s="3"/>
    </row>
    <row r="7761">
      <c r="A7761" s="3"/>
      <c r="B7761" s="3"/>
      <c r="C7761" s="3"/>
      <c r="D7761" s="3"/>
      <c r="E7761" s="3"/>
      <c r="F7761" s="3"/>
      <c r="G7761" s="3"/>
      <c r="H7761" s="3"/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  <c r="T7761" s="3"/>
      <c r="U7761" s="3"/>
      <c r="V7761" s="3"/>
      <c r="W7761" s="3"/>
      <c r="X7761" s="3"/>
      <c r="Y7761" s="3"/>
    </row>
    <row r="7762">
      <c r="A7762" s="3"/>
      <c r="B7762" s="3"/>
      <c r="C7762" s="3"/>
      <c r="D7762" s="3"/>
      <c r="E7762" s="3"/>
      <c r="F7762" s="3"/>
      <c r="G7762" s="3"/>
      <c r="H7762" s="3"/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  <c r="T7762" s="3"/>
      <c r="U7762" s="3"/>
      <c r="V7762" s="3"/>
      <c r="W7762" s="3"/>
      <c r="X7762" s="3"/>
      <c r="Y7762" s="3"/>
    </row>
    <row r="7763">
      <c r="A7763" s="3"/>
      <c r="B7763" s="3"/>
      <c r="C7763" s="3"/>
      <c r="D7763" s="3"/>
      <c r="E7763" s="3"/>
      <c r="F7763" s="3"/>
      <c r="G7763" s="3"/>
      <c r="H7763" s="3"/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  <c r="T7763" s="3"/>
      <c r="U7763" s="3"/>
      <c r="V7763" s="3"/>
      <c r="W7763" s="3"/>
      <c r="X7763" s="3"/>
      <c r="Y7763" s="3"/>
    </row>
    <row r="7764">
      <c r="A7764" s="3"/>
      <c r="B7764" s="3"/>
      <c r="C7764" s="3"/>
      <c r="D7764" s="3"/>
      <c r="E7764" s="3"/>
      <c r="F7764" s="3"/>
      <c r="G7764" s="3"/>
      <c r="H7764" s="3"/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  <c r="T7764" s="3"/>
      <c r="U7764" s="3"/>
      <c r="V7764" s="3"/>
      <c r="W7764" s="3"/>
      <c r="X7764" s="3"/>
      <c r="Y7764" s="3"/>
    </row>
    <row r="7765">
      <c r="A7765" s="3"/>
      <c r="B7765" s="3"/>
      <c r="C7765" s="3"/>
      <c r="D7765" s="3"/>
      <c r="E7765" s="3"/>
      <c r="F7765" s="3"/>
      <c r="G7765" s="3"/>
      <c r="H7765" s="3"/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  <c r="T7765" s="3"/>
      <c r="U7765" s="3"/>
      <c r="V7765" s="3"/>
      <c r="W7765" s="3"/>
      <c r="X7765" s="3"/>
      <c r="Y7765" s="3"/>
    </row>
    <row r="7766">
      <c r="A7766" s="3"/>
      <c r="B7766" s="3"/>
      <c r="C7766" s="3"/>
      <c r="D7766" s="3"/>
      <c r="E7766" s="3"/>
      <c r="F7766" s="3"/>
      <c r="G7766" s="3"/>
      <c r="H7766" s="3"/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  <c r="T7766" s="3"/>
      <c r="U7766" s="3"/>
      <c r="V7766" s="3"/>
      <c r="W7766" s="3"/>
      <c r="X7766" s="3"/>
      <c r="Y7766" s="3"/>
    </row>
    <row r="7767">
      <c r="A7767" s="3"/>
      <c r="B7767" s="3"/>
      <c r="C7767" s="3"/>
      <c r="D7767" s="3"/>
      <c r="E7767" s="3"/>
      <c r="F7767" s="3"/>
      <c r="G7767" s="3"/>
      <c r="H7767" s="3"/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  <c r="T7767" s="3"/>
      <c r="U7767" s="3"/>
      <c r="V7767" s="3"/>
      <c r="W7767" s="3"/>
      <c r="X7767" s="3"/>
      <c r="Y7767" s="3"/>
    </row>
    <row r="7768">
      <c r="A7768" s="3"/>
      <c r="B7768" s="3"/>
      <c r="C7768" s="3"/>
      <c r="D7768" s="3"/>
      <c r="E7768" s="3"/>
      <c r="F7768" s="3"/>
      <c r="G7768" s="3"/>
      <c r="H7768" s="3"/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  <c r="T7768" s="3"/>
      <c r="U7768" s="3"/>
      <c r="V7768" s="3"/>
      <c r="W7768" s="3"/>
      <c r="X7768" s="3"/>
      <c r="Y7768" s="3"/>
    </row>
    <row r="7769">
      <c r="A7769" s="3"/>
      <c r="B7769" s="3"/>
      <c r="C7769" s="3"/>
      <c r="D7769" s="3"/>
      <c r="E7769" s="3"/>
      <c r="F7769" s="3"/>
      <c r="G7769" s="3"/>
      <c r="H7769" s="3"/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  <c r="T7769" s="3"/>
      <c r="U7769" s="3"/>
      <c r="V7769" s="3"/>
      <c r="W7769" s="3"/>
      <c r="X7769" s="3"/>
      <c r="Y7769" s="3"/>
    </row>
    <row r="7770">
      <c r="A7770" s="3"/>
      <c r="B7770" s="3"/>
      <c r="C7770" s="3"/>
      <c r="D7770" s="3"/>
      <c r="E7770" s="3"/>
      <c r="F7770" s="3"/>
      <c r="G7770" s="3"/>
      <c r="H7770" s="3"/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  <c r="T7770" s="3"/>
      <c r="U7770" s="3"/>
      <c r="V7770" s="3"/>
      <c r="W7770" s="3"/>
      <c r="X7770" s="3"/>
      <c r="Y7770" s="3"/>
    </row>
    <row r="7771">
      <c r="A7771" s="3"/>
      <c r="B7771" s="3"/>
      <c r="C7771" s="3"/>
      <c r="D7771" s="3"/>
      <c r="E7771" s="3"/>
      <c r="F7771" s="3"/>
      <c r="G7771" s="3"/>
      <c r="H7771" s="3"/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  <c r="T7771" s="3"/>
      <c r="U7771" s="3"/>
      <c r="V7771" s="3"/>
      <c r="W7771" s="3"/>
      <c r="X7771" s="3"/>
      <c r="Y7771" s="3"/>
    </row>
    <row r="7772">
      <c r="A7772" s="3"/>
      <c r="B7772" s="3"/>
      <c r="C7772" s="3"/>
      <c r="D7772" s="3"/>
      <c r="E7772" s="3"/>
      <c r="F7772" s="3"/>
      <c r="G7772" s="3"/>
      <c r="H7772" s="3"/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  <c r="T7772" s="3"/>
      <c r="U7772" s="3"/>
      <c r="V7772" s="3"/>
      <c r="W7772" s="3"/>
      <c r="X7772" s="3"/>
      <c r="Y7772" s="3"/>
    </row>
    <row r="7773">
      <c r="A7773" s="3"/>
      <c r="B7773" s="3"/>
      <c r="C7773" s="3"/>
      <c r="D7773" s="3"/>
      <c r="E7773" s="3"/>
      <c r="F7773" s="3"/>
      <c r="G7773" s="3"/>
      <c r="H7773" s="3"/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  <c r="T7773" s="3"/>
      <c r="U7773" s="3"/>
      <c r="V7773" s="3"/>
      <c r="W7773" s="3"/>
      <c r="X7773" s="3"/>
      <c r="Y7773" s="3"/>
    </row>
    <row r="7774">
      <c r="A7774" s="3"/>
      <c r="B7774" s="3"/>
      <c r="C7774" s="3"/>
      <c r="D7774" s="3"/>
      <c r="E7774" s="3"/>
      <c r="F7774" s="3"/>
      <c r="G7774" s="3"/>
      <c r="H7774" s="3"/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  <c r="T7774" s="3"/>
      <c r="U7774" s="3"/>
      <c r="V7774" s="3"/>
      <c r="W7774" s="3"/>
      <c r="X7774" s="3"/>
      <c r="Y7774" s="3"/>
    </row>
    <row r="7775">
      <c r="A7775" s="3"/>
      <c r="B7775" s="3"/>
      <c r="C7775" s="3"/>
      <c r="D7775" s="3"/>
      <c r="E7775" s="3"/>
      <c r="F7775" s="3"/>
      <c r="G7775" s="3"/>
      <c r="H7775" s="3"/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  <c r="T7775" s="3"/>
      <c r="U7775" s="3"/>
      <c r="V7775" s="3"/>
      <c r="W7775" s="3"/>
      <c r="X7775" s="3"/>
      <c r="Y7775" s="3"/>
    </row>
    <row r="7776">
      <c r="A7776" s="3"/>
      <c r="B7776" s="3"/>
      <c r="C7776" s="3"/>
      <c r="D7776" s="3"/>
      <c r="E7776" s="3"/>
      <c r="F7776" s="3"/>
      <c r="G7776" s="3"/>
      <c r="H7776" s="3"/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  <c r="T7776" s="3"/>
      <c r="U7776" s="3"/>
      <c r="V7776" s="3"/>
      <c r="W7776" s="3"/>
      <c r="X7776" s="3"/>
      <c r="Y7776" s="3"/>
    </row>
    <row r="7777">
      <c r="A7777" s="3"/>
      <c r="B7777" s="3"/>
      <c r="C7777" s="3"/>
      <c r="D7777" s="3"/>
      <c r="E7777" s="3"/>
      <c r="F7777" s="3"/>
      <c r="G7777" s="3"/>
      <c r="H7777" s="3"/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  <c r="T7777" s="3"/>
      <c r="U7777" s="3"/>
      <c r="V7777" s="3"/>
      <c r="W7777" s="3"/>
      <c r="X7777" s="3"/>
      <c r="Y7777" s="3"/>
    </row>
    <row r="7778">
      <c r="A7778" s="3"/>
      <c r="B7778" s="3"/>
      <c r="C7778" s="3"/>
      <c r="D7778" s="3"/>
      <c r="E7778" s="3"/>
      <c r="F7778" s="3"/>
      <c r="G7778" s="3"/>
      <c r="H7778" s="3"/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  <c r="T7778" s="3"/>
      <c r="U7778" s="3"/>
      <c r="V7778" s="3"/>
      <c r="W7778" s="3"/>
      <c r="X7778" s="3"/>
      <c r="Y7778" s="3"/>
    </row>
    <row r="7779">
      <c r="A7779" s="3"/>
      <c r="B7779" s="3"/>
      <c r="C7779" s="3"/>
      <c r="D7779" s="3"/>
      <c r="E7779" s="3"/>
      <c r="F7779" s="3"/>
      <c r="G7779" s="3"/>
      <c r="H7779" s="3"/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  <c r="T7779" s="3"/>
      <c r="U7779" s="3"/>
      <c r="V7779" s="3"/>
      <c r="W7779" s="3"/>
      <c r="X7779" s="3"/>
      <c r="Y7779" s="3"/>
    </row>
    <row r="7780">
      <c r="A7780" s="3"/>
      <c r="B7780" s="3"/>
      <c r="C7780" s="3"/>
      <c r="D7780" s="3"/>
      <c r="E7780" s="3"/>
      <c r="F7780" s="3"/>
      <c r="G7780" s="3"/>
      <c r="H7780" s="3"/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  <c r="T7780" s="3"/>
      <c r="U7780" s="3"/>
      <c r="V7780" s="3"/>
      <c r="W7780" s="3"/>
      <c r="X7780" s="3"/>
      <c r="Y7780" s="3"/>
    </row>
    <row r="7781">
      <c r="A7781" s="3"/>
      <c r="B7781" s="3"/>
      <c r="C7781" s="3"/>
      <c r="D7781" s="3"/>
      <c r="E7781" s="3"/>
      <c r="F7781" s="3"/>
      <c r="G7781" s="3"/>
      <c r="H7781" s="3"/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  <c r="T7781" s="3"/>
      <c r="U7781" s="3"/>
      <c r="V7781" s="3"/>
      <c r="W7781" s="3"/>
      <c r="X7781" s="3"/>
      <c r="Y7781" s="3"/>
    </row>
    <row r="7782">
      <c r="A7782" s="3"/>
      <c r="B7782" s="3"/>
      <c r="C7782" s="3"/>
      <c r="D7782" s="3"/>
      <c r="E7782" s="3"/>
      <c r="F7782" s="3"/>
      <c r="G7782" s="3"/>
      <c r="H7782" s="3"/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  <c r="T7782" s="3"/>
      <c r="U7782" s="3"/>
      <c r="V7782" s="3"/>
      <c r="W7782" s="3"/>
      <c r="X7782" s="3"/>
      <c r="Y7782" s="3"/>
    </row>
    <row r="7783">
      <c r="A7783" s="3"/>
      <c r="B7783" s="3"/>
      <c r="C7783" s="3"/>
      <c r="D7783" s="3"/>
      <c r="E7783" s="3"/>
      <c r="F7783" s="3"/>
      <c r="G7783" s="3"/>
      <c r="H7783" s="3"/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  <c r="T7783" s="3"/>
      <c r="U7783" s="3"/>
      <c r="V7783" s="3"/>
      <c r="W7783" s="3"/>
      <c r="X7783" s="3"/>
      <c r="Y7783" s="3"/>
    </row>
    <row r="7784">
      <c r="A7784" s="3"/>
      <c r="B7784" s="3"/>
      <c r="C7784" s="3"/>
      <c r="D7784" s="3"/>
      <c r="E7784" s="3"/>
      <c r="F7784" s="3"/>
      <c r="G7784" s="3"/>
      <c r="H7784" s="3"/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  <c r="T7784" s="3"/>
      <c r="U7784" s="3"/>
      <c r="V7784" s="3"/>
      <c r="W7784" s="3"/>
      <c r="X7784" s="3"/>
      <c r="Y7784" s="3"/>
    </row>
    <row r="7785">
      <c r="A7785" s="3"/>
      <c r="B7785" s="3"/>
      <c r="C7785" s="3"/>
      <c r="D7785" s="3"/>
      <c r="E7785" s="3"/>
      <c r="F7785" s="3"/>
      <c r="G7785" s="3"/>
      <c r="H7785" s="3"/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  <c r="T7785" s="3"/>
      <c r="U7785" s="3"/>
      <c r="V7785" s="3"/>
      <c r="W7785" s="3"/>
      <c r="X7785" s="3"/>
      <c r="Y7785" s="3"/>
    </row>
    <row r="7786">
      <c r="A7786" s="3"/>
      <c r="B7786" s="3"/>
      <c r="C7786" s="3"/>
      <c r="D7786" s="3"/>
      <c r="E7786" s="3"/>
      <c r="F7786" s="3"/>
      <c r="G7786" s="3"/>
      <c r="H7786" s="3"/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  <c r="T7786" s="3"/>
      <c r="U7786" s="3"/>
      <c r="V7786" s="3"/>
      <c r="W7786" s="3"/>
      <c r="X7786" s="3"/>
      <c r="Y7786" s="3"/>
    </row>
    <row r="7787">
      <c r="A7787" s="3"/>
      <c r="B7787" s="3"/>
      <c r="C7787" s="3"/>
      <c r="D7787" s="3"/>
      <c r="E7787" s="3"/>
      <c r="F7787" s="3"/>
      <c r="G7787" s="3"/>
      <c r="H7787" s="3"/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  <c r="T7787" s="3"/>
      <c r="U7787" s="3"/>
      <c r="V7787" s="3"/>
      <c r="W7787" s="3"/>
      <c r="X7787" s="3"/>
      <c r="Y7787" s="3"/>
    </row>
    <row r="7788">
      <c r="A7788" s="3"/>
      <c r="B7788" s="3"/>
      <c r="C7788" s="3"/>
      <c r="D7788" s="3"/>
      <c r="E7788" s="3"/>
      <c r="F7788" s="3"/>
      <c r="G7788" s="3"/>
      <c r="H7788" s="3"/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  <c r="T7788" s="3"/>
      <c r="U7788" s="3"/>
      <c r="V7788" s="3"/>
      <c r="W7788" s="3"/>
      <c r="X7788" s="3"/>
      <c r="Y7788" s="3"/>
    </row>
    <row r="7789">
      <c r="A7789" s="3"/>
      <c r="B7789" s="3"/>
      <c r="C7789" s="3"/>
      <c r="D7789" s="3"/>
      <c r="E7789" s="3"/>
      <c r="F7789" s="3"/>
      <c r="G7789" s="3"/>
      <c r="H7789" s="3"/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  <c r="T7789" s="3"/>
      <c r="U7789" s="3"/>
      <c r="V7789" s="3"/>
      <c r="W7789" s="3"/>
      <c r="X7789" s="3"/>
      <c r="Y7789" s="3"/>
    </row>
    <row r="7790">
      <c r="A7790" s="3"/>
      <c r="B7790" s="3"/>
      <c r="C7790" s="3"/>
      <c r="D7790" s="3"/>
      <c r="E7790" s="3"/>
      <c r="F7790" s="3"/>
      <c r="G7790" s="3"/>
      <c r="H7790" s="3"/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  <c r="T7790" s="3"/>
      <c r="U7790" s="3"/>
      <c r="V7790" s="3"/>
      <c r="W7790" s="3"/>
      <c r="X7790" s="3"/>
      <c r="Y7790" s="3"/>
    </row>
    <row r="7791">
      <c r="A7791" s="3"/>
      <c r="B7791" s="3"/>
      <c r="C7791" s="3"/>
      <c r="D7791" s="3"/>
      <c r="E7791" s="3"/>
      <c r="F7791" s="3"/>
      <c r="G7791" s="3"/>
      <c r="H7791" s="3"/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  <c r="T7791" s="3"/>
      <c r="U7791" s="3"/>
      <c r="V7791" s="3"/>
      <c r="W7791" s="3"/>
      <c r="X7791" s="3"/>
      <c r="Y7791" s="3"/>
    </row>
    <row r="7792">
      <c r="A7792" s="3"/>
      <c r="B7792" s="3"/>
      <c r="C7792" s="3"/>
      <c r="D7792" s="3"/>
      <c r="E7792" s="3"/>
      <c r="F7792" s="3"/>
      <c r="G7792" s="3"/>
      <c r="H7792" s="3"/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  <c r="T7792" s="3"/>
      <c r="U7792" s="3"/>
      <c r="V7792" s="3"/>
      <c r="W7792" s="3"/>
      <c r="X7792" s="3"/>
      <c r="Y7792" s="3"/>
    </row>
    <row r="7793">
      <c r="A7793" s="3"/>
      <c r="B7793" s="3"/>
      <c r="C7793" s="3"/>
      <c r="D7793" s="3"/>
      <c r="E7793" s="3"/>
      <c r="F7793" s="3"/>
      <c r="G7793" s="3"/>
      <c r="H7793" s="3"/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  <c r="T7793" s="3"/>
      <c r="U7793" s="3"/>
      <c r="V7793" s="3"/>
      <c r="W7793" s="3"/>
      <c r="X7793" s="3"/>
      <c r="Y7793" s="3"/>
    </row>
    <row r="7794">
      <c r="A7794" s="3"/>
      <c r="B7794" s="3"/>
      <c r="C7794" s="3"/>
      <c r="D7794" s="3"/>
      <c r="E7794" s="3"/>
      <c r="F7794" s="3"/>
      <c r="G7794" s="3"/>
      <c r="H7794" s="3"/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  <c r="T7794" s="3"/>
      <c r="U7794" s="3"/>
      <c r="V7794" s="3"/>
      <c r="W7794" s="3"/>
      <c r="X7794" s="3"/>
      <c r="Y7794" s="3"/>
    </row>
    <row r="7795">
      <c r="A7795" s="3"/>
      <c r="B7795" s="3"/>
      <c r="C7795" s="3"/>
      <c r="D7795" s="3"/>
      <c r="E7795" s="3"/>
      <c r="F7795" s="3"/>
      <c r="G7795" s="3"/>
      <c r="H7795" s="3"/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  <c r="T7795" s="3"/>
      <c r="U7795" s="3"/>
      <c r="V7795" s="3"/>
      <c r="W7795" s="3"/>
      <c r="X7795" s="3"/>
      <c r="Y7795" s="3"/>
    </row>
    <row r="7796">
      <c r="A7796" s="3"/>
      <c r="B7796" s="3"/>
      <c r="C7796" s="3"/>
      <c r="D7796" s="3"/>
      <c r="E7796" s="3"/>
      <c r="F7796" s="3"/>
      <c r="G7796" s="3"/>
      <c r="H7796" s="3"/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  <c r="T7796" s="3"/>
      <c r="U7796" s="3"/>
      <c r="V7796" s="3"/>
      <c r="W7796" s="3"/>
      <c r="X7796" s="3"/>
      <c r="Y7796" s="3"/>
    </row>
    <row r="7797">
      <c r="A7797" s="3"/>
      <c r="B7797" s="3"/>
      <c r="C7797" s="3"/>
      <c r="D7797" s="3"/>
      <c r="E7797" s="3"/>
      <c r="F7797" s="3"/>
      <c r="G7797" s="3"/>
      <c r="H7797" s="3"/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  <c r="T7797" s="3"/>
      <c r="U7797" s="3"/>
      <c r="V7797" s="3"/>
      <c r="W7797" s="3"/>
      <c r="X7797" s="3"/>
      <c r="Y7797" s="3"/>
    </row>
    <row r="7798">
      <c r="A7798" s="3"/>
      <c r="B7798" s="3"/>
      <c r="C7798" s="3"/>
      <c r="D7798" s="3"/>
      <c r="E7798" s="3"/>
      <c r="F7798" s="3"/>
      <c r="G7798" s="3"/>
      <c r="H7798" s="3"/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  <c r="T7798" s="3"/>
      <c r="U7798" s="3"/>
      <c r="V7798" s="3"/>
      <c r="W7798" s="3"/>
      <c r="X7798" s="3"/>
      <c r="Y7798" s="3"/>
    </row>
    <row r="7799">
      <c r="A7799" s="3"/>
      <c r="B7799" s="3"/>
      <c r="C7799" s="3"/>
      <c r="D7799" s="3"/>
      <c r="E7799" s="3"/>
      <c r="F7799" s="3"/>
      <c r="G7799" s="3"/>
      <c r="H7799" s="3"/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  <c r="T7799" s="3"/>
      <c r="U7799" s="3"/>
      <c r="V7799" s="3"/>
      <c r="W7799" s="3"/>
      <c r="X7799" s="3"/>
      <c r="Y7799" s="3"/>
    </row>
    <row r="7800">
      <c r="A7800" s="3"/>
      <c r="B7800" s="3"/>
      <c r="C7800" s="3"/>
      <c r="D7800" s="3"/>
      <c r="E7800" s="3"/>
      <c r="F7800" s="3"/>
      <c r="G7800" s="3"/>
      <c r="H7800" s="3"/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  <c r="T7800" s="3"/>
      <c r="U7800" s="3"/>
      <c r="V7800" s="3"/>
      <c r="W7800" s="3"/>
      <c r="X7800" s="3"/>
      <c r="Y7800" s="3"/>
    </row>
    <row r="7801">
      <c r="A7801" s="3"/>
      <c r="B7801" s="3"/>
      <c r="C7801" s="3"/>
      <c r="D7801" s="3"/>
      <c r="E7801" s="3"/>
      <c r="F7801" s="3"/>
      <c r="G7801" s="3"/>
      <c r="H7801" s="3"/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  <c r="T7801" s="3"/>
      <c r="U7801" s="3"/>
      <c r="V7801" s="3"/>
      <c r="W7801" s="3"/>
      <c r="X7801" s="3"/>
      <c r="Y7801" s="3"/>
    </row>
    <row r="7802">
      <c r="A7802" s="3"/>
      <c r="B7802" s="3"/>
      <c r="C7802" s="3"/>
      <c r="D7802" s="3"/>
      <c r="E7802" s="3"/>
      <c r="F7802" s="3"/>
      <c r="G7802" s="3"/>
      <c r="H7802" s="3"/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  <c r="T7802" s="3"/>
      <c r="U7802" s="3"/>
      <c r="V7802" s="3"/>
      <c r="W7802" s="3"/>
      <c r="X7802" s="3"/>
      <c r="Y7802" s="3"/>
    </row>
    <row r="7803">
      <c r="A7803" s="3"/>
      <c r="B7803" s="3"/>
      <c r="C7803" s="3"/>
      <c r="D7803" s="3"/>
      <c r="E7803" s="3"/>
      <c r="F7803" s="3"/>
      <c r="G7803" s="3"/>
      <c r="H7803" s="3"/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  <c r="T7803" s="3"/>
      <c r="U7803" s="3"/>
      <c r="V7803" s="3"/>
      <c r="W7803" s="3"/>
      <c r="X7803" s="3"/>
      <c r="Y7803" s="3"/>
    </row>
    <row r="7804">
      <c r="A7804" s="3"/>
      <c r="B7804" s="3"/>
      <c r="C7804" s="3"/>
      <c r="D7804" s="3"/>
      <c r="E7804" s="3"/>
      <c r="F7804" s="3"/>
      <c r="G7804" s="3"/>
      <c r="H7804" s="3"/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  <c r="T7804" s="3"/>
      <c r="U7804" s="3"/>
      <c r="V7804" s="3"/>
      <c r="W7804" s="3"/>
      <c r="X7804" s="3"/>
      <c r="Y7804" s="3"/>
    </row>
    <row r="7805">
      <c r="A7805" s="3"/>
      <c r="B7805" s="3"/>
      <c r="C7805" s="3"/>
      <c r="D7805" s="3"/>
      <c r="E7805" s="3"/>
      <c r="F7805" s="3"/>
      <c r="G7805" s="3"/>
      <c r="H7805" s="3"/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  <c r="T7805" s="3"/>
      <c r="U7805" s="3"/>
      <c r="V7805" s="3"/>
      <c r="W7805" s="3"/>
      <c r="X7805" s="3"/>
      <c r="Y7805" s="3"/>
    </row>
    <row r="7806">
      <c r="A7806" s="3"/>
      <c r="B7806" s="3"/>
      <c r="C7806" s="3"/>
      <c r="D7806" s="3"/>
      <c r="E7806" s="3"/>
      <c r="F7806" s="3"/>
      <c r="G7806" s="3"/>
      <c r="H7806" s="3"/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  <c r="T7806" s="3"/>
      <c r="U7806" s="3"/>
      <c r="V7806" s="3"/>
      <c r="W7806" s="3"/>
      <c r="X7806" s="3"/>
      <c r="Y7806" s="3"/>
    </row>
    <row r="7807">
      <c r="A7807" s="3"/>
      <c r="B7807" s="3"/>
      <c r="C7807" s="3"/>
      <c r="D7807" s="3"/>
      <c r="E7807" s="3"/>
      <c r="F7807" s="3"/>
      <c r="G7807" s="3"/>
      <c r="H7807" s="3"/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  <c r="T7807" s="3"/>
      <c r="U7807" s="3"/>
      <c r="V7807" s="3"/>
      <c r="W7807" s="3"/>
      <c r="X7807" s="3"/>
      <c r="Y7807" s="3"/>
    </row>
    <row r="7808">
      <c r="A7808" s="3"/>
      <c r="B7808" s="3"/>
      <c r="C7808" s="3"/>
      <c r="D7808" s="3"/>
      <c r="E7808" s="3"/>
      <c r="F7808" s="3"/>
      <c r="G7808" s="3"/>
      <c r="H7808" s="3"/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  <c r="T7808" s="3"/>
      <c r="U7808" s="3"/>
      <c r="V7808" s="3"/>
      <c r="W7808" s="3"/>
      <c r="X7808" s="3"/>
      <c r="Y7808" s="3"/>
    </row>
    <row r="7809">
      <c r="A7809" s="3"/>
      <c r="B7809" s="3"/>
      <c r="C7809" s="3"/>
      <c r="D7809" s="3"/>
      <c r="E7809" s="3"/>
      <c r="F7809" s="3"/>
      <c r="G7809" s="3"/>
      <c r="H7809" s="3"/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  <c r="T7809" s="3"/>
      <c r="U7809" s="3"/>
      <c r="V7809" s="3"/>
      <c r="W7809" s="3"/>
      <c r="X7809" s="3"/>
      <c r="Y7809" s="3"/>
    </row>
    <row r="7810">
      <c r="A7810" s="3"/>
      <c r="B7810" s="3"/>
      <c r="C7810" s="3"/>
      <c r="D7810" s="3"/>
      <c r="E7810" s="3"/>
      <c r="F7810" s="3"/>
      <c r="G7810" s="3"/>
      <c r="H7810" s="3"/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  <c r="T7810" s="3"/>
      <c r="U7810" s="3"/>
      <c r="V7810" s="3"/>
      <c r="W7810" s="3"/>
      <c r="X7810" s="3"/>
      <c r="Y7810" s="3"/>
    </row>
    <row r="7811">
      <c r="A7811" s="3"/>
      <c r="B7811" s="3"/>
      <c r="C7811" s="3"/>
      <c r="D7811" s="3"/>
      <c r="E7811" s="3"/>
      <c r="F7811" s="3"/>
      <c r="G7811" s="3"/>
      <c r="H7811" s="3"/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  <c r="T7811" s="3"/>
      <c r="U7811" s="3"/>
      <c r="V7811" s="3"/>
      <c r="W7811" s="3"/>
      <c r="X7811" s="3"/>
      <c r="Y7811" s="3"/>
    </row>
    <row r="7812">
      <c r="A7812" s="3"/>
      <c r="B7812" s="3"/>
      <c r="C7812" s="3"/>
      <c r="D7812" s="3"/>
      <c r="E7812" s="3"/>
      <c r="F7812" s="3"/>
      <c r="G7812" s="3"/>
      <c r="H7812" s="3"/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  <c r="T7812" s="3"/>
      <c r="U7812" s="3"/>
      <c r="V7812" s="3"/>
      <c r="W7812" s="3"/>
      <c r="X7812" s="3"/>
      <c r="Y7812" s="3"/>
    </row>
    <row r="7813">
      <c r="A7813" s="3"/>
      <c r="B7813" s="3"/>
      <c r="C7813" s="3"/>
      <c r="D7813" s="3"/>
      <c r="E7813" s="3"/>
      <c r="F7813" s="3"/>
      <c r="G7813" s="3"/>
      <c r="H7813" s="3"/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  <c r="T7813" s="3"/>
      <c r="U7813" s="3"/>
      <c r="V7813" s="3"/>
      <c r="W7813" s="3"/>
      <c r="X7813" s="3"/>
      <c r="Y7813" s="3"/>
    </row>
    <row r="7814">
      <c r="A7814" s="3"/>
      <c r="B7814" s="3"/>
      <c r="C7814" s="3"/>
      <c r="D7814" s="3"/>
      <c r="E7814" s="3"/>
      <c r="F7814" s="3"/>
      <c r="G7814" s="3"/>
      <c r="H7814" s="3"/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  <c r="T7814" s="3"/>
      <c r="U7814" s="3"/>
      <c r="V7814" s="3"/>
      <c r="W7814" s="3"/>
      <c r="X7814" s="3"/>
      <c r="Y7814" s="3"/>
    </row>
    <row r="7815">
      <c r="A7815" s="3"/>
      <c r="B7815" s="3"/>
      <c r="C7815" s="3"/>
      <c r="D7815" s="3"/>
      <c r="E7815" s="3"/>
      <c r="F7815" s="3"/>
      <c r="G7815" s="3"/>
      <c r="H7815" s="3"/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  <c r="T7815" s="3"/>
      <c r="U7815" s="3"/>
      <c r="V7815" s="3"/>
      <c r="W7815" s="3"/>
      <c r="X7815" s="3"/>
      <c r="Y7815" s="3"/>
    </row>
    <row r="7816">
      <c r="A7816" s="3"/>
      <c r="B7816" s="3"/>
      <c r="C7816" s="3"/>
      <c r="D7816" s="3"/>
      <c r="E7816" s="3"/>
      <c r="F7816" s="3"/>
      <c r="G7816" s="3"/>
      <c r="H7816" s="3"/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  <c r="T7816" s="3"/>
      <c r="U7816" s="3"/>
      <c r="V7816" s="3"/>
      <c r="W7816" s="3"/>
      <c r="X7816" s="3"/>
      <c r="Y7816" s="3"/>
    </row>
    <row r="7817">
      <c r="A7817" s="3"/>
      <c r="B7817" s="3"/>
      <c r="C7817" s="3"/>
      <c r="D7817" s="3"/>
      <c r="E7817" s="3"/>
      <c r="F7817" s="3"/>
      <c r="G7817" s="3"/>
      <c r="H7817" s="3"/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  <c r="T7817" s="3"/>
      <c r="U7817" s="3"/>
      <c r="V7817" s="3"/>
      <c r="W7817" s="3"/>
      <c r="X7817" s="3"/>
      <c r="Y7817" s="3"/>
    </row>
    <row r="7818">
      <c r="A7818" s="3"/>
      <c r="B7818" s="3"/>
      <c r="C7818" s="3"/>
      <c r="D7818" s="3"/>
      <c r="E7818" s="3"/>
      <c r="F7818" s="3"/>
      <c r="G7818" s="3"/>
      <c r="H7818" s="3"/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  <c r="T7818" s="3"/>
      <c r="U7818" s="3"/>
      <c r="V7818" s="3"/>
      <c r="W7818" s="3"/>
      <c r="X7818" s="3"/>
      <c r="Y7818" s="3"/>
    </row>
    <row r="7819">
      <c r="A7819" s="3"/>
      <c r="B7819" s="3"/>
      <c r="C7819" s="3"/>
      <c r="D7819" s="3"/>
      <c r="E7819" s="3"/>
      <c r="F7819" s="3"/>
      <c r="G7819" s="3"/>
      <c r="H7819" s="3"/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  <c r="T7819" s="3"/>
      <c r="U7819" s="3"/>
      <c r="V7819" s="3"/>
      <c r="W7819" s="3"/>
      <c r="X7819" s="3"/>
      <c r="Y7819" s="3"/>
    </row>
    <row r="7820">
      <c r="A7820" s="3"/>
      <c r="B7820" s="3"/>
      <c r="C7820" s="3"/>
      <c r="D7820" s="3"/>
      <c r="E7820" s="3"/>
      <c r="F7820" s="3"/>
      <c r="G7820" s="3"/>
      <c r="H7820" s="3"/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  <c r="T7820" s="3"/>
      <c r="U7820" s="3"/>
      <c r="V7820" s="3"/>
      <c r="W7820" s="3"/>
      <c r="X7820" s="3"/>
      <c r="Y7820" s="3"/>
    </row>
    <row r="7821">
      <c r="A7821" s="3"/>
      <c r="B7821" s="3"/>
      <c r="C7821" s="3"/>
      <c r="D7821" s="3"/>
      <c r="E7821" s="3"/>
      <c r="F7821" s="3"/>
      <c r="G7821" s="3"/>
      <c r="H7821" s="3"/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  <c r="T7821" s="3"/>
      <c r="U7821" s="3"/>
      <c r="V7821" s="3"/>
      <c r="W7821" s="3"/>
      <c r="X7821" s="3"/>
      <c r="Y7821" s="3"/>
    </row>
    <row r="7822">
      <c r="A7822" s="3"/>
      <c r="B7822" s="3"/>
      <c r="C7822" s="3"/>
      <c r="D7822" s="3"/>
      <c r="E7822" s="3"/>
      <c r="F7822" s="3"/>
      <c r="G7822" s="3"/>
      <c r="H7822" s="3"/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  <c r="T7822" s="3"/>
      <c r="U7822" s="3"/>
      <c r="V7822" s="3"/>
      <c r="W7822" s="3"/>
      <c r="X7822" s="3"/>
      <c r="Y7822" s="3"/>
    </row>
    <row r="7823">
      <c r="A7823" s="3"/>
      <c r="B7823" s="3"/>
      <c r="C7823" s="3"/>
      <c r="D7823" s="3"/>
      <c r="E7823" s="3"/>
      <c r="F7823" s="3"/>
      <c r="G7823" s="3"/>
      <c r="H7823" s="3"/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  <c r="T7823" s="3"/>
      <c r="U7823" s="3"/>
      <c r="V7823" s="3"/>
      <c r="W7823" s="3"/>
      <c r="X7823" s="3"/>
      <c r="Y7823" s="3"/>
    </row>
    <row r="7824">
      <c r="A7824" s="3"/>
      <c r="B7824" s="3"/>
      <c r="C7824" s="3"/>
      <c r="D7824" s="3"/>
      <c r="E7824" s="3"/>
      <c r="F7824" s="3"/>
      <c r="G7824" s="3"/>
      <c r="H7824" s="3"/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  <c r="T7824" s="3"/>
      <c r="U7824" s="3"/>
      <c r="V7824" s="3"/>
      <c r="W7824" s="3"/>
      <c r="X7824" s="3"/>
      <c r="Y7824" s="3"/>
    </row>
    <row r="7825">
      <c r="A7825" s="3"/>
      <c r="B7825" s="3"/>
      <c r="C7825" s="3"/>
      <c r="D7825" s="3"/>
      <c r="E7825" s="3"/>
      <c r="F7825" s="3"/>
      <c r="G7825" s="3"/>
      <c r="H7825" s="3"/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  <c r="T7825" s="3"/>
      <c r="U7825" s="3"/>
      <c r="V7825" s="3"/>
      <c r="W7825" s="3"/>
      <c r="X7825" s="3"/>
      <c r="Y7825" s="3"/>
    </row>
    <row r="7826">
      <c r="A7826" s="3"/>
      <c r="B7826" s="3"/>
      <c r="C7826" s="3"/>
      <c r="D7826" s="3"/>
      <c r="E7826" s="3"/>
      <c r="F7826" s="3"/>
      <c r="G7826" s="3"/>
      <c r="H7826" s="3"/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  <c r="T7826" s="3"/>
      <c r="U7826" s="3"/>
      <c r="V7826" s="3"/>
      <c r="W7826" s="3"/>
      <c r="X7826" s="3"/>
      <c r="Y7826" s="3"/>
    </row>
    <row r="7827">
      <c r="A7827" s="3"/>
      <c r="B7827" s="3"/>
      <c r="C7827" s="3"/>
      <c r="D7827" s="3"/>
      <c r="E7827" s="3"/>
      <c r="F7827" s="3"/>
      <c r="G7827" s="3"/>
      <c r="H7827" s="3"/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  <c r="T7827" s="3"/>
      <c r="U7827" s="3"/>
      <c r="V7827" s="3"/>
      <c r="W7827" s="3"/>
      <c r="X7827" s="3"/>
      <c r="Y7827" s="3"/>
    </row>
    <row r="7828">
      <c r="A7828" s="3"/>
      <c r="B7828" s="3"/>
      <c r="C7828" s="3"/>
      <c r="D7828" s="3"/>
      <c r="E7828" s="3"/>
      <c r="F7828" s="3"/>
      <c r="G7828" s="3"/>
      <c r="H7828" s="3"/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  <c r="T7828" s="3"/>
      <c r="U7828" s="3"/>
      <c r="V7828" s="3"/>
      <c r="W7828" s="3"/>
      <c r="X7828" s="3"/>
      <c r="Y7828" s="3"/>
    </row>
    <row r="7829">
      <c r="A7829" s="3"/>
      <c r="B7829" s="3"/>
      <c r="C7829" s="3"/>
      <c r="D7829" s="3"/>
      <c r="E7829" s="3"/>
      <c r="F7829" s="3"/>
      <c r="G7829" s="3"/>
      <c r="H7829" s="3"/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  <c r="T7829" s="3"/>
      <c r="U7829" s="3"/>
      <c r="V7829" s="3"/>
      <c r="W7829" s="3"/>
      <c r="X7829" s="3"/>
      <c r="Y7829" s="3"/>
    </row>
    <row r="7830">
      <c r="A7830" s="3"/>
      <c r="B7830" s="3"/>
      <c r="C7830" s="3"/>
      <c r="D7830" s="3"/>
      <c r="E7830" s="3"/>
      <c r="F7830" s="3"/>
      <c r="G7830" s="3"/>
      <c r="H7830" s="3"/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  <c r="T7830" s="3"/>
      <c r="U7830" s="3"/>
      <c r="V7830" s="3"/>
      <c r="W7830" s="3"/>
      <c r="X7830" s="3"/>
      <c r="Y7830" s="3"/>
    </row>
    <row r="7831">
      <c r="A7831" s="3"/>
      <c r="B7831" s="3"/>
      <c r="C7831" s="3"/>
      <c r="D7831" s="3"/>
      <c r="E7831" s="3"/>
      <c r="F7831" s="3"/>
      <c r="G7831" s="3"/>
      <c r="H7831" s="3"/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  <c r="T7831" s="3"/>
      <c r="U7831" s="3"/>
      <c r="V7831" s="3"/>
      <c r="W7831" s="3"/>
      <c r="X7831" s="3"/>
      <c r="Y7831" s="3"/>
    </row>
    <row r="7832">
      <c r="A7832" s="3"/>
      <c r="B7832" s="3"/>
      <c r="C7832" s="3"/>
      <c r="D7832" s="3"/>
      <c r="E7832" s="3"/>
      <c r="F7832" s="3"/>
      <c r="G7832" s="3"/>
      <c r="H7832" s="3"/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  <c r="T7832" s="3"/>
      <c r="U7832" s="3"/>
      <c r="V7832" s="3"/>
      <c r="W7832" s="3"/>
      <c r="X7832" s="3"/>
      <c r="Y7832" s="3"/>
    </row>
    <row r="7833">
      <c r="A7833" s="3"/>
      <c r="B7833" s="3"/>
      <c r="C7833" s="3"/>
      <c r="D7833" s="3"/>
      <c r="E7833" s="3"/>
      <c r="F7833" s="3"/>
      <c r="G7833" s="3"/>
      <c r="H7833" s="3"/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  <c r="T7833" s="3"/>
      <c r="U7833" s="3"/>
      <c r="V7833" s="3"/>
      <c r="W7833" s="3"/>
      <c r="X7833" s="3"/>
      <c r="Y7833" s="3"/>
    </row>
    <row r="7834">
      <c r="A7834" s="3"/>
      <c r="B7834" s="3"/>
      <c r="C7834" s="3"/>
      <c r="D7834" s="3"/>
      <c r="E7834" s="3"/>
      <c r="F7834" s="3"/>
      <c r="G7834" s="3"/>
      <c r="H7834" s="3"/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  <c r="T7834" s="3"/>
      <c r="U7834" s="3"/>
      <c r="V7834" s="3"/>
      <c r="W7834" s="3"/>
      <c r="X7834" s="3"/>
      <c r="Y7834" s="3"/>
    </row>
    <row r="7835">
      <c r="A7835" s="3"/>
      <c r="B7835" s="3"/>
      <c r="C7835" s="3"/>
      <c r="D7835" s="3"/>
      <c r="E7835" s="3"/>
      <c r="F7835" s="3"/>
      <c r="G7835" s="3"/>
      <c r="H7835" s="3"/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  <c r="T7835" s="3"/>
      <c r="U7835" s="3"/>
      <c r="V7835" s="3"/>
      <c r="W7835" s="3"/>
      <c r="X7835" s="3"/>
      <c r="Y7835" s="3"/>
    </row>
    <row r="7836">
      <c r="A7836" s="3"/>
      <c r="B7836" s="3"/>
      <c r="C7836" s="3"/>
      <c r="D7836" s="3"/>
      <c r="E7836" s="3"/>
      <c r="F7836" s="3"/>
      <c r="G7836" s="3"/>
      <c r="H7836" s="3"/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  <c r="T7836" s="3"/>
      <c r="U7836" s="3"/>
      <c r="V7836" s="3"/>
      <c r="W7836" s="3"/>
      <c r="X7836" s="3"/>
      <c r="Y7836" s="3"/>
    </row>
    <row r="7837">
      <c r="A7837" s="3"/>
      <c r="B7837" s="3"/>
      <c r="C7837" s="3"/>
      <c r="D7837" s="3"/>
      <c r="E7837" s="3"/>
      <c r="F7837" s="3"/>
      <c r="G7837" s="3"/>
      <c r="H7837" s="3"/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  <c r="T7837" s="3"/>
      <c r="U7837" s="3"/>
      <c r="V7837" s="3"/>
      <c r="W7837" s="3"/>
      <c r="X7837" s="3"/>
      <c r="Y7837" s="3"/>
    </row>
    <row r="7838">
      <c r="A7838" s="3"/>
      <c r="B7838" s="3"/>
      <c r="C7838" s="3"/>
      <c r="D7838" s="3"/>
      <c r="E7838" s="3"/>
      <c r="F7838" s="3"/>
      <c r="G7838" s="3"/>
      <c r="H7838" s="3"/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  <c r="T7838" s="3"/>
      <c r="U7838" s="3"/>
      <c r="V7838" s="3"/>
      <c r="W7838" s="3"/>
      <c r="X7838" s="3"/>
      <c r="Y7838" s="3"/>
    </row>
    <row r="7839">
      <c r="A7839" s="3"/>
      <c r="B7839" s="3"/>
      <c r="C7839" s="3"/>
      <c r="D7839" s="3"/>
      <c r="E7839" s="3"/>
      <c r="F7839" s="3"/>
      <c r="G7839" s="3"/>
      <c r="H7839" s="3"/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  <c r="T7839" s="3"/>
      <c r="U7839" s="3"/>
      <c r="V7839" s="3"/>
      <c r="W7839" s="3"/>
      <c r="X7839" s="3"/>
      <c r="Y7839" s="3"/>
    </row>
    <row r="7840">
      <c r="A7840" s="3"/>
      <c r="B7840" s="3"/>
      <c r="C7840" s="3"/>
      <c r="D7840" s="3"/>
      <c r="E7840" s="3"/>
      <c r="F7840" s="3"/>
      <c r="G7840" s="3"/>
      <c r="H7840" s="3"/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  <c r="T7840" s="3"/>
      <c r="U7840" s="3"/>
      <c r="V7840" s="3"/>
      <c r="W7840" s="3"/>
      <c r="X7840" s="3"/>
      <c r="Y7840" s="3"/>
    </row>
    <row r="7841">
      <c r="A7841" s="3"/>
      <c r="B7841" s="3"/>
      <c r="C7841" s="3"/>
      <c r="D7841" s="3"/>
      <c r="E7841" s="3"/>
      <c r="F7841" s="3"/>
      <c r="G7841" s="3"/>
      <c r="H7841" s="3"/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  <c r="T7841" s="3"/>
      <c r="U7841" s="3"/>
      <c r="V7841" s="3"/>
      <c r="W7841" s="3"/>
      <c r="X7841" s="3"/>
      <c r="Y7841" s="3"/>
    </row>
    <row r="7842">
      <c r="A7842" s="3"/>
      <c r="B7842" s="3"/>
      <c r="C7842" s="3"/>
      <c r="D7842" s="3"/>
      <c r="E7842" s="3"/>
      <c r="F7842" s="3"/>
      <c r="G7842" s="3"/>
      <c r="H7842" s="3"/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  <c r="T7842" s="3"/>
      <c r="U7842" s="3"/>
      <c r="V7842" s="3"/>
      <c r="W7842" s="3"/>
      <c r="X7842" s="3"/>
      <c r="Y7842" s="3"/>
    </row>
    <row r="7843">
      <c r="A7843" s="3"/>
      <c r="B7843" s="3"/>
      <c r="C7843" s="3"/>
      <c r="D7843" s="3"/>
      <c r="E7843" s="3"/>
      <c r="F7843" s="3"/>
      <c r="G7843" s="3"/>
      <c r="H7843" s="3"/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  <c r="T7843" s="3"/>
      <c r="U7843" s="3"/>
      <c r="V7843" s="3"/>
      <c r="W7843" s="3"/>
      <c r="X7843" s="3"/>
      <c r="Y7843" s="3"/>
    </row>
    <row r="7844">
      <c r="A7844" s="3"/>
      <c r="B7844" s="3"/>
      <c r="C7844" s="3"/>
      <c r="D7844" s="3"/>
      <c r="E7844" s="3"/>
      <c r="F7844" s="3"/>
      <c r="G7844" s="3"/>
      <c r="H7844" s="3"/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  <c r="T7844" s="3"/>
      <c r="U7844" s="3"/>
      <c r="V7844" s="3"/>
      <c r="W7844" s="3"/>
      <c r="X7844" s="3"/>
      <c r="Y7844" s="3"/>
    </row>
    <row r="7845">
      <c r="A7845" s="3"/>
      <c r="B7845" s="3"/>
      <c r="C7845" s="3"/>
      <c r="D7845" s="3"/>
      <c r="E7845" s="3"/>
      <c r="F7845" s="3"/>
      <c r="G7845" s="3"/>
      <c r="H7845" s="3"/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  <c r="T7845" s="3"/>
      <c r="U7845" s="3"/>
      <c r="V7845" s="3"/>
      <c r="W7845" s="3"/>
      <c r="X7845" s="3"/>
      <c r="Y7845" s="3"/>
    </row>
    <row r="7846">
      <c r="A7846" s="3"/>
      <c r="B7846" s="3"/>
      <c r="C7846" s="3"/>
      <c r="D7846" s="3"/>
      <c r="E7846" s="3"/>
      <c r="F7846" s="3"/>
      <c r="G7846" s="3"/>
      <c r="H7846" s="3"/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  <c r="T7846" s="3"/>
      <c r="U7846" s="3"/>
      <c r="V7846" s="3"/>
      <c r="W7846" s="3"/>
      <c r="X7846" s="3"/>
      <c r="Y7846" s="3"/>
    </row>
    <row r="7847">
      <c r="A7847" s="3"/>
      <c r="B7847" s="3"/>
      <c r="C7847" s="3"/>
      <c r="D7847" s="3"/>
      <c r="E7847" s="3"/>
      <c r="F7847" s="3"/>
      <c r="G7847" s="3"/>
      <c r="H7847" s="3"/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  <c r="T7847" s="3"/>
      <c r="U7847" s="3"/>
      <c r="V7847" s="3"/>
      <c r="W7847" s="3"/>
      <c r="X7847" s="3"/>
      <c r="Y7847" s="3"/>
    </row>
    <row r="7848">
      <c r="A7848" s="3"/>
      <c r="B7848" s="3"/>
      <c r="C7848" s="3"/>
      <c r="D7848" s="3"/>
      <c r="E7848" s="3"/>
      <c r="F7848" s="3"/>
      <c r="G7848" s="3"/>
      <c r="H7848" s="3"/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  <c r="T7848" s="3"/>
      <c r="U7848" s="3"/>
      <c r="V7848" s="3"/>
      <c r="W7848" s="3"/>
      <c r="X7848" s="3"/>
      <c r="Y7848" s="3"/>
    </row>
    <row r="7849">
      <c r="A7849" s="3"/>
      <c r="B7849" s="3"/>
      <c r="C7849" s="3"/>
      <c r="D7849" s="3"/>
      <c r="E7849" s="3"/>
      <c r="F7849" s="3"/>
      <c r="G7849" s="3"/>
      <c r="H7849" s="3"/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  <c r="T7849" s="3"/>
      <c r="U7849" s="3"/>
      <c r="V7849" s="3"/>
      <c r="W7849" s="3"/>
      <c r="X7849" s="3"/>
      <c r="Y7849" s="3"/>
    </row>
    <row r="7850">
      <c r="A7850" s="3"/>
      <c r="B7850" s="3"/>
      <c r="C7850" s="3"/>
      <c r="D7850" s="3"/>
      <c r="E7850" s="3"/>
      <c r="F7850" s="3"/>
      <c r="G7850" s="3"/>
      <c r="H7850" s="3"/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  <c r="T7850" s="3"/>
      <c r="U7850" s="3"/>
      <c r="V7850" s="3"/>
      <c r="W7850" s="3"/>
      <c r="X7850" s="3"/>
      <c r="Y7850" s="3"/>
    </row>
    <row r="7851">
      <c r="A7851" s="3"/>
      <c r="B7851" s="3"/>
      <c r="C7851" s="3"/>
      <c r="D7851" s="3"/>
      <c r="E7851" s="3"/>
      <c r="F7851" s="3"/>
      <c r="G7851" s="3"/>
      <c r="H7851" s="3"/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  <c r="T7851" s="3"/>
      <c r="U7851" s="3"/>
      <c r="V7851" s="3"/>
      <c r="W7851" s="3"/>
      <c r="X7851" s="3"/>
      <c r="Y7851" s="3"/>
    </row>
    <row r="7852">
      <c r="A7852" s="3"/>
      <c r="B7852" s="3"/>
      <c r="C7852" s="3"/>
      <c r="D7852" s="3"/>
      <c r="E7852" s="3"/>
      <c r="F7852" s="3"/>
      <c r="G7852" s="3"/>
      <c r="H7852" s="3"/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  <c r="T7852" s="3"/>
      <c r="U7852" s="3"/>
      <c r="V7852" s="3"/>
      <c r="W7852" s="3"/>
      <c r="X7852" s="3"/>
      <c r="Y7852" s="3"/>
    </row>
    <row r="7853">
      <c r="A7853" s="3"/>
      <c r="B7853" s="3"/>
      <c r="C7853" s="3"/>
      <c r="D7853" s="3"/>
      <c r="E7853" s="3"/>
      <c r="F7853" s="3"/>
      <c r="G7853" s="3"/>
      <c r="H7853" s="3"/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  <c r="T7853" s="3"/>
      <c r="U7853" s="3"/>
      <c r="V7853" s="3"/>
      <c r="W7853" s="3"/>
      <c r="X7853" s="3"/>
      <c r="Y7853" s="3"/>
    </row>
    <row r="7854">
      <c r="A7854" s="3"/>
      <c r="B7854" s="3"/>
      <c r="C7854" s="3"/>
      <c r="D7854" s="3"/>
      <c r="E7854" s="3"/>
      <c r="F7854" s="3"/>
      <c r="G7854" s="3"/>
      <c r="H7854" s="3"/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  <c r="T7854" s="3"/>
      <c r="U7854" s="3"/>
      <c r="V7854" s="3"/>
      <c r="W7854" s="3"/>
      <c r="X7854" s="3"/>
      <c r="Y7854" s="3"/>
    </row>
    <row r="7855">
      <c r="A7855" s="3"/>
      <c r="B7855" s="3"/>
      <c r="C7855" s="3"/>
      <c r="D7855" s="3"/>
      <c r="E7855" s="3"/>
      <c r="F7855" s="3"/>
      <c r="G7855" s="3"/>
      <c r="H7855" s="3"/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  <c r="T7855" s="3"/>
      <c r="U7855" s="3"/>
      <c r="V7855" s="3"/>
      <c r="W7855" s="3"/>
      <c r="X7855" s="3"/>
      <c r="Y7855" s="3"/>
    </row>
    <row r="7856">
      <c r="A7856" s="3"/>
      <c r="B7856" s="3"/>
      <c r="C7856" s="3"/>
      <c r="D7856" s="3"/>
      <c r="E7856" s="3"/>
      <c r="F7856" s="3"/>
      <c r="G7856" s="3"/>
      <c r="H7856" s="3"/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  <c r="T7856" s="3"/>
      <c r="U7856" s="3"/>
      <c r="V7856" s="3"/>
      <c r="W7856" s="3"/>
      <c r="X7856" s="3"/>
      <c r="Y7856" s="3"/>
    </row>
    <row r="7857">
      <c r="A7857" s="3"/>
      <c r="B7857" s="3"/>
      <c r="C7857" s="3"/>
      <c r="D7857" s="3"/>
      <c r="E7857" s="3"/>
      <c r="F7857" s="3"/>
      <c r="G7857" s="3"/>
      <c r="H7857" s="3"/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  <c r="T7857" s="3"/>
      <c r="U7857" s="3"/>
      <c r="V7857" s="3"/>
      <c r="W7857" s="3"/>
      <c r="X7857" s="3"/>
      <c r="Y7857" s="3"/>
    </row>
    <row r="7858">
      <c r="A7858" s="3"/>
      <c r="B7858" s="3"/>
      <c r="C7858" s="3"/>
      <c r="D7858" s="3"/>
      <c r="E7858" s="3"/>
      <c r="F7858" s="3"/>
      <c r="G7858" s="3"/>
      <c r="H7858" s="3"/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  <c r="T7858" s="3"/>
      <c r="U7858" s="3"/>
      <c r="V7858" s="3"/>
      <c r="W7858" s="3"/>
      <c r="X7858" s="3"/>
      <c r="Y7858" s="3"/>
    </row>
    <row r="7859">
      <c r="A7859" s="3"/>
      <c r="B7859" s="3"/>
      <c r="C7859" s="3"/>
      <c r="D7859" s="3"/>
      <c r="E7859" s="3"/>
      <c r="F7859" s="3"/>
      <c r="G7859" s="3"/>
      <c r="H7859" s="3"/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  <c r="T7859" s="3"/>
      <c r="U7859" s="3"/>
      <c r="V7859" s="3"/>
      <c r="W7859" s="3"/>
      <c r="X7859" s="3"/>
      <c r="Y7859" s="3"/>
    </row>
    <row r="7860">
      <c r="A7860" s="3"/>
      <c r="B7860" s="3"/>
      <c r="C7860" s="3"/>
      <c r="D7860" s="3"/>
      <c r="E7860" s="3"/>
      <c r="F7860" s="3"/>
      <c r="G7860" s="3"/>
      <c r="H7860" s="3"/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  <c r="T7860" s="3"/>
      <c r="U7860" s="3"/>
      <c r="V7860" s="3"/>
      <c r="W7860" s="3"/>
      <c r="X7860" s="3"/>
      <c r="Y7860" s="3"/>
    </row>
    <row r="7861">
      <c r="A7861" s="3"/>
      <c r="B7861" s="3"/>
      <c r="C7861" s="3"/>
      <c r="D7861" s="3"/>
      <c r="E7861" s="3"/>
      <c r="F7861" s="3"/>
      <c r="G7861" s="3"/>
      <c r="H7861" s="3"/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  <c r="T7861" s="3"/>
      <c r="U7861" s="3"/>
      <c r="V7861" s="3"/>
      <c r="W7861" s="3"/>
      <c r="X7861" s="3"/>
      <c r="Y7861" s="3"/>
    </row>
    <row r="7862">
      <c r="A7862" s="3"/>
      <c r="B7862" s="3"/>
      <c r="C7862" s="3"/>
      <c r="D7862" s="3"/>
      <c r="E7862" s="3"/>
      <c r="F7862" s="3"/>
      <c r="G7862" s="3"/>
      <c r="H7862" s="3"/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  <c r="T7862" s="3"/>
      <c r="U7862" s="3"/>
      <c r="V7862" s="3"/>
      <c r="W7862" s="3"/>
      <c r="X7862" s="3"/>
      <c r="Y7862" s="3"/>
    </row>
    <row r="7863">
      <c r="A7863" s="3"/>
      <c r="B7863" s="3"/>
      <c r="C7863" s="3"/>
      <c r="D7863" s="3"/>
      <c r="E7863" s="3"/>
      <c r="F7863" s="3"/>
      <c r="G7863" s="3"/>
      <c r="H7863" s="3"/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  <c r="T7863" s="3"/>
      <c r="U7863" s="3"/>
      <c r="V7863" s="3"/>
      <c r="W7863" s="3"/>
      <c r="X7863" s="3"/>
      <c r="Y7863" s="3"/>
    </row>
    <row r="7864">
      <c r="A7864" s="3"/>
      <c r="B7864" s="3"/>
      <c r="C7864" s="3"/>
      <c r="D7864" s="3"/>
      <c r="E7864" s="3"/>
      <c r="F7864" s="3"/>
      <c r="G7864" s="3"/>
      <c r="H7864" s="3"/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  <c r="T7864" s="3"/>
      <c r="U7864" s="3"/>
      <c r="V7864" s="3"/>
      <c r="W7864" s="3"/>
      <c r="X7864" s="3"/>
      <c r="Y7864" s="3"/>
    </row>
    <row r="7865">
      <c r="A7865" s="3"/>
      <c r="B7865" s="3"/>
      <c r="C7865" s="3"/>
      <c r="D7865" s="3"/>
      <c r="E7865" s="3"/>
      <c r="F7865" s="3"/>
      <c r="G7865" s="3"/>
      <c r="H7865" s="3"/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  <c r="T7865" s="3"/>
      <c r="U7865" s="3"/>
      <c r="V7865" s="3"/>
      <c r="W7865" s="3"/>
      <c r="X7865" s="3"/>
      <c r="Y7865" s="3"/>
    </row>
    <row r="7866">
      <c r="A7866" s="3"/>
      <c r="B7866" s="3"/>
      <c r="C7866" s="3"/>
      <c r="D7866" s="3"/>
      <c r="E7866" s="3"/>
      <c r="F7866" s="3"/>
      <c r="G7866" s="3"/>
      <c r="H7866" s="3"/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  <c r="T7866" s="3"/>
      <c r="U7866" s="3"/>
      <c r="V7866" s="3"/>
      <c r="W7866" s="3"/>
      <c r="X7866" s="3"/>
      <c r="Y7866" s="3"/>
    </row>
    <row r="7867">
      <c r="A7867" s="3"/>
      <c r="B7867" s="3"/>
      <c r="C7867" s="3"/>
      <c r="D7867" s="3"/>
      <c r="E7867" s="3"/>
      <c r="F7867" s="3"/>
      <c r="G7867" s="3"/>
      <c r="H7867" s="3"/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  <c r="T7867" s="3"/>
      <c r="U7867" s="3"/>
      <c r="V7867" s="3"/>
      <c r="W7867" s="3"/>
      <c r="X7867" s="3"/>
      <c r="Y7867" s="3"/>
    </row>
    <row r="7868">
      <c r="A7868" s="3"/>
      <c r="B7868" s="3"/>
      <c r="C7868" s="3"/>
      <c r="D7868" s="3"/>
      <c r="E7868" s="3"/>
      <c r="F7868" s="3"/>
      <c r="G7868" s="3"/>
      <c r="H7868" s="3"/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  <c r="T7868" s="3"/>
      <c r="U7868" s="3"/>
      <c r="V7868" s="3"/>
      <c r="W7868" s="3"/>
      <c r="X7868" s="3"/>
      <c r="Y7868" s="3"/>
    </row>
    <row r="7869">
      <c r="A7869" s="3"/>
      <c r="B7869" s="3"/>
      <c r="C7869" s="3"/>
      <c r="D7869" s="3"/>
      <c r="E7869" s="3"/>
      <c r="F7869" s="3"/>
      <c r="G7869" s="3"/>
      <c r="H7869" s="3"/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  <c r="T7869" s="3"/>
      <c r="U7869" s="3"/>
      <c r="V7869" s="3"/>
      <c r="W7869" s="3"/>
      <c r="X7869" s="3"/>
      <c r="Y7869" s="3"/>
    </row>
    <row r="7870">
      <c r="A7870" s="3"/>
      <c r="B7870" s="3"/>
      <c r="C7870" s="3"/>
      <c r="D7870" s="3"/>
      <c r="E7870" s="3"/>
      <c r="F7870" s="3"/>
      <c r="G7870" s="3"/>
      <c r="H7870" s="3"/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  <c r="T7870" s="3"/>
      <c r="U7870" s="3"/>
      <c r="V7870" s="3"/>
      <c r="W7870" s="3"/>
      <c r="X7870" s="3"/>
      <c r="Y7870" s="3"/>
    </row>
    <row r="7871">
      <c r="A7871" s="3"/>
      <c r="B7871" s="3"/>
      <c r="C7871" s="3"/>
      <c r="D7871" s="3"/>
      <c r="E7871" s="3"/>
      <c r="F7871" s="3"/>
      <c r="G7871" s="3"/>
      <c r="H7871" s="3"/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  <c r="T7871" s="3"/>
      <c r="U7871" s="3"/>
      <c r="V7871" s="3"/>
      <c r="W7871" s="3"/>
      <c r="X7871" s="3"/>
      <c r="Y7871" s="3"/>
    </row>
    <row r="7872">
      <c r="A7872" s="3"/>
      <c r="B7872" s="3"/>
      <c r="C7872" s="3"/>
      <c r="D7872" s="3"/>
      <c r="E7872" s="3"/>
      <c r="F7872" s="3"/>
      <c r="G7872" s="3"/>
      <c r="H7872" s="3"/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  <c r="T7872" s="3"/>
      <c r="U7872" s="3"/>
      <c r="V7872" s="3"/>
      <c r="W7872" s="3"/>
      <c r="X7872" s="3"/>
      <c r="Y7872" s="3"/>
    </row>
    <row r="7873">
      <c r="A7873" s="3"/>
      <c r="B7873" s="3"/>
      <c r="C7873" s="3"/>
      <c r="D7873" s="3"/>
      <c r="E7873" s="3"/>
      <c r="F7873" s="3"/>
      <c r="G7873" s="3"/>
      <c r="H7873" s="3"/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  <c r="T7873" s="3"/>
      <c r="U7873" s="3"/>
      <c r="V7873" s="3"/>
      <c r="W7873" s="3"/>
      <c r="X7873" s="3"/>
      <c r="Y7873" s="3"/>
    </row>
    <row r="7874">
      <c r="A7874" s="3"/>
      <c r="B7874" s="3"/>
      <c r="C7874" s="3"/>
      <c r="D7874" s="3"/>
      <c r="E7874" s="3"/>
      <c r="F7874" s="3"/>
      <c r="G7874" s="3"/>
      <c r="H7874" s="3"/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  <c r="T7874" s="3"/>
      <c r="U7874" s="3"/>
      <c r="V7874" s="3"/>
      <c r="W7874" s="3"/>
      <c r="X7874" s="3"/>
      <c r="Y7874" s="3"/>
    </row>
    <row r="7875">
      <c r="A7875" s="3"/>
      <c r="B7875" s="3"/>
      <c r="C7875" s="3"/>
      <c r="D7875" s="3"/>
      <c r="E7875" s="3"/>
      <c r="F7875" s="3"/>
      <c r="G7875" s="3"/>
      <c r="H7875" s="3"/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  <c r="T7875" s="3"/>
      <c r="U7875" s="3"/>
      <c r="V7875" s="3"/>
      <c r="W7875" s="3"/>
      <c r="X7875" s="3"/>
      <c r="Y7875" s="3"/>
    </row>
    <row r="7876">
      <c r="A7876" s="3"/>
      <c r="B7876" s="3"/>
      <c r="C7876" s="3"/>
      <c r="D7876" s="3"/>
      <c r="E7876" s="3"/>
      <c r="F7876" s="3"/>
      <c r="G7876" s="3"/>
      <c r="H7876" s="3"/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  <c r="T7876" s="3"/>
      <c r="U7876" s="3"/>
      <c r="V7876" s="3"/>
      <c r="W7876" s="3"/>
      <c r="X7876" s="3"/>
      <c r="Y7876" s="3"/>
    </row>
    <row r="7877">
      <c r="A7877" s="3"/>
      <c r="B7877" s="3"/>
      <c r="C7877" s="3"/>
      <c r="D7877" s="3"/>
      <c r="E7877" s="3"/>
      <c r="F7877" s="3"/>
      <c r="G7877" s="3"/>
      <c r="H7877" s="3"/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  <c r="T7877" s="3"/>
      <c r="U7877" s="3"/>
      <c r="V7877" s="3"/>
      <c r="W7877" s="3"/>
      <c r="X7877" s="3"/>
      <c r="Y7877" s="3"/>
    </row>
    <row r="7878">
      <c r="A7878" s="3"/>
      <c r="B7878" s="3"/>
      <c r="C7878" s="3"/>
      <c r="D7878" s="3"/>
      <c r="E7878" s="3"/>
      <c r="F7878" s="3"/>
      <c r="G7878" s="3"/>
      <c r="H7878" s="3"/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  <c r="T7878" s="3"/>
      <c r="U7878" s="3"/>
      <c r="V7878" s="3"/>
      <c r="W7878" s="3"/>
      <c r="X7878" s="3"/>
      <c r="Y7878" s="3"/>
    </row>
    <row r="7879">
      <c r="A7879" s="3"/>
      <c r="B7879" s="3"/>
      <c r="C7879" s="3"/>
      <c r="D7879" s="3"/>
      <c r="E7879" s="3"/>
      <c r="F7879" s="3"/>
      <c r="G7879" s="3"/>
      <c r="H7879" s="3"/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  <c r="T7879" s="3"/>
      <c r="U7879" s="3"/>
      <c r="V7879" s="3"/>
      <c r="W7879" s="3"/>
      <c r="X7879" s="3"/>
      <c r="Y7879" s="3"/>
    </row>
    <row r="7880">
      <c r="A7880" s="3"/>
      <c r="B7880" s="3"/>
      <c r="C7880" s="3"/>
      <c r="D7880" s="3"/>
      <c r="E7880" s="3"/>
      <c r="F7880" s="3"/>
      <c r="G7880" s="3"/>
      <c r="H7880" s="3"/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  <c r="T7880" s="3"/>
      <c r="U7880" s="3"/>
      <c r="V7880" s="3"/>
      <c r="W7880" s="3"/>
      <c r="X7880" s="3"/>
      <c r="Y7880" s="3"/>
    </row>
    <row r="7881">
      <c r="A7881" s="3"/>
      <c r="B7881" s="3"/>
      <c r="C7881" s="3"/>
      <c r="D7881" s="3"/>
      <c r="E7881" s="3"/>
      <c r="F7881" s="3"/>
      <c r="G7881" s="3"/>
      <c r="H7881" s="3"/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  <c r="T7881" s="3"/>
      <c r="U7881" s="3"/>
      <c r="V7881" s="3"/>
      <c r="W7881" s="3"/>
      <c r="X7881" s="3"/>
      <c r="Y7881" s="3"/>
    </row>
    <row r="7882">
      <c r="A7882" s="3"/>
      <c r="B7882" s="3"/>
      <c r="C7882" s="3"/>
      <c r="D7882" s="3"/>
      <c r="E7882" s="3"/>
      <c r="F7882" s="3"/>
      <c r="G7882" s="3"/>
      <c r="H7882" s="3"/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  <c r="T7882" s="3"/>
      <c r="U7882" s="3"/>
      <c r="V7882" s="3"/>
      <c r="W7882" s="3"/>
      <c r="X7882" s="3"/>
      <c r="Y7882" s="3"/>
    </row>
    <row r="7883">
      <c r="A7883" s="3"/>
      <c r="B7883" s="3"/>
      <c r="C7883" s="3"/>
      <c r="D7883" s="3"/>
      <c r="E7883" s="3"/>
      <c r="F7883" s="3"/>
      <c r="G7883" s="3"/>
      <c r="H7883" s="3"/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  <c r="T7883" s="3"/>
      <c r="U7883" s="3"/>
      <c r="V7883" s="3"/>
      <c r="W7883" s="3"/>
      <c r="X7883" s="3"/>
      <c r="Y7883" s="3"/>
    </row>
    <row r="7884">
      <c r="A7884" s="3"/>
      <c r="B7884" s="3"/>
      <c r="C7884" s="3"/>
      <c r="D7884" s="3"/>
      <c r="E7884" s="3"/>
      <c r="F7884" s="3"/>
      <c r="G7884" s="3"/>
      <c r="H7884" s="3"/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  <c r="T7884" s="3"/>
      <c r="U7884" s="3"/>
      <c r="V7884" s="3"/>
      <c r="W7884" s="3"/>
      <c r="X7884" s="3"/>
      <c r="Y7884" s="3"/>
    </row>
    <row r="7885">
      <c r="A7885" s="3"/>
      <c r="B7885" s="3"/>
      <c r="C7885" s="3"/>
      <c r="D7885" s="3"/>
      <c r="E7885" s="3"/>
      <c r="F7885" s="3"/>
      <c r="G7885" s="3"/>
      <c r="H7885" s="3"/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  <c r="T7885" s="3"/>
      <c r="U7885" s="3"/>
      <c r="V7885" s="3"/>
      <c r="W7885" s="3"/>
      <c r="X7885" s="3"/>
      <c r="Y7885" s="3"/>
    </row>
    <row r="7886">
      <c r="A7886" s="3"/>
      <c r="B7886" s="3"/>
      <c r="C7886" s="3"/>
      <c r="D7886" s="3"/>
      <c r="E7886" s="3"/>
      <c r="F7886" s="3"/>
      <c r="G7886" s="3"/>
      <c r="H7886" s="3"/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  <c r="T7886" s="3"/>
      <c r="U7886" s="3"/>
      <c r="V7886" s="3"/>
      <c r="W7886" s="3"/>
      <c r="X7886" s="3"/>
      <c r="Y7886" s="3"/>
    </row>
    <row r="7887">
      <c r="A7887" s="3"/>
      <c r="B7887" s="3"/>
      <c r="C7887" s="3"/>
      <c r="D7887" s="3"/>
      <c r="E7887" s="3"/>
      <c r="F7887" s="3"/>
      <c r="G7887" s="3"/>
      <c r="H7887" s="3"/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  <c r="T7887" s="3"/>
      <c r="U7887" s="3"/>
      <c r="V7887" s="3"/>
      <c r="W7887" s="3"/>
      <c r="X7887" s="3"/>
      <c r="Y7887" s="3"/>
    </row>
    <row r="7888">
      <c r="A7888" s="3"/>
      <c r="B7888" s="3"/>
      <c r="C7888" s="3"/>
      <c r="D7888" s="3"/>
      <c r="E7888" s="3"/>
      <c r="F7888" s="3"/>
      <c r="G7888" s="3"/>
      <c r="H7888" s="3"/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  <c r="T7888" s="3"/>
      <c r="U7888" s="3"/>
      <c r="V7888" s="3"/>
      <c r="W7888" s="3"/>
      <c r="X7888" s="3"/>
      <c r="Y7888" s="3"/>
    </row>
    <row r="7889">
      <c r="A7889" s="3"/>
      <c r="B7889" s="3"/>
      <c r="C7889" s="3"/>
      <c r="D7889" s="3"/>
      <c r="E7889" s="3"/>
      <c r="F7889" s="3"/>
      <c r="G7889" s="3"/>
      <c r="H7889" s="3"/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  <c r="T7889" s="3"/>
      <c r="U7889" s="3"/>
      <c r="V7889" s="3"/>
      <c r="W7889" s="3"/>
      <c r="X7889" s="3"/>
      <c r="Y7889" s="3"/>
    </row>
    <row r="7890">
      <c r="A7890" s="3"/>
      <c r="B7890" s="3"/>
      <c r="C7890" s="3"/>
      <c r="D7890" s="3"/>
      <c r="E7890" s="3"/>
      <c r="F7890" s="3"/>
      <c r="G7890" s="3"/>
      <c r="H7890" s="3"/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  <c r="T7890" s="3"/>
      <c r="U7890" s="3"/>
      <c r="V7890" s="3"/>
      <c r="W7890" s="3"/>
      <c r="X7890" s="3"/>
      <c r="Y7890" s="3"/>
    </row>
    <row r="7891">
      <c r="A7891" s="3"/>
      <c r="B7891" s="3"/>
      <c r="C7891" s="3"/>
      <c r="D7891" s="3"/>
      <c r="E7891" s="3"/>
      <c r="F7891" s="3"/>
      <c r="G7891" s="3"/>
      <c r="H7891" s="3"/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  <c r="T7891" s="3"/>
      <c r="U7891" s="3"/>
      <c r="V7891" s="3"/>
      <c r="W7891" s="3"/>
      <c r="X7891" s="3"/>
      <c r="Y7891" s="3"/>
    </row>
    <row r="7892">
      <c r="A7892" s="3"/>
      <c r="B7892" s="3"/>
      <c r="C7892" s="3"/>
      <c r="D7892" s="3"/>
      <c r="E7892" s="3"/>
      <c r="F7892" s="3"/>
      <c r="G7892" s="3"/>
      <c r="H7892" s="3"/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  <c r="T7892" s="3"/>
      <c r="U7892" s="3"/>
      <c r="V7892" s="3"/>
      <c r="W7892" s="3"/>
      <c r="X7892" s="3"/>
      <c r="Y7892" s="3"/>
    </row>
    <row r="7893">
      <c r="A7893" s="3"/>
      <c r="B7893" s="3"/>
      <c r="C7893" s="3"/>
      <c r="D7893" s="3"/>
      <c r="E7893" s="3"/>
      <c r="F7893" s="3"/>
      <c r="G7893" s="3"/>
      <c r="H7893" s="3"/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  <c r="T7893" s="3"/>
      <c r="U7893" s="3"/>
      <c r="V7893" s="3"/>
      <c r="W7893" s="3"/>
      <c r="X7893" s="3"/>
      <c r="Y7893" s="3"/>
    </row>
    <row r="7894">
      <c r="A7894" s="3"/>
      <c r="B7894" s="3"/>
      <c r="C7894" s="3"/>
      <c r="D7894" s="3"/>
      <c r="E7894" s="3"/>
      <c r="F7894" s="3"/>
      <c r="G7894" s="3"/>
      <c r="H7894" s="3"/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  <c r="T7894" s="3"/>
      <c r="U7894" s="3"/>
      <c r="V7894" s="3"/>
      <c r="W7894" s="3"/>
      <c r="X7894" s="3"/>
      <c r="Y7894" s="3"/>
    </row>
    <row r="7895">
      <c r="A7895" s="3"/>
      <c r="B7895" s="3"/>
      <c r="C7895" s="3"/>
      <c r="D7895" s="3"/>
      <c r="E7895" s="3"/>
      <c r="F7895" s="3"/>
      <c r="G7895" s="3"/>
      <c r="H7895" s="3"/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  <c r="T7895" s="3"/>
      <c r="U7895" s="3"/>
      <c r="V7895" s="3"/>
      <c r="W7895" s="3"/>
      <c r="X7895" s="3"/>
      <c r="Y7895" s="3"/>
    </row>
    <row r="7896">
      <c r="A7896" s="3"/>
      <c r="B7896" s="3"/>
      <c r="C7896" s="3"/>
      <c r="D7896" s="3"/>
      <c r="E7896" s="3"/>
      <c r="F7896" s="3"/>
      <c r="G7896" s="3"/>
      <c r="H7896" s="3"/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  <c r="T7896" s="3"/>
      <c r="U7896" s="3"/>
      <c r="V7896" s="3"/>
      <c r="W7896" s="3"/>
      <c r="X7896" s="3"/>
      <c r="Y7896" s="3"/>
    </row>
    <row r="7897">
      <c r="A7897" s="3"/>
      <c r="B7897" s="3"/>
      <c r="C7897" s="3"/>
      <c r="D7897" s="3"/>
      <c r="E7897" s="3"/>
      <c r="F7897" s="3"/>
      <c r="G7897" s="3"/>
      <c r="H7897" s="3"/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  <c r="T7897" s="3"/>
      <c r="U7897" s="3"/>
      <c r="V7897" s="3"/>
      <c r="W7897" s="3"/>
      <c r="X7897" s="3"/>
      <c r="Y7897" s="3"/>
    </row>
    <row r="7898">
      <c r="A7898" s="3"/>
      <c r="B7898" s="3"/>
      <c r="C7898" s="3"/>
      <c r="D7898" s="3"/>
      <c r="E7898" s="3"/>
      <c r="F7898" s="3"/>
      <c r="G7898" s="3"/>
      <c r="H7898" s="3"/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  <c r="T7898" s="3"/>
      <c r="U7898" s="3"/>
      <c r="V7898" s="3"/>
      <c r="W7898" s="3"/>
      <c r="X7898" s="3"/>
      <c r="Y7898" s="3"/>
    </row>
    <row r="7899">
      <c r="A7899" s="3"/>
      <c r="B7899" s="3"/>
      <c r="C7899" s="3"/>
      <c r="D7899" s="3"/>
      <c r="E7899" s="3"/>
      <c r="F7899" s="3"/>
      <c r="G7899" s="3"/>
      <c r="H7899" s="3"/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  <c r="T7899" s="3"/>
      <c r="U7899" s="3"/>
      <c r="V7899" s="3"/>
      <c r="W7899" s="3"/>
      <c r="X7899" s="3"/>
      <c r="Y7899" s="3"/>
    </row>
    <row r="7900">
      <c r="A7900" s="3"/>
      <c r="B7900" s="3"/>
      <c r="C7900" s="3"/>
      <c r="D7900" s="3"/>
      <c r="E7900" s="3"/>
      <c r="F7900" s="3"/>
      <c r="G7900" s="3"/>
      <c r="H7900" s="3"/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  <c r="T7900" s="3"/>
      <c r="U7900" s="3"/>
      <c r="V7900" s="3"/>
      <c r="W7900" s="3"/>
      <c r="X7900" s="3"/>
      <c r="Y7900" s="3"/>
    </row>
    <row r="7901">
      <c r="A7901" s="3"/>
      <c r="B7901" s="3"/>
      <c r="C7901" s="3"/>
      <c r="D7901" s="3"/>
      <c r="E7901" s="3"/>
      <c r="F7901" s="3"/>
      <c r="G7901" s="3"/>
      <c r="H7901" s="3"/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  <c r="T7901" s="3"/>
      <c r="U7901" s="3"/>
      <c r="V7901" s="3"/>
      <c r="W7901" s="3"/>
      <c r="X7901" s="3"/>
      <c r="Y7901" s="3"/>
    </row>
    <row r="7902">
      <c r="A7902" s="3"/>
      <c r="B7902" s="3"/>
      <c r="C7902" s="3"/>
      <c r="D7902" s="3"/>
      <c r="E7902" s="3"/>
      <c r="F7902" s="3"/>
      <c r="G7902" s="3"/>
      <c r="H7902" s="3"/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  <c r="T7902" s="3"/>
      <c r="U7902" s="3"/>
      <c r="V7902" s="3"/>
      <c r="W7902" s="3"/>
      <c r="X7902" s="3"/>
      <c r="Y7902" s="3"/>
    </row>
    <row r="7903">
      <c r="A7903" s="3"/>
      <c r="B7903" s="3"/>
      <c r="C7903" s="3"/>
      <c r="D7903" s="3"/>
      <c r="E7903" s="3"/>
      <c r="F7903" s="3"/>
      <c r="G7903" s="3"/>
      <c r="H7903" s="3"/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  <c r="T7903" s="3"/>
      <c r="U7903" s="3"/>
      <c r="V7903" s="3"/>
      <c r="W7903" s="3"/>
      <c r="X7903" s="3"/>
      <c r="Y7903" s="3"/>
    </row>
    <row r="7904">
      <c r="A7904" s="3"/>
      <c r="B7904" s="3"/>
      <c r="C7904" s="3"/>
      <c r="D7904" s="3"/>
      <c r="E7904" s="3"/>
      <c r="F7904" s="3"/>
      <c r="G7904" s="3"/>
      <c r="H7904" s="3"/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  <c r="T7904" s="3"/>
      <c r="U7904" s="3"/>
      <c r="V7904" s="3"/>
      <c r="W7904" s="3"/>
      <c r="X7904" s="3"/>
      <c r="Y7904" s="3"/>
    </row>
    <row r="7905">
      <c r="A7905" s="3"/>
      <c r="B7905" s="3"/>
      <c r="C7905" s="3"/>
      <c r="D7905" s="3"/>
      <c r="E7905" s="3"/>
      <c r="F7905" s="3"/>
      <c r="G7905" s="3"/>
      <c r="H7905" s="3"/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  <c r="T7905" s="3"/>
      <c r="U7905" s="3"/>
      <c r="V7905" s="3"/>
      <c r="W7905" s="3"/>
      <c r="X7905" s="3"/>
      <c r="Y7905" s="3"/>
    </row>
    <row r="7906">
      <c r="A7906" s="3"/>
      <c r="B7906" s="3"/>
      <c r="C7906" s="3"/>
      <c r="D7906" s="3"/>
      <c r="E7906" s="3"/>
      <c r="F7906" s="3"/>
      <c r="G7906" s="3"/>
      <c r="H7906" s="3"/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  <c r="T7906" s="3"/>
      <c r="U7906" s="3"/>
      <c r="V7906" s="3"/>
      <c r="W7906" s="3"/>
      <c r="X7906" s="3"/>
      <c r="Y7906" s="3"/>
    </row>
    <row r="7907">
      <c r="A7907" s="3"/>
      <c r="B7907" s="3"/>
      <c r="C7907" s="3"/>
      <c r="D7907" s="3"/>
      <c r="E7907" s="3"/>
      <c r="F7907" s="3"/>
      <c r="G7907" s="3"/>
      <c r="H7907" s="3"/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  <c r="T7907" s="3"/>
      <c r="U7907" s="3"/>
      <c r="V7907" s="3"/>
      <c r="W7907" s="3"/>
      <c r="X7907" s="3"/>
      <c r="Y7907" s="3"/>
    </row>
    <row r="7908">
      <c r="A7908" s="3"/>
      <c r="B7908" s="3"/>
      <c r="C7908" s="3"/>
      <c r="D7908" s="3"/>
      <c r="E7908" s="3"/>
      <c r="F7908" s="3"/>
      <c r="G7908" s="3"/>
      <c r="H7908" s="3"/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  <c r="T7908" s="3"/>
      <c r="U7908" s="3"/>
      <c r="V7908" s="3"/>
      <c r="W7908" s="3"/>
      <c r="X7908" s="3"/>
      <c r="Y7908" s="3"/>
    </row>
    <row r="7909">
      <c r="A7909" s="3"/>
      <c r="B7909" s="3"/>
      <c r="C7909" s="3"/>
      <c r="D7909" s="3"/>
      <c r="E7909" s="3"/>
      <c r="F7909" s="3"/>
      <c r="G7909" s="3"/>
      <c r="H7909" s="3"/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  <c r="T7909" s="3"/>
      <c r="U7909" s="3"/>
      <c r="V7909" s="3"/>
      <c r="W7909" s="3"/>
      <c r="X7909" s="3"/>
      <c r="Y7909" s="3"/>
    </row>
    <row r="7910">
      <c r="A7910" s="3"/>
      <c r="B7910" s="3"/>
      <c r="C7910" s="3"/>
      <c r="D7910" s="3"/>
      <c r="E7910" s="3"/>
      <c r="F7910" s="3"/>
      <c r="G7910" s="3"/>
      <c r="H7910" s="3"/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  <c r="T7910" s="3"/>
      <c r="U7910" s="3"/>
      <c r="V7910" s="3"/>
      <c r="W7910" s="3"/>
      <c r="X7910" s="3"/>
      <c r="Y7910" s="3"/>
    </row>
    <row r="7911">
      <c r="A7911" s="3"/>
      <c r="B7911" s="3"/>
      <c r="C7911" s="3"/>
      <c r="D7911" s="3"/>
      <c r="E7911" s="3"/>
      <c r="F7911" s="3"/>
      <c r="G7911" s="3"/>
      <c r="H7911" s="3"/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  <c r="T7911" s="3"/>
      <c r="U7911" s="3"/>
      <c r="V7911" s="3"/>
      <c r="W7911" s="3"/>
      <c r="X7911" s="3"/>
      <c r="Y7911" s="3"/>
    </row>
    <row r="7912">
      <c r="A7912" s="3"/>
      <c r="B7912" s="3"/>
      <c r="C7912" s="3"/>
      <c r="D7912" s="3"/>
      <c r="E7912" s="3"/>
      <c r="F7912" s="3"/>
      <c r="G7912" s="3"/>
      <c r="H7912" s="3"/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  <c r="T7912" s="3"/>
      <c r="U7912" s="3"/>
      <c r="V7912" s="3"/>
      <c r="W7912" s="3"/>
      <c r="X7912" s="3"/>
      <c r="Y7912" s="3"/>
    </row>
    <row r="7913">
      <c r="A7913" s="3"/>
      <c r="B7913" s="3"/>
      <c r="C7913" s="3"/>
      <c r="D7913" s="3"/>
      <c r="E7913" s="3"/>
      <c r="F7913" s="3"/>
      <c r="G7913" s="3"/>
      <c r="H7913" s="3"/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  <c r="T7913" s="3"/>
      <c r="U7913" s="3"/>
      <c r="V7913" s="3"/>
      <c r="W7913" s="3"/>
      <c r="X7913" s="3"/>
      <c r="Y7913" s="3"/>
    </row>
    <row r="7914">
      <c r="A7914" s="3"/>
      <c r="B7914" s="3"/>
      <c r="C7914" s="3"/>
      <c r="D7914" s="3"/>
      <c r="E7914" s="3"/>
      <c r="F7914" s="3"/>
      <c r="G7914" s="3"/>
      <c r="H7914" s="3"/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  <c r="T7914" s="3"/>
      <c r="U7914" s="3"/>
      <c r="V7914" s="3"/>
      <c r="W7914" s="3"/>
      <c r="X7914" s="3"/>
      <c r="Y7914" s="3"/>
    </row>
    <row r="7915">
      <c r="A7915" s="3"/>
      <c r="B7915" s="3"/>
      <c r="C7915" s="3"/>
      <c r="D7915" s="3"/>
      <c r="E7915" s="3"/>
      <c r="F7915" s="3"/>
      <c r="G7915" s="3"/>
      <c r="H7915" s="3"/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  <c r="T7915" s="3"/>
      <c r="U7915" s="3"/>
      <c r="V7915" s="3"/>
      <c r="W7915" s="3"/>
      <c r="X7915" s="3"/>
      <c r="Y7915" s="3"/>
    </row>
    <row r="7916">
      <c r="A7916" s="3"/>
      <c r="B7916" s="3"/>
      <c r="C7916" s="3"/>
      <c r="D7916" s="3"/>
      <c r="E7916" s="3"/>
      <c r="F7916" s="3"/>
      <c r="G7916" s="3"/>
      <c r="H7916" s="3"/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  <c r="T7916" s="3"/>
      <c r="U7916" s="3"/>
      <c r="V7916" s="3"/>
      <c r="W7916" s="3"/>
      <c r="X7916" s="3"/>
      <c r="Y7916" s="3"/>
    </row>
    <row r="7917">
      <c r="A7917" s="3"/>
      <c r="B7917" s="3"/>
      <c r="C7917" s="3"/>
      <c r="D7917" s="3"/>
      <c r="E7917" s="3"/>
      <c r="F7917" s="3"/>
      <c r="G7917" s="3"/>
      <c r="H7917" s="3"/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  <c r="T7917" s="3"/>
      <c r="U7917" s="3"/>
      <c r="V7917" s="3"/>
      <c r="W7917" s="3"/>
      <c r="X7917" s="3"/>
      <c r="Y7917" s="3"/>
    </row>
    <row r="7918">
      <c r="A7918" s="3"/>
      <c r="B7918" s="3"/>
      <c r="C7918" s="3"/>
      <c r="D7918" s="3"/>
      <c r="E7918" s="3"/>
      <c r="F7918" s="3"/>
      <c r="G7918" s="3"/>
      <c r="H7918" s="3"/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  <c r="T7918" s="3"/>
      <c r="U7918" s="3"/>
      <c r="V7918" s="3"/>
      <c r="W7918" s="3"/>
      <c r="X7918" s="3"/>
      <c r="Y7918" s="3"/>
    </row>
    <row r="7919">
      <c r="A7919" s="3"/>
      <c r="B7919" s="3"/>
      <c r="C7919" s="3"/>
      <c r="D7919" s="3"/>
      <c r="E7919" s="3"/>
      <c r="F7919" s="3"/>
      <c r="G7919" s="3"/>
      <c r="H7919" s="3"/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  <c r="T7919" s="3"/>
      <c r="U7919" s="3"/>
      <c r="V7919" s="3"/>
      <c r="W7919" s="3"/>
      <c r="X7919" s="3"/>
      <c r="Y7919" s="3"/>
    </row>
    <row r="7920">
      <c r="A7920" s="3"/>
      <c r="B7920" s="3"/>
      <c r="C7920" s="3"/>
      <c r="D7920" s="3"/>
      <c r="E7920" s="3"/>
      <c r="F7920" s="3"/>
      <c r="G7920" s="3"/>
      <c r="H7920" s="3"/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  <c r="T7920" s="3"/>
      <c r="U7920" s="3"/>
      <c r="V7920" s="3"/>
      <c r="W7920" s="3"/>
      <c r="X7920" s="3"/>
      <c r="Y7920" s="3"/>
    </row>
    <row r="7921">
      <c r="A7921" s="3"/>
      <c r="B7921" s="3"/>
      <c r="C7921" s="3"/>
      <c r="D7921" s="3"/>
      <c r="E7921" s="3"/>
      <c r="F7921" s="3"/>
      <c r="G7921" s="3"/>
      <c r="H7921" s="3"/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  <c r="T7921" s="3"/>
      <c r="U7921" s="3"/>
      <c r="V7921" s="3"/>
      <c r="W7921" s="3"/>
      <c r="X7921" s="3"/>
      <c r="Y7921" s="3"/>
    </row>
    <row r="7922">
      <c r="A7922" s="3"/>
      <c r="B7922" s="3"/>
      <c r="C7922" s="3"/>
      <c r="D7922" s="3"/>
      <c r="E7922" s="3"/>
      <c r="F7922" s="3"/>
      <c r="G7922" s="3"/>
      <c r="H7922" s="3"/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  <c r="T7922" s="3"/>
      <c r="U7922" s="3"/>
      <c r="V7922" s="3"/>
      <c r="W7922" s="3"/>
      <c r="X7922" s="3"/>
      <c r="Y7922" s="3"/>
    </row>
    <row r="7923">
      <c r="A7923" s="3"/>
      <c r="B7923" s="3"/>
      <c r="C7923" s="3"/>
      <c r="D7923" s="3"/>
      <c r="E7923" s="3"/>
      <c r="F7923" s="3"/>
      <c r="G7923" s="3"/>
      <c r="H7923" s="3"/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  <c r="T7923" s="3"/>
      <c r="U7923" s="3"/>
      <c r="V7923" s="3"/>
      <c r="W7923" s="3"/>
      <c r="X7923" s="3"/>
      <c r="Y7923" s="3"/>
    </row>
    <row r="7924">
      <c r="A7924" s="3"/>
      <c r="B7924" s="3"/>
      <c r="C7924" s="3"/>
      <c r="D7924" s="3"/>
      <c r="E7924" s="3"/>
      <c r="F7924" s="3"/>
      <c r="G7924" s="3"/>
      <c r="H7924" s="3"/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  <c r="T7924" s="3"/>
      <c r="U7924" s="3"/>
      <c r="V7924" s="3"/>
      <c r="W7924" s="3"/>
      <c r="X7924" s="3"/>
      <c r="Y7924" s="3"/>
    </row>
    <row r="7925">
      <c r="A7925" s="3"/>
      <c r="B7925" s="3"/>
      <c r="C7925" s="3"/>
      <c r="D7925" s="3"/>
      <c r="E7925" s="3"/>
      <c r="F7925" s="3"/>
      <c r="G7925" s="3"/>
      <c r="H7925" s="3"/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  <c r="T7925" s="3"/>
      <c r="U7925" s="3"/>
      <c r="V7925" s="3"/>
      <c r="W7925" s="3"/>
      <c r="X7925" s="3"/>
      <c r="Y7925" s="3"/>
    </row>
    <row r="7926">
      <c r="A7926" s="3"/>
      <c r="B7926" s="3"/>
      <c r="C7926" s="3"/>
      <c r="D7926" s="3"/>
      <c r="E7926" s="3"/>
      <c r="F7926" s="3"/>
      <c r="G7926" s="3"/>
      <c r="H7926" s="3"/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  <c r="T7926" s="3"/>
      <c r="U7926" s="3"/>
      <c r="V7926" s="3"/>
      <c r="W7926" s="3"/>
      <c r="X7926" s="3"/>
      <c r="Y7926" s="3"/>
    </row>
    <row r="7927">
      <c r="A7927" s="3"/>
      <c r="B7927" s="3"/>
      <c r="C7927" s="3"/>
      <c r="D7927" s="3"/>
      <c r="E7927" s="3"/>
      <c r="F7927" s="3"/>
      <c r="G7927" s="3"/>
      <c r="H7927" s="3"/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  <c r="T7927" s="3"/>
      <c r="U7927" s="3"/>
      <c r="V7927" s="3"/>
      <c r="W7927" s="3"/>
      <c r="X7927" s="3"/>
      <c r="Y7927" s="3"/>
    </row>
    <row r="7928">
      <c r="A7928" s="3"/>
      <c r="B7928" s="3"/>
      <c r="C7928" s="3"/>
      <c r="D7928" s="3"/>
      <c r="E7928" s="3"/>
      <c r="F7928" s="3"/>
      <c r="G7928" s="3"/>
      <c r="H7928" s="3"/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  <c r="T7928" s="3"/>
      <c r="U7928" s="3"/>
      <c r="V7928" s="3"/>
      <c r="W7928" s="3"/>
      <c r="X7928" s="3"/>
      <c r="Y7928" s="3"/>
    </row>
    <row r="7929">
      <c r="A7929" s="3"/>
      <c r="B7929" s="3"/>
      <c r="C7929" s="3"/>
      <c r="D7929" s="3"/>
      <c r="E7929" s="3"/>
      <c r="F7929" s="3"/>
      <c r="G7929" s="3"/>
      <c r="H7929" s="3"/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  <c r="T7929" s="3"/>
      <c r="U7929" s="3"/>
      <c r="V7929" s="3"/>
      <c r="W7929" s="3"/>
      <c r="X7929" s="3"/>
      <c r="Y7929" s="3"/>
    </row>
    <row r="7930">
      <c r="A7930" s="3"/>
      <c r="B7930" s="3"/>
      <c r="C7930" s="3"/>
      <c r="D7930" s="3"/>
      <c r="E7930" s="3"/>
      <c r="F7930" s="3"/>
      <c r="G7930" s="3"/>
      <c r="H7930" s="3"/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  <c r="T7930" s="3"/>
      <c r="U7930" s="3"/>
      <c r="V7930" s="3"/>
      <c r="W7930" s="3"/>
      <c r="X7930" s="3"/>
      <c r="Y7930" s="3"/>
    </row>
    <row r="7931">
      <c r="A7931" s="3"/>
      <c r="B7931" s="3"/>
      <c r="C7931" s="3"/>
      <c r="D7931" s="3"/>
      <c r="E7931" s="3"/>
      <c r="F7931" s="3"/>
      <c r="G7931" s="3"/>
      <c r="H7931" s="3"/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  <c r="T7931" s="3"/>
      <c r="U7931" s="3"/>
      <c r="V7931" s="3"/>
      <c r="W7931" s="3"/>
      <c r="X7931" s="3"/>
      <c r="Y7931" s="3"/>
    </row>
    <row r="7932">
      <c r="A7932" s="3"/>
      <c r="B7932" s="3"/>
      <c r="C7932" s="3"/>
      <c r="D7932" s="3"/>
      <c r="E7932" s="3"/>
      <c r="F7932" s="3"/>
      <c r="G7932" s="3"/>
      <c r="H7932" s="3"/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  <c r="T7932" s="3"/>
      <c r="U7932" s="3"/>
      <c r="V7932" s="3"/>
      <c r="W7932" s="3"/>
      <c r="X7932" s="3"/>
      <c r="Y7932" s="3"/>
    </row>
    <row r="7933">
      <c r="A7933" s="3"/>
      <c r="B7933" s="3"/>
      <c r="C7933" s="3"/>
      <c r="D7933" s="3"/>
      <c r="E7933" s="3"/>
      <c r="F7933" s="3"/>
      <c r="G7933" s="3"/>
      <c r="H7933" s="3"/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  <c r="T7933" s="3"/>
      <c r="U7933" s="3"/>
      <c r="V7933" s="3"/>
      <c r="W7933" s="3"/>
      <c r="X7933" s="3"/>
      <c r="Y7933" s="3"/>
    </row>
    <row r="7934">
      <c r="A7934" s="3"/>
      <c r="B7934" s="3"/>
      <c r="C7934" s="3"/>
      <c r="D7934" s="3"/>
      <c r="E7934" s="3"/>
      <c r="F7934" s="3"/>
      <c r="G7934" s="3"/>
      <c r="H7934" s="3"/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  <c r="T7934" s="3"/>
      <c r="U7934" s="3"/>
      <c r="V7934" s="3"/>
      <c r="W7934" s="3"/>
      <c r="X7934" s="3"/>
      <c r="Y7934" s="3"/>
    </row>
    <row r="7935">
      <c r="A7935" s="3"/>
      <c r="B7935" s="3"/>
      <c r="C7935" s="3"/>
      <c r="D7935" s="3"/>
      <c r="E7935" s="3"/>
      <c r="F7935" s="3"/>
      <c r="G7935" s="3"/>
      <c r="H7935" s="3"/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  <c r="T7935" s="3"/>
      <c r="U7935" s="3"/>
      <c r="V7935" s="3"/>
      <c r="W7935" s="3"/>
      <c r="X7935" s="3"/>
      <c r="Y7935" s="3"/>
    </row>
    <row r="7936">
      <c r="A7936" s="3"/>
      <c r="B7936" s="3"/>
      <c r="C7936" s="3"/>
      <c r="D7936" s="3"/>
      <c r="E7936" s="3"/>
      <c r="F7936" s="3"/>
      <c r="G7936" s="3"/>
      <c r="H7936" s="3"/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  <c r="T7936" s="3"/>
      <c r="U7936" s="3"/>
      <c r="V7936" s="3"/>
      <c r="W7936" s="3"/>
      <c r="X7936" s="3"/>
      <c r="Y7936" s="3"/>
    </row>
    <row r="7937">
      <c r="A7937" s="3"/>
      <c r="B7937" s="3"/>
      <c r="C7937" s="3"/>
      <c r="D7937" s="3"/>
      <c r="E7937" s="3"/>
      <c r="F7937" s="3"/>
      <c r="G7937" s="3"/>
      <c r="H7937" s="3"/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  <c r="T7937" s="3"/>
      <c r="U7937" s="3"/>
      <c r="V7937" s="3"/>
      <c r="W7937" s="3"/>
      <c r="X7937" s="3"/>
      <c r="Y7937" s="3"/>
    </row>
    <row r="7938">
      <c r="A7938" s="3"/>
      <c r="B7938" s="3"/>
      <c r="C7938" s="3"/>
      <c r="D7938" s="3"/>
      <c r="E7938" s="3"/>
      <c r="F7938" s="3"/>
      <c r="G7938" s="3"/>
      <c r="H7938" s="3"/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  <c r="T7938" s="3"/>
      <c r="U7938" s="3"/>
      <c r="V7938" s="3"/>
      <c r="W7938" s="3"/>
      <c r="X7938" s="3"/>
      <c r="Y7938" s="3"/>
    </row>
    <row r="7939">
      <c r="A7939" s="3"/>
      <c r="B7939" s="3"/>
      <c r="C7939" s="3"/>
      <c r="D7939" s="3"/>
      <c r="E7939" s="3"/>
      <c r="F7939" s="3"/>
      <c r="G7939" s="3"/>
      <c r="H7939" s="3"/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  <c r="T7939" s="3"/>
      <c r="U7939" s="3"/>
      <c r="V7939" s="3"/>
      <c r="W7939" s="3"/>
      <c r="X7939" s="3"/>
      <c r="Y7939" s="3"/>
    </row>
    <row r="7940">
      <c r="A7940" s="3"/>
      <c r="B7940" s="3"/>
      <c r="C7940" s="3"/>
      <c r="D7940" s="3"/>
      <c r="E7940" s="3"/>
      <c r="F7940" s="3"/>
      <c r="G7940" s="3"/>
      <c r="H7940" s="3"/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  <c r="T7940" s="3"/>
      <c r="U7940" s="3"/>
      <c r="V7940" s="3"/>
      <c r="W7940" s="3"/>
      <c r="X7940" s="3"/>
      <c r="Y7940" s="3"/>
    </row>
    <row r="7941">
      <c r="A7941" s="3"/>
      <c r="B7941" s="3"/>
      <c r="C7941" s="3"/>
      <c r="D7941" s="3"/>
      <c r="E7941" s="3"/>
      <c r="F7941" s="3"/>
      <c r="G7941" s="3"/>
      <c r="H7941" s="3"/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  <c r="T7941" s="3"/>
      <c r="U7941" s="3"/>
      <c r="V7941" s="3"/>
      <c r="W7941" s="3"/>
      <c r="X7941" s="3"/>
      <c r="Y7941" s="3"/>
    </row>
    <row r="7942">
      <c r="A7942" s="3"/>
      <c r="B7942" s="3"/>
      <c r="C7942" s="3"/>
      <c r="D7942" s="3"/>
      <c r="E7942" s="3"/>
      <c r="F7942" s="3"/>
      <c r="G7942" s="3"/>
      <c r="H7942" s="3"/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  <c r="T7942" s="3"/>
      <c r="U7942" s="3"/>
      <c r="V7942" s="3"/>
      <c r="W7942" s="3"/>
      <c r="X7942" s="3"/>
      <c r="Y7942" s="3"/>
    </row>
    <row r="7943">
      <c r="A7943" s="3"/>
      <c r="B7943" s="3"/>
      <c r="C7943" s="3"/>
      <c r="D7943" s="3"/>
      <c r="E7943" s="3"/>
      <c r="F7943" s="3"/>
      <c r="G7943" s="3"/>
      <c r="H7943" s="3"/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  <c r="T7943" s="3"/>
      <c r="U7943" s="3"/>
      <c r="V7943" s="3"/>
      <c r="W7943" s="3"/>
      <c r="X7943" s="3"/>
      <c r="Y7943" s="3"/>
    </row>
    <row r="7944">
      <c r="A7944" s="3"/>
      <c r="B7944" s="3"/>
      <c r="C7944" s="3"/>
      <c r="D7944" s="3"/>
      <c r="E7944" s="3"/>
      <c r="F7944" s="3"/>
      <c r="G7944" s="3"/>
      <c r="H7944" s="3"/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  <c r="T7944" s="3"/>
      <c r="U7944" s="3"/>
      <c r="V7944" s="3"/>
      <c r="W7944" s="3"/>
      <c r="X7944" s="3"/>
      <c r="Y7944" s="3"/>
    </row>
    <row r="7945">
      <c r="A7945" s="3"/>
      <c r="B7945" s="3"/>
      <c r="C7945" s="3"/>
      <c r="D7945" s="3"/>
      <c r="E7945" s="3"/>
      <c r="F7945" s="3"/>
      <c r="G7945" s="3"/>
      <c r="H7945" s="3"/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  <c r="T7945" s="3"/>
      <c r="U7945" s="3"/>
      <c r="V7945" s="3"/>
      <c r="W7945" s="3"/>
      <c r="X7945" s="3"/>
      <c r="Y7945" s="3"/>
    </row>
    <row r="7946">
      <c r="A7946" s="3"/>
      <c r="B7946" s="3"/>
      <c r="C7946" s="3"/>
      <c r="D7946" s="3"/>
      <c r="E7946" s="3"/>
      <c r="F7946" s="3"/>
      <c r="G7946" s="3"/>
      <c r="H7946" s="3"/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  <c r="T7946" s="3"/>
      <c r="U7946" s="3"/>
      <c r="V7946" s="3"/>
      <c r="W7946" s="3"/>
      <c r="X7946" s="3"/>
      <c r="Y7946" s="3"/>
    </row>
    <row r="7947">
      <c r="A7947" s="3"/>
      <c r="B7947" s="3"/>
      <c r="C7947" s="3"/>
      <c r="D7947" s="3"/>
      <c r="E7947" s="3"/>
      <c r="F7947" s="3"/>
      <c r="G7947" s="3"/>
      <c r="H7947" s="3"/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  <c r="T7947" s="3"/>
      <c r="U7947" s="3"/>
      <c r="V7947" s="3"/>
      <c r="W7947" s="3"/>
      <c r="X7947" s="3"/>
      <c r="Y7947" s="3"/>
    </row>
    <row r="7948">
      <c r="A7948" s="3"/>
      <c r="B7948" s="3"/>
      <c r="C7948" s="3"/>
      <c r="D7948" s="3"/>
      <c r="E7948" s="3"/>
      <c r="F7948" s="3"/>
      <c r="G7948" s="3"/>
      <c r="H7948" s="3"/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  <c r="T7948" s="3"/>
      <c r="U7948" s="3"/>
      <c r="V7948" s="3"/>
      <c r="W7948" s="3"/>
      <c r="X7948" s="3"/>
      <c r="Y7948" s="3"/>
    </row>
    <row r="7949">
      <c r="A7949" s="3"/>
      <c r="B7949" s="3"/>
      <c r="C7949" s="3"/>
      <c r="D7949" s="3"/>
      <c r="E7949" s="3"/>
      <c r="F7949" s="3"/>
      <c r="G7949" s="3"/>
      <c r="H7949" s="3"/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  <c r="T7949" s="3"/>
      <c r="U7949" s="3"/>
      <c r="V7949" s="3"/>
      <c r="W7949" s="3"/>
      <c r="X7949" s="3"/>
      <c r="Y7949" s="3"/>
    </row>
    <row r="7950">
      <c r="A7950" s="3"/>
      <c r="B7950" s="3"/>
      <c r="C7950" s="3"/>
      <c r="D7950" s="3"/>
      <c r="E7950" s="3"/>
      <c r="F7950" s="3"/>
      <c r="G7950" s="3"/>
      <c r="H7950" s="3"/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  <c r="T7950" s="3"/>
      <c r="U7950" s="3"/>
      <c r="V7950" s="3"/>
      <c r="W7950" s="3"/>
      <c r="X7950" s="3"/>
      <c r="Y7950" s="3"/>
    </row>
    <row r="7951">
      <c r="A7951" s="3"/>
      <c r="B7951" s="3"/>
      <c r="C7951" s="3"/>
      <c r="D7951" s="3"/>
      <c r="E7951" s="3"/>
      <c r="F7951" s="3"/>
      <c r="G7951" s="3"/>
      <c r="H7951" s="3"/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  <c r="T7951" s="3"/>
      <c r="U7951" s="3"/>
      <c r="V7951" s="3"/>
      <c r="W7951" s="3"/>
      <c r="X7951" s="3"/>
      <c r="Y7951" s="3"/>
    </row>
    <row r="7952">
      <c r="A7952" s="3"/>
      <c r="B7952" s="3"/>
      <c r="C7952" s="3"/>
      <c r="D7952" s="3"/>
      <c r="E7952" s="3"/>
      <c r="F7952" s="3"/>
      <c r="G7952" s="3"/>
      <c r="H7952" s="3"/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  <c r="T7952" s="3"/>
      <c r="U7952" s="3"/>
      <c r="V7952" s="3"/>
      <c r="W7952" s="3"/>
      <c r="X7952" s="3"/>
      <c r="Y7952" s="3"/>
    </row>
    <row r="7953">
      <c r="A7953" s="3"/>
      <c r="B7953" s="3"/>
      <c r="C7953" s="3"/>
      <c r="D7953" s="3"/>
      <c r="E7953" s="3"/>
      <c r="F7953" s="3"/>
      <c r="G7953" s="3"/>
      <c r="H7953" s="3"/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  <c r="T7953" s="3"/>
      <c r="U7953" s="3"/>
      <c r="V7953" s="3"/>
      <c r="W7953" s="3"/>
      <c r="X7953" s="3"/>
      <c r="Y7953" s="3"/>
    </row>
    <row r="7954">
      <c r="A7954" s="3"/>
      <c r="B7954" s="3"/>
      <c r="C7954" s="3"/>
      <c r="D7954" s="3"/>
      <c r="E7954" s="3"/>
      <c r="F7954" s="3"/>
      <c r="G7954" s="3"/>
      <c r="H7954" s="3"/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  <c r="T7954" s="3"/>
      <c r="U7954" s="3"/>
      <c r="V7954" s="3"/>
      <c r="W7954" s="3"/>
      <c r="X7954" s="3"/>
      <c r="Y7954" s="3"/>
    </row>
    <row r="7955">
      <c r="A7955" s="3"/>
      <c r="B7955" s="3"/>
      <c r="C7955" s="3"/>
      <c r="D7955" s="3"/>
      <c r="E7955" s="3"/>
      <c r="F7955" s="3"/>
      <c r="G7955" s="3"/>
      <c r="H7955" s="3"/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  <c r="T7955" s="3"/>
      <c r="U7955" s="3"/>
      <c r="V7955" s="3"/>
      <c r="W7955" s="3"/>
      <c r="X7955" s="3"/>
      <c r="Y7955" s="3"/>
    </row>
    <row r="7956">
      <c r="A7956" s="3"/>
      <c r="B7956" s="3"/>
      <c r="C7956" s="3"/>
      <c r="D7956" s="3"/>
      <c r="E7956" s="3"/>
      <c r="F7956" s="3"/>
      <c r="G7956" s="3"/>
      <c r="H7956" s="3"/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  <c r="T7956" s="3"/>
      <c r="U7956" s="3"/>
      <c r="V7956" s="3"/>
      <c r="W7956" s="3"/>
      <c r="X7956" s="3"/>
      <c r="Y7956" s="3"/>
    </row>
    <row r="7957">
      <c r="A7957" s="3"/>
      <c r="B7957" s="3"/>
      <c r="C7957" s="3"/>
      <c r="D7957" s="3"/>
      <c r="E7957" s="3"/>
      <c r="F7957" s="3"/>
      <c r="G7957" s="3"/>
      <c r="H7957" s="3"/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  <c r="T7957" s="3"/>
      <c r="U7957" s="3"/>
      <c r="V7957" s="3"/>
      <c r="W7957" s="3"/>
      <c r="X7957" s="3"/>
      <c r="Y7957" s="3"/>
    </row>
    <row r="7958">
      <c r="A7958" s="3"/>
      <c r="B7958" s="3"/>
      <c r="C7958" s="3"/>
      <c r="D7958" s="3"/>
      <c r="E7958" s="3"/>
      <c r="F7958" s="3"/>
      <c r="G7958" s="3"/>
      <c r="H7958" s="3"/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  <c r="T7958" s="3"/>
      <c r="U7958" s="3"/>
      <c r="V7958" s="3"/>
      <c r="W7958" s="3"/>
      <c r="X7958" s="3"/>
      <c r="Y7958" s="3"/>
    </row>
    <row r="7959">
      <c r="A7959" s="3"/>
      <c r="B7959" s="3"/>
      <c r="C7959" s="3"/>
      <c r="D7959" s="3"/>
      <c r="E7959" s="3"/>
      <c r="F7959" s="3"/>
      <c r="G7959" s="3"/>
      <c r="H7959" s="3"/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  <c r="T7959" s="3"/>
      <c r="U7959" s="3"/>
      <c r="V7959" s="3"/>
      <c r="W7959" s="3"/>
      <c r="X7959" s="3"/>
      <c r="Y7959" s="3"/>
    </row>
    <row r="7960">
      <c r="A7960" s="3"/>
      <c r="B7960" s="3"/>
      <c r="C7960" s="3"/>
      <c r="D7960" s="3"/>
      <c r="E7960" s="3"/>
      <c r="F7960" s="3"/>
      <c r="G7960" s="3"/>
      <c r="H7960" s="3"/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  <c r="T7960" s="3"/>
      <c r="U7960" s="3"/>
      <c r="V7960" s="3"/>
      <c r="W7960" s="3"/>
      <c r="X7960" s="3"/>
      <c r="Y7960" s="3"/>
    </row>
    <row r="7961">
      <c r="A7961" s="3"/>
      <c r="B7961" s="3"/>
      <c r="C7961" s="3"/>
      <c r="D7961" s="3"/>
      <c r="E7961" s="3"/>
      <c r="F7961" s="3"/>
      <c r="G7961" s="3"/>
      <c r="H7961" s="3"/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  <c r="T7961" s="3"/>
      <c r="U7961" s="3"/>
      <c r="V7961" s="3"/>
      <c r="W7961" s="3"/>
      <c r="X7961" s="3"/>
      <c r="Y7961" s="3"/>
    </row>
    <row r="7962">
      <c r="A7962" s="3"/>
      <c r="B7962" s="3"/>
      <c r="C7962" s="3"/>
      <c r="D7962" s="3"/>
      <c r="E7962" s="3"/>
      <c r="F7962" s="3"/>
      <c r="G7962" s="3"/>
      <c r="H7962" s="3"/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  <c r="T7962" s="3"/>
      <c r="U7962" s="3"/>
      <c r="V7962" s="3"/>
      <c r="W7962" s="3"/>
      <c r="X7962" s="3"/>
      <c r="Y7962" s="3"/>
    </row>
    <row r="7963">
      <c r="A7963" s="3"/>
      <c r="B7963" s="3"/>
      <c r="C7963" s="3"/>
      <c r="D7963" s="3"/>
      <c r="E7963" s="3"/>
      <c r="F7963" s="3"/>
      <c r="G7963" s="3"/>
      <c r="H7963" s="3"/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  <c r="T7963" s="3"/>
      <c r="U7963" s="3"/>
      <c r="V7963" s="3"/>
      <c r="W7963" s="3"/>
      <c r="X7963" s="3"/>
      <c r="Y7963" s="3"/>
    </row>
    <row r="7964">
      <c r="A7964" s="3"/>
      <c r="B7964" s="3"/>
      <c r="C7964" s="3"/>
      <c r="D7964" s="3"/>
      <c r="E7964" s="3"/>
      <c r="F7964" s="3"/>
      <c r="G7964" s="3"/>
      <c r="H7964" s="3"/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  <c r="T7964" s="3"/>
      <c r="U7964" s="3"/>
      <c r="V7964" s="3"/>
      <c r="W7964" s="3"/>
      <c r="X7964" s="3"/>
      <c r="Y7964" s="3"/>
    </row>
    <row r="7965">
      <c r="A7965" s="3"/>
      <c r="B7965" s="3"/>
      <c r="C7965" s="3"/>
      <c r="D7965" s="3"/>
      <c r="E7965" s="3"/>
      <c r="F7965" s="3"/>
      <c r="G7965" s="3"/>
      <c r="H7965" s="3"/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  <c r="T7965" s="3"/>
      <c r="U7965" s="3"/>
      <c r="V7965" s="3"/>
      <c r="W7965" s="3"/>
      <c r="X7965" s="3"/>
      <c r="Y7965" s="3"/>
    </row>
    <row r="7966">
      <c r="A7966" s="3"/>
      <c r="B7966" s="3"/>
      <c r="C7966" s="3"/>
      <c r="D7966" s="3"/>
      <c r="E7966" s="3"/>
      <c r="F7966" s="3"/>
      <c r="G7966" s="3"/>
      <c r="H7966" s="3"/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  <c r="T7966" s="3"/>
      <c r="U7966" s="3"/>
      <c r="V7966" s="3"/>
      <c r="W7966" s="3"/>
      <c r="X7966" s="3"/>
      <c r="Y7966" s="3"/>
    </row>
    <row r="7967">
      <c r="A7967" s="3"/>
      <c r="B7967" s="3"/>
      <c r="C7967" s="3"/>
      <c r="D7967" s="3"/>
      <c r="E7967" s="3"/>
      <c r="F7967" s="3"/>
      <c r="G7967" s="3"/>
      <c r="H7967" s="3"/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  <c r="T7967" s="3"/>
      <c r="U7967" s="3"/>
      <c r="V7967" s="3"/>
      <c r="W7967" s="3"/>
      <c r="X7967" s="3"/>
      <c r="Y7967" s="3"/>
    </row>
    <row r="7968">
      <c r="A7968" s="3"/>
      <c r="B7968" s="3"/>
      <c r="C7968" s="3"/>
      <c r="D7968" s="3"/>
      <c r="E7968" s="3"/>
      <c r="F7968" s="3"/>
      <c r="G7968" s="3"/>
      <c r="H7968" s="3"/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  <c r="T7968" s="3"/>
      <c r="U7968" s="3"/>
      <c r="V7968" s="3"/>
      <c r="W7968" s="3"/>
      <c r="X7968" s="3"/>
      <c r="Y7968" s="3"/>
    </row>
    <row r="7969">
      <c r="A7969" s="3"/>
      <c r="B7969" s="3"/>
      <c r="C7969" s="3"/>
      <c r="D7969" s="3"/>
      <c r="E7969" s="3"/>
      <c r="F7969" s="3"/>
      <c r="G7969" s="3"/>
      <c r="H7969" s="3"/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  <c r="T7969" s="3"/>
      <c r="U7969" s="3"/>
      <c r="V7969" s="3"/>
      <c r="W7969" s="3"/>
      <c r="X7969" s="3"/>
      <c r="Y7969" s="3"/>
    </row>
    <row r="7970">
      <c r="A7970" s="3"/>
      <c r="B7970" s="3"/>
      <c r="C7970" s="3"/>
      <c r="D7970" s="3"/>
      <c r="E7970" s="3"/>
      <c r="F7970" s="3"/>
      <c r="G7970" s="3"/>
      <c r="H7970" s="3"/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  <c r="T7970" s="3"/>
      <c r="U7970" s="3"/>
      <c r="V7970" s="3"/>
      <c r="W7970" s="3"/>
      <c r="X7970" s="3"/>
      <c r="Y7970" s="3"/>
    </row>
    <row r="7971">
      <c r="A7971" s="3"/>
      <c r="B7971" s="3"/>
      <c r="C7971" s="3"/>
      <c r="D7971" s="3"/>
      <c r="E7971" s="3"/>
      <c r="F7971" s="3"/>
      <c r="G7971" s="3"/>
      <c r="H7971" s="3"/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  <c r="T7971" s="3"/>
      <c r="U7971" s="3"/>
      <c r="V7971" s="3"/>
      <c r="W7971" s="3"/>
      <c r="X7971" s="3"/>
      <c r="Y7971" s="3"/>
    </row>
    <row r="7972">
      <c r="A7972" s="3"/>
      <c r="B7972" s="3"/>
      <c r="C7972" s="3"/>
      <c r="D7972" s="3"/>
      <c r="E7972" s="3"/>
      <c r="F7972" s="3"/>
      <c r="G7972" s="3"/>
      <c r="H7972" s="3"/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  <c r="T7972" s="3"/>
      <c r="U7972" s="3"/>
      <c r="V7972" s="3"/>
      <c r="W7972" s="3"/>
      <c r="X7972" s="3"/>
      <c r="Y7972" s="3"/>
    </row>
    <row r="7973">
      <c r="A7973" s="3"/>
      <c r="B7973" s="3"/>
      <c r="C7973" s="3"/>
      <c r="D7973" s="3"/>
      <c r="E7973" s="3"/>
      <c r="F7973" s="3"/>
      <c r="G7973" s="3"/>
      <c r="H7973" s="3"/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  <c r="T7973" s="3"/>
      <c r="U7973" s="3"/>
      <c r="V7973" s="3"/>
      <c r="W7973" s="3"/>
      <c r="X7973" s="3"/>
      <c r="Y7973" s="3"/>
    </row>
    <row r="7974">
      <c r="A7974" s="3"/>
      <c r="B7974" s="3"/>
      <c r="C7974" s="3"/>
      <c r="D7974" s="3"/>
      <c r="E7974" s="3"/>
      <c r="F7974" s="3"/>
      <c r="G7974" s="3"/>
      <c r="H7974" s="3"/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  <c r="T7974" s="3"/>
      <c r="U7974" s="3"/>
      <c r="V7974" s="3"/>
      <c r="W7974" s="3"/>
      <c r="X7974" s="3"/>
      <c r="Y7974" s="3"/>
    </row>
    <row r="7975">
      <c r="A7975" s="3"/>
      <c r="B7975" s="3"/>
      <c r="C7975" s="3"/>
      <c r="D7975" s="3"/>
      <c r="E7975" s="3"/>
      <c r="F7975" s="3"/>
      <c r="G7975" s="3"/>
      <c r="H7975" s="3"/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  <c r="T7975" s="3"/>
      <c r="U7975" s="3"/>
      <c r="V7975" s="3"/>
      <c r="W7975" s="3"/>
      <c r="X7975" s="3"/>
      <c r="Y7975" s="3"/>
    </row>
    <row r="7976">
      <c r="A7976" s="3"/>
      <c r="B7976" s="3"/>
      <c r="C7976" s="3"/>
      <c r="D7976" s="3"/>
      <c r="E7976" s="3"/>
      <c r="F7976" s="3"/>
      <c r="G7976" s="3"/>
      <c r="H7976" s="3"/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  <c r="T7976" s="3"/>
      <c r="U7976" s="3"/>
      <c r="V7976" s="3"/>
      <c r="W7976" s="3"/>
      <c r="X7976" s="3"/>
      <c r="Y7976" s="3"/>
    </row>
    <row r="7977">
      <c r="A7977" s="3"/>
      <c r="B7977" s="3"/>
      <c r="C7977" s="3"/>
      <c r="D7977" s="3"/>
      <c r="E7977" s="3"/>
      <c r="F7977" s="3"/>
      <c r="G7977" s="3"/>
      <c r="H7977" s="3"/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  <c r="T7977" s="3"/>
      <c r="U7977" s="3"/>
      <c r="V7977" s="3"/>
      <c r="W7977" s="3"/>
      <c r="X7977" s="3"/>
      <c r="Y7977" s="3"/>
    </row>
    <row r="7978">
      <c r="A7978" s="3"/>
      <c r="B7978" s="3"/>
      <c r="C7978" s="3"/>
      <c r="D7978" s="3"/>
      <c r="E7978" s="3"/>
      <c r="F7978" s="3"/>
      <c r="G7978" s="3"/>
      <c r="H7978" s="3"/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  <c r="T7978" s="3"/>
      <c r="U7978" s="3"/>
      <c r="V7978" s="3"/>
      <c r="W7978" s="3"/>
      <c r="X7978" s="3"/>
      <c r="Y7978" s="3"/>
    </row>
    <row r="7979">
      <c r="A7979" s="3"/>
      <c r="B7979" s="3"/>
      <c r="C7979" s="3"/>
      <c r="D7979" s="3"/>
      <c r="E7979" s="3"/>
      <c r="F7979" s="3"/>
      <c r="G7979" s="3"/>
      <c r="H7979" s="3"/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  <c r="T7979" s="3"/>
      <c r="U7979" s="3"/>
      <c r="V7979" s="3"/>
      <c r="W7979" s="3"/>
      <c r="X7979" s="3"/>
      <c r="Y7979" s="3"/>
    </row>
    <row r="7980">
      <c r="A7980" s="3"/>
      <c r="B7980" s="3"/>
      <c r="C7980" s="3"/>
      <c r="D7980" s="3"/>
      <c r="E7980" s="3"/>
      <c r="F7980" s="3"/>
      <c r="G7980" s="3"/>
      <c r="H7980" s="3"/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  <c r="T7980" s="3"/>
      <c r="U7980" s="3"/>
      <c r="V7980" s="3"/>
      <c r="W7980" s="3"/>
      <c r="X7980" s="3"/>
      <c r="Y7980" s="3"/>
    </row>
    <row r="7981">
      <c r="A7981" s="3"/>
      <c r="B7981" s="3"/>
      <c r="C7981" s="3"/>
      <c r="D7981" s="3"/>
      <c r="E7981" s="3"/>
      <c r="F7981" s="3"/>
      <c r="G7981" s="3"/>
      <c r="H7981" s="3"/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  <c r="T7981" s="3"/>
      <c r="U7981" s="3"/>
      <c r="V7981" s="3"/>
      <c r="W7981" s="3"/>
      <c r="X7981" s="3"/>
      <c r="Y7981" s="3"/>
    </row>
    <row r="7982">
      <c r="A7982" s="3"/>
      <c r="B7982" s="3"/>
      <c r="C7982" s="3"/>
      <c r="D7982" s="3"/>
      <c r="E7982" s="3"/>
      <c r="F7982" s="3"/>
      <c r="G7982" s="3"/>
      <c r="H7982" s="3"/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  <c r="T7982" s="3"/>
      <c r="U7982" s="3"/>
      <c r="V7982" s="3"/>
      <c r="W7982" s="3"/>
      <c r="X7982" s="3"/>
      <c r="Y7982" s="3"/>
    </row>
    <row r="7983">
      <c r="A7983" s="3"/>
      <c r="B7983" s="3"/>
      <c r="C7983" s="3"/>
      <c r="D7983" s="3"/>
      <c r="E7983" s="3"/>
      <c r="F7983" s="3"/>
      <c r="G7983" s="3"/>
      <c r="H7983" s="3"/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  <c r="T7983" s="3"/>
      <c r="U7983" s="3"/>
      <c r="V7983" s="3"/>
      <c r="W7983" s="3"/>
      <c r="X7983" s="3"/>
      <c r="Y7983" s="3"/>
    </row>
    <row r="7984">
      <c r="A7984" s="3"/>
      <c r="B7984" s="3"/>
      <c r="C7984" s="3"/>
      <c r="D7984" s="3"/>
      <c r="E7984" s="3"/>
      <c r="F7984" s="3"/>
      <c r="G7984" s="3"/>
      <c r="H7984" s="3"/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  <c r="T7984" s="3"/>
      <c r="U7984" s="3"/>
      <c r="V7984" s="3"/>
      <c r="W7984" s="3"/>
      <c r="X7984" s="3"/>
      <c r="Y7984" s="3"/>
    </row>
    <row r="7985">
      <c r="A7985" s="3"/>
      <c r="B7985" s="3"/>
      <c r="C7985" s="3"/>
      <c r="D7985" s="3"/>
      <c r="E7985" s="3"/>
      <c r="F7985" s="3"/>
      <c r="G7985" s="3"/>
      <c r="H7985" s="3"/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  <c r="T7985" s="3"/>
      <c r="U7985" s="3"/>
      <c r="V7985" s="3"/>
      <c r="W7985" s="3"/>
      <c r="X7985" s="3"/>
      <c r="Y7985" s="3"/>
    </row>
    <row r="7986">
      <c r="A7986" s="3"/>
      <c r="B7986" s="3"/>
      <c r="C7986" s="3"/>
      <c r="D7986" s="3"/>
      <c r="E7986" s="3"/>
      <c r="F7986" s="3"/>
      <c r="G7986" s="3"/>
      <c r="H7986" s="3"/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  <c r="T7986" s="3"/>
      <c r="U7986" s="3"/>
      <c r="V7986" s="3"/>
      <c r="W7986" s="3"/>
      <c r="X7986" s="3"/>
      <c r="Y7986" s="3"/>
    </row>
    <row r="7987">
      <c r="A7987" s="3"/>
      <c r="B7987" s="3"/>
      <c r="C7987" s="3"/>
      <c r="D7987" s="3"/>
      <c r="E7987" s="3"/>
      <c r="F7987" s="3"/>
      <c r="G7987" s="3"/>
      <c r="H7987" s="3"/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  <c r="T7987" s="3"/>
      <c r="U7987" s="3"/>
      <c r="V7987" s="3"/>
      <c r="W7987" s="3"/>
      <c r="X7987" s="3"/>
      <c r="Y7987" s="3"/>
    </row>
    <row r="7988">
      <c r="A7988" s="3"/>
      <c r="B7988" s="3"/>
      <c r="C7988" s="3"/>
      <c r="D7988" s="3"/>
      <c r="E7988" s="3"/>
      <c r="F7988" s="3"/>
      <c r="G7988" s="3"/>
      <c r="H7988" s="3"/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  <c r="T7988" s="3"/>
      <c r="U7988" s="3"/>
      <c r="V7988" s="3"/>
      <c r="W7988" s="3"/>
      <c r="X7988" s="3"/>
      <c r="Y7988" s="3"/>
    </row>
    <row r="7989">
      <c r="A7989" s="3"/>
      <c r="B7989" s="3"/>
      <c r="C7989" s="3"/>
      <c r="D7989" s="3"/>
      <c r="E7989" s="3"/>
      <c r="F7989" s="3"/>
      <c r="G7989" s="3"/>
      <c r="H7989" s="3"/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  <c r="T7989" s="3"/>
      <c r="U7989" s="3"/>
      <c r="V7989" s="3"/>
      <c r="W7989" s="3"/>
      <c r="X7989" s="3"/>
      <c r="Y7989" s="3"/>
    </row>
    <row r="7990">
      <c r="A7990" s="3"/>
      <c r="B7990" s="3"/>
      <c r="C7990" s="3"/>
      <c r="D7990" s="3"/>
      <c r="E7990" s="3"/>
      <c r="F7990" s="3"/>
      <c r="G7990" s="3"/>
      <c r="H7990" s="3"/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  <c r="T7990" s="3"/>
      <c r="U7990" s="3"/>
      <c r="V7990" s="3"/>
      <c r="W7990" s="3"/>
      <c r="X7990" s="3"/>
      <c r="Y7990" s="3"/>
    </row>
    <row r="7991">
      <c r="A7991" s="3"/>
      <c r="B7991" s="3"/>
      <c r="C7991" s="3"/>
      <c r="D7991" s="3"/>
      <c r="E7991" s="3"/>
      <c r="F7991" s="3"/>
      <c r="G7991" s="3"/>
      <c r="H7991" s="3"/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  <c r="T7991" s="3"/>
      <c r="U7991" s="3"/>
      <c r="V7991" s="3"/>
      <c r="W7991" s="3"/>
      <c r="X7991" s="3"/>
      <c r="Y7991" s="3"/>
    </row>
    <row r="7992">
      <c r="A7992" s="3"/>
      <c r="B7992" s="3"/>
      <c r="C7992" s="3"/>
      <c r="D7992" s="3"/>
      <c r="E7992" s="3"/>
      <c r="F7992" s="3"/>
      <c r="G7992" s="3"/>
      <c r="H7992" s="3"/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  <c r="T7992" s="3"/>
      <c r="U7992" s="3"/>
      <c r="V7992" s="3"/>
      <c r="W7992" s="3"/>
      <c r="X7992" s="3"/>
      <c r="Y7992" s="3"/>
    </row>
    <row r="7993">
      <c r="A7993" s="3"/>
      <c r="B7993" s="3"/>
      <c r="C7993" s="3"/>
      <c r="D7993" s="3"/>
      <c r="E7993" s="3"/>
      <c r="F7993" s="3"/>
      <c r="G7993" s="3"/>
      <c r="H7993" s="3"/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  <c r="T7993" s="3"/>
      <c r="U7993" s="3"/>
      <c r="V7993" s="3"/>
      <c r="W7993" s="3"/>
      <c r="X7993" s="3"/>
      <c r="Y7993" s="3"/>
    </row>
    <row r="7994">
      <c r="A7994" s="3"/>
      <c r="B7994" s="3"/>
      <c r="C7994" s="3"/>
      <c r="D7994" s="3"/>
      <c r="E7994" s="3"/>
      <c r="F7994" s="3"/>
      <c r="G7994" s="3"/>
      <c r="H7994" s="3"/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  <c r="T7994" s="3"/>
      <c r="U7994" s="3"/>
      <c r="V7994" s="3"/>
      <c r="W7994" s="3"/>
      <c r="X7994" s="3"/>
      <c r="Y7994" s="3"/>
    </row>
    <row r="7995">
      <c r="A7995" s="3"/>
      <c r="B7995" s="3"/>
      <c r="C7995" s="3"/>
      <c r="D7995" s="3"/>
      <c r="E7995" s="3"/>
      <c r="F7995" s="3"/>
      <c r="G7995" s="3"/>
      <c r="H7995" s="3"/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  <c r="T7995" s="3"/>
      <c r="U7995" s="3"/>
      <c r="V7995" s="3"/>
      <c r="W7995" s="3"/>
      <c r="X7995" s="3"/>
      <c r="Y7995" s="3"/>
    </row>
    <row r="7996">
      <c r="A7996" s="3"/>
      <c r="B7996" s="3"/>
      <c r="C7996" s="3"/>
      <c r="D7996" s="3"/>
      <c r="E7996" s="3"/>
      <c r="F7996" s="3"/>
      <c r="G7996" s="3"/>
      <c r="H7996" s="3"/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  <c r="T7996" s="3"/>
      <c r="U7996" s="3"/>
      <c r="V7996" s="3"/>
      <c r="W7996" s="3"/>
      <c r="X7996" s="3"/>
      <c r="Y7996" s="3"/>
    </row>
    <row r="7997">
      <c r="A7997" s="3"/>
      <c r="B7997" s="3"/>
      <c r="C7997" s="3"/>
      <c r="D7997" s="3"/>
      <c r="E7997" s="3"/>
      <c r="F7997" s="3"/>
      <c r="G7997" s="3"/>
      <c r="H7997" s="3"/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  <c r="T7997" s="3"/>
      <c r="U7997" s="3"/>
      <c r="V7997" s="3"/>
      <c r="W7997" s="3"/>
      <c r="X7997" s="3"/>
      <c r="Y7997" s="3"/>
    </row>
    <row r="7998">
      <c r="A7998" s="3"/>
      <c r="B7998" s="3"/>
      <c r="C7998" s="3"/>
      <c r="D7998" s="3"/>
      <c r="E7998" s="3"/>
      <c r="F7998" s="3"/>
      <c r="G7998" s="3"/>
      <c r="H7998" s="3"/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  <c r="T7998" s="3"/>
      <c r="U7998" s="3"/>
      <c r="V7998" s="3"/>
      <c r="W7998" s="3"/>
      <c r="X7998" s="3"/>
      <c r="Y7998" s="3"/>
    </row>
    <row r="7999">
      <c r="A7999" s="3"/>
      <c r="B7999" s="3"/>
      <c r="C7999" s="3"/>
      <c r="D7999" s="3"/>
      <c r="E7999" s="3"/>
      <c r="F7999" s="3"/>
      <c r="G7999" s="3"/>
      <c r="H7999" s="3"/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  <c r="T7999" s="3"/>
      <c r="U7999" s="3"/>
      <c r="V7999" s="3"/>
      <c r="W7999" s="3"/>
      <c r="X7999" s="3"/>
      <c r="Y7999" s="3"/>
    </row>
    <row r="8000">
      <c r="A8000" s="3"/>
      <c r="B8000" s="3"/>
      <c r="C8000" s="3"/>
      <c r="D8000" s="3"/>
      <c r="E8000" s="3"/>
      <c r="F8000" s="3"/>
      <c r="G8000" s="3"/>
      <c r="H8000" s="3"/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  <c r="T8000" s="3"/>
      <c r="U8000" s="3"/>
      <c r="V8000" s="3"/>
      <c r="W8000" s="3"/>
      <c r="X8000" s="3"/>
      <c r="Y8000" s="3"/>
    </row>
    <row r="8001">
      <c r="A8001" s="3"/>
      <c r="B8001" s="3"/>
      <c r="C8001" s="3"/>
      <c r="D8001" s="3"/>
      <c r="E8001" s="3"/>
      <c r="F8001" s="3"/>
      <c r="G8001" s="3"/>
      <c r="H8001" s="3"/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  <c r="T8001" s="3"/>
      <c r="U8001" s="3"/>
      <c r="V8001" s="3"/>
      <c r="W8001" s="3"/>
      <c r="X8001" s="3"/>
      <c r="Y8001" s="3"/>
    </row>
    <row r="8002">
      <c r="A8002" s="3"/>
      <c r="B8002" s="3"/>
      <c r="C8002" s="3"/>
      <c r="D8002" s="3"/>
      <c r="E8002" s="3"/>
      <c r="F8002" s="3"/>
      <c r="G8002" s="3"/>
      <c r="H8002" s="3"/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  <c r="T8002" s="3"/>
      <c r="U8002" s="3"/>
      <c r="V8002" s="3"/>
      <c r="W8002" s="3"/>
      <c r="X8002" s="3"/>
      <c r="Y8002" s="3"/>
    </row>
    <row r="8003">
      <c r="A8003" s="3"/>
      <c r="B8003" s="3"/>
      <c r="C8003" s="3"/>
      <c r="D8003" s="3"/>
      <c r="E8003" s="3"/>
      <c r="F8003" s="3"/>
      <c r="G8003" s="3"/>
      <c r="H8003" s="3"/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  <c r="T8003" s="3"/>
      <c r="U8003" s="3"/>
      <c r="V8003" s="3"/>
      <c r="W8003" s="3"/>
      <c r="X8003" s="3"/>
      <c r="Y8003" s="3"/>
    </row>
    <row r="8004">
      <c r="A8004" s="3"/>
      <c r="B8004" s="3"/>
      <c r="C8004" s="3"/>
      <c r="D8004" s="3"/>
      <c r="E8004" s="3"/>
      <c r="F8004" s="3"/>
      <c r="G8004" s="3"/>
      <c r="H8004" s="3"/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  <c r="T8004" s="3"/>
      <c r="U8004" s="3"/>
      <c r="V8004" s="3"/>
      <c r="W8004" s="3"/>
      <c r="X8004" s="3"/>
      <c r="Y8004" s="3"/>
    </row>
    <row r="8005">
      <c r="A8005" s="3"/>
      <c r="B8005" s="3"/>
      <c r="C8005" s="3"/>
      <c r="D8005" s="3"/>
      <c r="E8005" s="3"/>
      <c r="F8005" s="3"/>
      <c r="G8005" s="3"/>
      <c r="H8005" s="3"/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  <c r="T8005" s="3"/>
      <c r="U8005" s="3"/>
      <c r="V8005" s="3"/>
      <c r="W8005" s="3"/>
      <c r="X8005" s="3"/>
      <c r="Y8005" s="3"/>
    </row>
    <row r="8006">
      <c r="A8006" s="3"/>
      <c r="B8006" s="3"/>
      <c r="C8006" s="3"/>
      <c r="D8006" s="3"/>
      <c r="E8006" s="3"/>
      <c r="F8006" s="3"/>
      <c r="G8006" s="3"/>
      <c r="H8006" s="3"/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  <c r="T8006" s="3"/>
      <c r="U8006" s="3"/>
      <c r="V8006" s="3"/>
      <c r="W8006" s="3"/>
      <c r="X8006" s="3"/>
      <c r="Y8006" s="3"/>
    </row>
    <row r="8007">
      <c r="A8007" s="3"/>
      <c r="B8007" s="3"/>
      <c r="C8007" s="3"/>
      <c r="D8007" s="3"/>
      <c r="E8007" s="3"/>
      <c r="F8007" s="3"/>
      <c r="G8007" s="3"/>
      <c r="H8007" s="3"/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  <c r="T8007" s="3"/>
      <c r="U8007" s="3"/>
      <c r="V8007" s="3"/>
      <c r="W8007" s="3"/>
      <c r="X8007" s="3"/>
      <c r="Y8007" s="3"/>
    </row>
    <row r="8008">
      <c r="A8008" s="3"/>
      <c r="B8008" s="3"/>
      <c r="C8008" s="3"/>
      <c r="D8008" s="3"/>
      <c r="E8008" s="3"/>
      <c r="F8008" s="3"/>
      <c r="G8008" s="3"/>
      <c r="H8008" s="3"/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  <c r="T8008" s="3"/>
      <c r="U8008" s="3"/>
      <c r="V8008" s="3"/>
      <c r="W8008" s="3"/>
      <c r="X8008" s="3"/>
      <c r="Y8008" s="3"/>
    </row>
    <row r="8009">
      <c r="A8009" s="3"/>
      <c r="B8009" s="3"/>
      <c r="C8009" s="3"/>
      <c r="D8009" s="3"/>
      <c r="E8009" s="3"/>
      <c r="F8009" s="3"/>
      <c r="G8009" s="3"/>
      <c r="H8009" s="3"/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  <c r="T8009" s="3"/>
      <c r="U8009" s="3"/>
      <c r="V8009" s="3"/>
      <c r="W8009" s="3"/>
      <c r="X8009" s="3"/>
      <c r="Y8009" s="3"/>
    </row>
    <row r="8010">
      <c r="A8010" s="3"/>
      <c r="B8010" s="3"/>
      <c r="C8010" s="3"/>
      <c r="D8010" s="3"/>
      <c r="E8010" s="3"/>
      <c r="F8010" s="3"/>
      <c r="G8010" s="3"/>
      <c r="H8010" s="3"/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  <c r="T8010" s="3"/>
      <c r="U8010" s="3"/>
      <c r="V8010" s="3"/>
      <c r="W8010" s="3"/>
      <c r="X8010" s="3"/>
      <c r="Y8010" s="3"/>
    </row>
    <row r="8011">
      <c r="A8011" s="3"/>
      <c r="B8011" s="3"/>
      <c r="C8011" s="3"/>
      <c r="D8011" s="3"/>
      <c r="E8011" s="3"/>
      <c r="F8011" s="3"/>
      <c r="G8011" s="3"/>
      <c r="H8011" s="3"/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  <c r="T8011" s="3"/>
      <c r="U8011" s="3"/>
      <c r="V8011" s="3"/>
      <c r="W8011" s="3"/>
      <c r="X8011" s="3"/>
      <c r="Y8011" s="3"/>
    </row>
    <row r="8012">
      <c r="A8012" s="3"/>
      <c r="B8012" s="3"/>
      <c r="C8012" s="3"/>
      <c r="D8012" s="3"/>
      <c r="E8012" s="3"/>
      <c r="F8012" s="3"/>
      <c r="G8012" s="3"/>
      <c r="H8012" s="3"/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  <c r="T8012" s="3"/>
      <c r="U8012" s="3"/>
      <c r="V8012" s="3"/>
      <c r="W8012" s="3"/>
      <c r="X8012" s="3"/>
      <c r="Y8012" s="3"/>
    </row>
    <row r="8013">
      <c r="A8013" s="3"/>
      <c r="B8013" s="3"/>
      <c r="C8013" s="3"/>
      <c r="D8013" s="3"/>
      <c r="E8013" s="3"/>
      <c r="F8013" s="3"/>
      <c r="G8013" s="3"/>
      <c r="H8013" s="3"/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  <c r="T8013" s="3"/>
      <c r="U8013" s="3"/>
      <c r="V8013" s="3"/>
      <c r="W8013" s="3"/>
      <c r="X8013" s="3"/>
      <c r="Y8013" s="3"/>
    </row>
    <row r="8014">
      <c r="A8014" s="3"/>
      <c r="B8014" s="3"/>
      <c r="C8014" s="3"/>
      <c r="D8014" s="3"/>
      <c r="E8014" s="3"/>
      <c r="F8014" s="3"/>
      <c r="G8014" s="3"/>
      <c r="H8014" s="3"/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  <c r="T8014" s="3"/>
      <c r="U8014" s="3"/>
      <c r="V8014" s="3"/>
      <c r="W8014" s="3"/>
      <c r="X8014" s="3"/>
      <c r="Y8014" s="3"/>
    </row>
    <row r="8015">
      <c r="A8015" s="3"/>
      <c r="B8015" s="3"/>
      <c r="C8015" s="3"/>
      <c r="D8015" s="3"/>
      <c r="E8015" s="3"/>
      <c r="F8015" s="3"/>
      <c r="G8015" s="3"/>
      <c r="H8015" s="3"/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  <c r="T8015" s="3"/>
      <c r="U8015" s="3"/>
      <c r="V8015" s="3"/>
      <c r="W8015" s="3"/>
      <c r="X8015" s="3"/>
      <c r="Y8015" s="3"/>
    </row>
    <row r="8016">
      <c r="A8016" s="3"/>
      <c r="B8016" s="3"/>
      <c r="C8016" s="3"/>
      <c r="D8016" s="3"/>
      <c r="E8016" s="3"/>
      <c r="F8016" s="3"/>
      <c r="G8016" s="3"/>
      <c r="H8016" s="3"/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  <c r="T8016" s="3"/>
      <c r="U8016" s="3"/>
      <c r="V8016" s="3"/>
      <c r="W8016" s="3"/>
      <c r="X8016" s="3"/>
      <c r="Y8016" s="3"/>
    </row>
    <row r="8017">
      <c r="A8017" s="3"/>
      <c r="B8017" s="3"/>
      <c r="C8017" s="3"/>
      <c r="D8017" s="3"/>
      <c r="E8017" s="3"/>
      <c r="F8017" s="3"/>
      <c r="G8017" s="3"/>
      <c r="H8017" s="3"/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  <c r="T8017" s="3"/>
      <c r="U8017" s="3"/>
      <c r="V8017" s="3"/>
      <c r="W8017" s="3"/>
      <c r="X8017" s="3"/>
      <c r="Y8017" s="3"/>
    </row>
    <row r="8018">
      <c r="A8018" s="3"/>
      <c r="B8018" s="3"/>
      <c r="C8018" s="3"/>
      <c r="D8018" s="3"/>
      <c r="E8018" s="3"/>
      <c r="F8018" s="3"/>
      <c r="G8018" s="3"/>
      <c r="H8018" s="3"/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  <c r="T8018" s="3"/>
      <c r="U8018" s="3"/>
      <c r="V8018" s="3"/>
      <c r="W8018" s="3"/>
      <c r="X8018" s="3"/>
      <c r="Y8018" s="3"/>
    </row>
    <row r="8019">
      <c r="A8019" s="3"/>
      <c r="B8019" s="3"/>
      <c r="C8019" s="3"/>
      <c r="D8019" s="3"/>
      <c r="E8019" s="3"/>
      <c r="F8019" s="3"/>
      <c r="G8019" s="3"/>
      <c r="H8019" s="3"/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  <c r="T8019" s="3"/>
      <c r="U8019" s="3"/>
      <c r="V8019" s="3"/>
      <c r="W8019" s="3"/>
      <c r="X8019" s="3"/>
      <c r="Y8019" s="3"/>
    </row>
    <row r="8020">
      <c r="A8020" s="3"/>
      <c r="B8020" s="3"/>
      <c r="C8020" s="3"/>
      <c r="D8020" s="3"/>
      <c r="E8020" s="3"/>
      <c r="F8020" s="3"/>
      <c r="G8020" s="3"/>
      <c r="H8020" s="3"/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  <c r="T8020" s="3"/>
      <c r="U8020" s="3"/>
      <c r="V8020" s="3"/>
      <c r="W8020" s="3"/>
      <c r="X8020" s="3"/>
      <c r="Y8020" s="3"/>
    </row>
    <row r="8021">
      <c r="A8021" s="3"/>
      <c r="B8021" s="3"/>
      <c r="C8021" s="3"/>
      <c r="D8021" s="3"/>
      <c r="E8021" s="3"/>
      <c r="F8021" s="3"/>
      <c r="G8021" s="3"/>
      <c r="H8021" s="3"/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  <c r="T8021" s="3"/>
      <c r="U8021" s="3"/>
      <c r="V8021" s="3"/>
      <c r="W8021" s="3"/>
      <c r="X8021" s="3"/>
      <c r="Y8021" s="3"/>
    </row>
    <row r="8022">
      <c r="A8022" s="3"/>
      <c r="B8022" s="3"/>
      <c r="C8022" s="3"/>
      <c r="D8022" s="3"/>
      <c r="E8022" s="3"/>
      <c r="F8022" s="3"/>
      <c r="G8022" s="3"/>
      <c r="H8022" s="3"/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  <c r="T8022" s="3"/>
      <c r="U8022" s="3"/>
      <c r="V8022" s="3"/>
      <c r="W8022" s="3"/>
      <c r="X8022" s="3"/>
      <c r="Y8022" s="3"/>
    </row>
    <row r="8023">
      <c r="A8023" s="3"/>
      <c r="B8023" s="3"/>
      <c r="C8023" s="3"/>
      <c r="D8023" s="3"/>
      <c r="E8023" s="3"/>
      <c r="F8023" s="3"/>
      <c r="G8023" s="3"/>
      <c r="H8023" s="3"/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  <c r="T8023" s="3"/>
      <c r="U8023" s="3"/>
      <c r="V8023" s="3"/>
      <c r="W8023" s="3"/>
      <c r="X8023" s="3"/>
      <c r="Y8023" s="3"/>
    </row>
    <row r="8024">
      <c r="A8024" s="3"/>
      <c r="B8024" s="3"/>
      <c r="C8024" s="3"/>
      <c r="D8024" s="3"/>
      <c r="E8024" s="3"/>
      <c r="F8024" s="3"/>
      <c r="G8024" s="3"/>
      <c r="H8024" s="3"/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  <c r="T8024" s="3"/>
      <c r="U8024" s="3"/>
      <c r="V8024" s="3"/>
      <c r="W8024" s="3"/>
      <c r="X8024" s="3"/>
      <c r="Y8024" s="3"/>
    </row>
    <row r="8025">
      <c r="A8025" s="3"/>
      <c r="B8025" s="3"/>
      <c r="C8025" s="3"/>
      <c r="D8025" s="3"/>
      <c r="E8025" s="3"/>
      <c r="F8025" s="3"/>
      <c r="G8025" s="3"/>
      <c r="H8025" s="3"/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  <c r="T8025" s="3"/>
      <c r="U8025" s="3"/>
      <c r="V8025" s="3"/>
      <c r="W8025" s="3"/>
      <c r="X8025" s="3"/>
      <c r="Y8025" s="3"/>
    </row>
    <row r="8026">
      <c r="A8026" s="3"/>
      <c r="B8026" s="3"/>
      <c r="C8026" s="3"/>
      <c r="D8026" s="3"/>
      <c r="E8026" s="3"/>
      <c r="F8026" s="3"/>
      <c r="G8026" s="3"/>
      <c r="H8026" s="3"/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  <c r="T8026" s="3"/>
      <c r="U8026" s="3"/>
      <c r="V8026" s="3"/>
      <c r="W8026" s="3"/>
      <c r="X8026" s="3"/>
      <c r="Y8026" s="3"/>
    </row>
    <row r="8027">
      <c r="A8027" s="3"/>
      <c r="B8027" s="3"/>
      <c r="C8027" s="3"/>
      <c r="D8027" s="3"/>
      <c r="E8027" s="3"/>
      <c r="F8027" s="3"/>
      <c r="G8027" s="3"/>
      <c r="H8027" s="3"/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  <c r="T8027" s="3"/>
      <c r="U8027" s="3"/>
      <c r="V8027" s="3"/>
      <c r="W8027" s="3"/>
      <c r="X8027" s="3"/>
      <c r="Y8027" s="3"/>
    </row>
    <row r="8028">
      <c r="A8028" s="3"/>
      <c r="B8028" s="3"/>
      <c r="C8028" s="3"/>
      <c r="D8028" s="3"/>
      <c r="E8028" s="3"/>
      <c r="F8028" s="3"/>
      <c r="G8028" s="3"/>
      <c r="H8028" s="3"/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  <c r="T8028" s="3"/>
      <c r="U8028" s="3"/>
      <c r="V8028" s="3"/>
      <c r="W8028" s="3"/>
      <c r="X8028" s="3"/>
      <c r="Y8028" s="3"/>
    </row>
    <row r="8029">
      <c r="A8029" s="3"/>
      <c r="B8029" s="3"/>
      <c r="C8029" s="3"/>
      <c r="D8029" s="3"/>
      <c r="E8029" s="3"/>
      <c r="F8029" s="3"/>
      <c r="G8029" s="3"/>
      <c r="H8029" s="3"/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  <c r="T8029" s="3"/>
      <c r="U8029" s="3"/>
      <c r="V8029" s="3"/>
      <c r="W8029" s="3"/>
      <c r="X8029" s="3"/>
      <c r="Y8029" s="3"/>
    </row>
    <row r="8030">
      <c r="A8030" s="3"/>
      <c r="B8030" s="3"/>
      <c r="C8030" s="3"/>
      <c r="D8030" s="3"/>
      <c r="E8030" s="3"/>
      <c r="F8030" s="3"/>
      <c r="G8030" s="3"/>
      <c r="H8030" s="3"/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  <c r="T8030" s="3"/>
      <c r="U8030" s="3"/>
      <c r="V8030" s="3"/>
      <c r="W8030" s="3"/>
      <c r="X8030" s="3"/>
      <c r="Y8030" s="3"/>
    </row>
    <row r="8031">
      <c r="A8031" s="3"/>
      <c r="B8031" s="3"/>
      <c r="C8031" s="3"/>
      <c r="D8031" s="3"/>
      <c r="E8031" s="3"/>
      <c r="F8031" s="3"/>
      <c r="G8031" s="3"/>
      <c r="H8031" s="3"/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  <c r="T8031" s="3"/>
      <c r="U8031" s="3"/>
      <c r="V8031" s="3"/>
      <c r="W8031" s="3"/>
      <c r="X8031" s="3"/>
      <c r="Y8031" s="3"/>
    </row>
    <row r="8032">
      <c r="A8032" s="3"/>
      <c r="B8032" s="3"/>
      <c r="C8032" s="3"/>
      <c r="D8032" s="3"/>
      <c r="E8032" s="3"/>
      <c r="F8032" s="3"/>
      <c r="G8032" s="3"/>
      <c r="H8032" s="3"/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  <c r="T8032" s="3"/>
      <c r="U8032" s="3"/>
      <c r="V8032" s="3"/>
      <c r="W8032" s="3"/>
      <c r="X8032" s="3"/>
      <c r="Y8032" s="3"/>
    </row>
    <row r="8033">
      <c r="A8033" s="3"/>
      <c r="B8033" s="3"/>
      <c r="C8033" s="3"/>
      <c r="D8033" s="3"/>
      <c r="E8033" s="3"/>
      <c r="F8033" s="3"/>
      <c r="G8033" s="3"/>
      <c r="H8033" s="3"/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  <c r="T8033" s="3"/>
      <c r="U8033" s="3"/>
      <c r="V8033" s="3"/>
      <c r="W8033" s="3"/>
      <c r="X8033" s="3"/>
      <c r="Y8033" s="3"/>
    </row>
    <row r="8034">
      <c r="A8034" s="3"/>
      <c r="B8034" s="3"/>
      <c r="C8034" s="3"/>
      <c r="D8034" s="3"/>
      <c r="E8034" s="3"/>
      <c r="F8034" s="3"/>
      <c r="G8034" s="3"/>
      <c r="H8034" s="3"/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  <c r="T8034" s="3"/>
      <c r="U8034" s="3"/>
      <c r="V8034" s="3"/>
      <c r="W8034" s="3"/>
      <c r="X8034" s="3"/>
      <c r="Y8034" s="3"/>
    </row>
    <row r="8035">
      <c r="A8035" s="3"/>
      <c r="B8035" s="3"/>
      <c r="C8035" s="3"/>
      <c r="D8035" s="3"/>
      <c r="E8035" s="3"/>
      <c r="F8035" s="3"/>
      <c r="G8035" s="3"/>
      <c r="H8035" s="3"/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  <c r="T8035" s="3"/>
      <c r="U8035" s="3"/>
      <c r="V8035" s="3"/>
      <c r="W8035" s="3"/>
      <c r="X8035" s="3"/>
      <c r="Y8035" s="3"/>
    </row>
    <row r="8036">
      <c r="A8036" s="3"/>
      <c r="B8036" s="3"/>
      <c r="C8036" s="3"/>
      <c r="D8036" s="3"/>
      <c r="E8036" s="3"/>
      <c r="F8036" s="3"/>
      <c r="G8036" s="3"/>
      <c r="H8036" s="3"/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  <c r="T8036" s="3"/>
      <c r="U8036" s="3"/>
      <c r="V8036" s="3"/>
      <c r="W8036" s="3"/>
      <c r="X8036" s="3"/>
      <c r="Y8036" s="3"/>
    </row>
    <row r="8037">
      <c r="A8037" s="3"/>
      <c r="B8037" s="3"/>
      <c r="C8037" s="3"/>
      <c r="D8037" s="3"/>
      <c r="E8037" s="3"/>
      <c r="F8037" s="3"/>
      <c r="G8037" s="3"/>
      <c r="H8037" s="3"/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  <c r="T8037" s="3"/>
      <c r="U8037" s="3"/>
      <c r="V8037" s="3"/>
      <c r="W8037" s="3"/>
      <c r="X8037" s="3"/>
      <c r="Y8037" s="3"/>
    </row>
    <row r="8038">
      <c r="A8038" s="3"/>
      <c r="B8038" s="3"/>
      <c r="C8038" s="3"/>
      <c r="D8038" s="3"/>
      <c r="E8038" s="3"/>
      <c r="F8038" s="3"/>
      <c r="G8038" s="3"/>
      <c r="H8038" s="3"/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  <c r="T8038" s="3"/>
      <c r="U8038" s="3"/>
      <c r="V8038" s="3"/>
      <c r="W8038" s="3"/>
      <c r="X8038" s="3"/>
      <c r="Y8038" s="3"/>
    </row>
    <row r="8039">
      <c r="A8039" s="3"/>
      <c r="B8039" s="3"/>
      <c r="C8039" s="3"/>
      <c r="D8039" s="3"/>
      <c r="E8039" s="3"/>
      <c r="F8039" s="3"/>
      <c r="G8039" s="3"/>
      <c r="H8039" s="3"/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  <c r="T8039" s="3"/>
      <c r="U8039" s="3"/>
      <c r="V8039" s="3"/>
      <c r="W8039" s="3"/>
      <c r="X8039" s="3"/>
      <c r="Y8039" s="3"/>
    </row>
    <row r="8040">
      <c r="A8040" s="3"/>
      <c r="B8040" s="3"/>
      <c r="C8040" s="3"/>
      <c r="D8040" s="3"/>
      <c r="E8040" s="3"/>
      <c r="F8040" s="3"/>
      <c r="G8040" s="3"/>
      <c r="H8040" s="3"/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  <c r="T8040" s="3"/>
      <c r="U8040" s="3"/>
      <c r="V8040" s="3"/>
      <c r="W8040" s="3"/>
      <c r="X8040" s="3"/>
      <c r="Y8040" s="3"/>
    </row>
    <row r="8041">
      <c r="A8041" s="3"/>
      <c r="B8041" s="3"/>
      <c r="C8041" s="3"/>
      <c r="D8041" s="3"/>
      <c r="E8041" s="3"/>
      <c r="F8041" s="3"/>
      <c r="G8041" s="3"/>
      <c r="H8041" s="3"/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  <c r="T8041" s="3"/>
      <c r="U8041" s="3"/>
      <c r="V8041" s="3"/>
      <c r="W8041" s="3"/>
      <c r="X8041" s="3"/>
      <c r="Y8041" s="3"/>
    </row>
    <row r="8042">
      <c r="A8042" s="3"/>
      <c r="B8042" s="3"/>
      <c r="C8042" s="3"/>
      <c r="D8042" s="3"/>
      <c r="E8042" s="3"/>
      <c r="F8042" s="3"/>
      <c r="G8042" s="3"/>
      <c r="H8042" s="3"/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  <c r="T8042" s="3"/>
      <c r="U8042" s="3"/>
      <c r="V8042" s="3"/>
      <c r="W8042" s="3"/>
      <c r="X8042" s="3"/>
      <c r="Y8042" s="3"/>
    </row>
    <row r="8043">
      <c r="A8043" s="3"/>
      <c r="B8043" s="3"/>
      <c r="C8043" s="3"/>
      <c r="D8043" s="3"/>
      <c r="E8043" s="3"/>
      <c r="F8043" s="3"/>
      <c r="G8043" s="3"/>
      <c r="H8043" s="3"/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  <c r="T8043" s="3"/>
      <c r="U8043" s="3"/>
      <c r="V8043" s="3"/>
      <c r="W8043" s="3"/>
      <c r="X8043" s="3"/>
      <c r="Y8043" s="3"/>
    </row>
    <row r="8044">
      <c r="A8044" s="3"/>
      <c r="B8044" s="3"/>
      <c r="C8044" s="3"/>
      <c r="D8044" s="3"/>
      <c r="E8044" s="3"/>
      <c r="F8044" s="3"/>
      <c r="G8044" s="3"/>
      <c r="H8044" s="3"/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  <c r="T8044" s="3"/>
      <c r="U8044" s="3"/>
      <c r="V8044" s="3"/>
      <c r="W8044" s="3"/>
      <c r="X8044" s="3"/>
      <c r="Y8044" s="3"/>
    </row>
    <row r="8045">
      <c r="A8045" s="3"/>
      <c r="B8045" s="3"/>
      <c r="C8045" s="3"/>
      <c r="D8045" s="3"/>
      <c r="E8045" s="3"/>
      <c r="F8045" s="3"/>
      <c r="G8045" s="3"/>
      <c r="H8045" s="3"/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  <c r="T8045" s="3"/>
      <c r="U8045" s="3"/>
      <c r="V8045" s="3"/>
      <c r="W8045" s="3"/>
      <c r="X8045" s="3"/>
      <c r="Y8045" s="3"/>
    </row>
    <row r="8046">
      <c r="A8046" s="3"/>
      <c r="B8046" s="3"/>
      <c r="C8046" s="3"/>
      <c r="D8046" s="3"/>
      <c r="E8046" s="3"/>
      <c r="F8046" s="3"/>
      <c r="G8046" s="3"/>
      <c r="H8046" s="3"/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  <c r="T8046" s="3"/>
      <c r="U8046" s="3"/>
      <c r="V8046" s="3"/>
      <c r="W8046" s="3"/>
      <c r="X8046" s="3"/>
      <c r="Y8046" s="3"/>
    </row>
    <row r="8047">
      <c r="A8047" s="3"/>
      <c r="B8047" s="3"/>
      <c r="C8047" s="3"/>
      <c r="D8047" s="3"/>
      <c r="E8047" s="3"/>
      <c r="F8047" s="3"/>
      <c r="G8047" s="3"/>
      <c r="H8047" s="3"/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  <c r="T8047" s="3"/>
      <c r="U8047" s="3"/>
      <c r="V8047" s="3"/>
      <c r="W8047" s="3"/>
      <c r="X8047" s="3"/>
      <c r="Y8047" s="3"/>
    </row>
    <row r="8048">
      <c r="A8048" s="3"/>
      <c r="B8048" s="3"/>
      <c r="C8048" s="3"/>
      <c r="D8048" s="3"/>
      <c r="E8048" s="3"/>
      <c r="F8048" s="3"/>
      <c r="G8048" s="3"/>
      <c r="H8048" s="3"/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  <c r="T8048" s="3"/>
      <c r="U8048" s="3"/>
      <c r="V8048" s="3"/>
      <c r="W8048" s="3"/>
      <c r="X8048" s="3"/>
      <c r="Y8048" s="3"/>
    </row>
    <row r="8049">
      <c r="A8049" s="3"/>
      <c r="B8049" s="3"/>
      <c r="C8049" s="3"/>
      <c r="D8049" s="3"/>
      <c r="E8049" s="3"/>
      <c r="F8049" s="3"/>
      <c r="G8049" s="3"/>
      <c r="H8049" s="3"/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  <c r="T8049" s="3"/>
      <c r="U8049" s="3"/>
      <c r="V8049" s="3"/>
      <c r="W8049" s="3"/>
      <c r="X8049" s="3"/>
      <c r="Y8049" s="3"/>
    </row>
    <row r="8050">
      <c r="A8050" s="3"/>
      <c r="B8050" s="3"/>
      <c r="C8050" s="3"/>
      <c r="D8050" s="3"/>
      <c r="E8050" s="3"/>
      <c r="F8050" s="3"/>
      <c r="G8050" s="3"/>
      <c r="H8050" s="3"/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  <c r="T8050" s="3"/>
      <c r="U8050" s="3"/>
      <c r="V8050" s="3"/>
      <c r="W8050" s="3"/>
      <c r="X8050" s="3"/>
      <c r="Y8050" s="3"/>
    </row>
    <row r="8051">
      <c r="A8051" s="3"/>
      <c r="B8051" s="3"/>
      <c r="C8051" s="3"/>
      <c r="D8051" s="3"/>
      <c r="E8051" s="3"/>
      <c r="F8051" s="3"/>
      <c r="G8051" s="3"/>
      <c r="H8051" s="3"/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  <c r="T8051" s="3"/>
      <c r="U8051" s="3"/>
      <c r="V8051" s="3"/>
      <c r="W8051" s="3"/>
      <c r="X8051" s="3"/>
      <c r="Y8051" s="3"/>
    </row>
    <row r="8052">
      <c r="A8052" s="3"/>
      <c r="B8052" s="3"/>
      <c r="C8052" s="3"/>
      <c r="D8052" s="3"/>
      <c r="E8052" s="3"/>
      <c r="F8052" s="3"/>
      <c r="G8052" s="3"/>
      <c r="H8052" s="3"/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  <c r="T8052" s="3"/>
      <c r="U8052" s="3"/>
      <c r="V8052" s="3"/>
      <c r="W8052" s="3"/>
      <c r="X8052" s="3"/>
      <c r="Y8052" s="3"/>
    </row>
    <row r="8053">
      <c r="A8053" s="3"/>
      <c r="B8053" s="3"/>
      <c r="C8053" s="3"/>
      <c r="D8053" s="3"/>
      <c r="E8053" s="3"/>
      <c r="F8053" s="3"/>
      <c r="G8053" s="3"/>
      <c r="H8053" s="3"/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  <c r="T8053" s="3"/>
      <c r="U8053" s="3"/>
      <c r="V8053" s="3"/>
      <c r="W8053" s="3"/>
      <c r="X8053" s="3"/>
      <c r="Y8053" s="3"/>
    </row>
    <row r="8054">
      <c r="A8054" s="3"/>
      <c r="B8054" s="3"/>
      <c r="C8054" s="3"/>
      <c r="D8054" s="3"/>
      <c r="E8054" s="3"/>
      <c r="F8054" s="3"/>
      <c r="G8054" s="3"/>
      <c r="H8054" s="3"/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  <c r="T8054" s="3"/>
      <c r="U8054" s="3"/>
      <c r="V8054" s="3"/>
      <c r="W8054" s="3"/>
      <c r="X8054" s="3"/>
      <c r="Y8054" s="3"/>
    </row>
    <row r="8055">
      <c r="A8055" s="3"/>
      <c r="B8055" s="3"/>
      <c r="C8055" s="3"/>
      <c r="D8055" s="3"/>
      <c r="E8055" s="3"/>
      <c r="F8055" s="3"/>
      <c r="G8055" s="3"/>
      <c r="H8055" s="3"/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  <c r="T8055" s="3"/>
      <c r="U8055" s="3"/>
      <c r="V8055" s="3"/>
      <c r="W8055" s="3"/>
      <c r="X8055" s="3"/>
      <c r="Y8055" s="3"/>
    </row>
    <row r="8056">
      <c r="A8056" s="3"/>
      <c r="B8056" s="3"/>
      <c r="C8056" s="3"/>
      <c r="D8056" s="3"/>
      <c r="E8056" s="3"/>
      <c r="F8056" s="3"/>
      <c r="G8056" s="3"/>
      <c r="H8056" s="3"/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  <c r="T8056" s="3"/>
      <c r="U8056" s="3"/>
      <c r="V8056" s="3"/>
      <c r="W8056" s="3"/>
      <c r="X8056" s="3"/>
      <c r="Y8056" s="3"/>
    </row>
    <row r="8057">
      <c r="A8057" s="3"/>
      <c r="B8057" s="3"/>
      <c r="C8057" s="3"/>
      <c r="D8057" s="3"/>
      <c r="E8057" s="3"/>
      <c r="F8057" s="3"/>
      <c r="G8057" s="3"/>
      <c r="H8057" s="3"/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  <c r="T8057" s="3"/>
      <c r="U8057" s="3"/>
      <c r="V8057" s="3"/>
      <c r="W8057" s="3"/>
      <c r="X8057" s="3"/>
      <c r="Y8057" s="3"/>
    </row>
    <row r="8058">
      <c r="A8058" s="3"/>
      <c r="B8058" s="3"/>
      <c r="C8058" s="3"/>
      <c r="D8058" s="3"/>
      <c r="E8058" s="3"/>
      <c r="F8058" s="3"/>
      <c r="G8058" s="3"/>
      <c r="H8058" s="3"/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  <c r="T8058" s="3"/>
      <c r="U8058" s="3"/>
      <c r="V8058" s="3"/>
      <c r="W8058" s="3"/>
      <c r="X8058" s="3"/>
      <c r="Y8058" s="3"/>
    </row>
    <row r="8059">
      <c r="A8059" s="3"/>
      <c r="B8059" s="3"/>
      <c r="C8059" s="3"/>
      <c r="D8059" s="3"/>
      <c r="E8059" s="3"/>
      <c r="F8059" s="3"/>
      <c r="G8059" s="3"/>
      <c r="H8059" s="3"/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  <c r="T8059" s="3"/>
      <c r="U8059" s="3"/>
      <c r="V8059" s="3"/>
      <c r="W8059" s="3"/>
      <c r="X8059" s="3"/>
      <c r="Y8059" s="3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hidden="1" min="5" max="7" width="12.63"/>
  </cols>
  <sheetData>
    <row r="1">
      <c r="A1" s="2" t="s">
        <v>23</v>
      </c>
      <c r="B1" s="3"/>
      <c r="C1" s="7" t="s">
        <v>286</v>
      </c>
      <c r="D1" s="3"/>
      <c r="E1" s="3"/>
      <c r="F1" s="3"/>
      <c r="G1" s="3"/>
      <c r="H1" s="3"/>
      <c r="I1" s="3"/>
      <c r="J1" s="3"/>
      <c r="K1" s="2" t="s">
        <v>287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82">
        <f>TODAY()</f>
        <v>45332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</row>
    <row r="3">
      <c r="A3" s="23" t="s">
        <v>58</v>
      </c>
      <c r="B3" s="23" t="s">
        <v>59</v>
      </c>
      <c r="C3" s="23" t="s">
        <v>60</v>
      </c>
      <c r="D3" s="23" t="s">
        <v>61</v>
      </c>
      <c r="E3" s="23" t="s">
        <v>62</v>
      </c>
      <c r="F3" s="23" t="s">
        <v>185</v>
      </c>
      <c r="G3" s="23" t="s">
        <v>186</v>
      </c>
      <c r="H3" s="83" t="s">
        <v>288</v>
      </c>
      <c r="I3" s="83" t="s">
        <v>289</v>
      </c>
      <c r="J3" s="83" t="s">
        <v>290</v>
      </c>
      <c r="K3" s="84" t="s">
        <v>291</v>
      </c>
      <c r="L3" s="2" t="s">
        <v>292</v>
      </c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</row>
    <row r="4">
      <c r="A4" s="26" t="s">
        <v>68</v>
      </c>
      <c r="B4" s="26" t="s">
        <v>69</v>
      </c>
      <c r="C4" s="26" t="s">
        <v>70</v>
      </c>
      <c r="D4" s="27">
        <v>38261.0</v>
      </c>
      <c r="E4" s="49">
        <v>57500.0</v>
      </c>
      <c r="F4" s="26" t="s">
        <v>187</v>
      </c>
      <c r="G4" s="26" t="s">
        <v>188</v>
      </c>
      <c r="H4" s="3">
        <f t="shared" ref="H4:H8" si="1">YEAR(D4)</f>
        <v>2004</v>
      </c>
      <c r="I4" s="3">
        <f t="shared" ref="I4:I8" si="2">MONTH(D4)</f>
        <v>10</v>
      </c>
      <c r="J4" s="3">
        <f t="shared" ref="J4:J8" si="3">DAY(D4)</f>
        <v>1</v>
      </c>
      <c r="K4" s="82">
        <f t="shared" ref="K4:K8" si="4">DATE(H4,I4,J4)</f>
        <v>38261</v>
      </c>
      <c r="L4" s="3">
        <f t="shared" ref="L4:L8" si="5">DATEDIF(K4,$K$2,"Y")</f>
        <v>19</v>
      </c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</row>
    <row r="5">
      <c r="A5" s="26" t="s">
        <v>72</v>
      </c>
      <c r="B5" s="26" t="s">
        <v>73</v>
      </c>
      <c r="C5" s="26" t="s">
        <v>74</v>
      </c>
      <c r="D5" s="27">
        <v>36906.0</v>
      </c>
      <c r="E5" s="49">
        <v>19500.0</v>
      </c>
      <c r="F5" s="26" t="s">
        <v>187</v>
      </c>
      <c r="G5" s="26" t="s">
        <v>188</v>
      </c>
      <c r="H5" s="3">
        <f t="shared" si="1"/>
        <v>2001</v>
      </c>
      <c r="I5" s="3">
        <f t="shared" si="2"/>
        <v>1</v>
      </c>
      <c r="J5" s="3">
        <f t="shared" si="3"/>
        <v>15</v>
      </c>
      <c r="K5" s="82">
        <f t="shared" si="4"/>
        <v>36906</v>
      </c>
      <c r="L5" s="3">
        <f t="shared" si="5"/>
        <v>23</v>
      </c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</row>
    <row r="6">
      <c r="A6" s="26" t="s">
        <v>77</v>
      </c>
      <c r="B6" s="26" t="s">
        <v>78</v>
      </c>
      <c r="C6" s="26" t="s">
        <v>79</v>
      </c>
      <c r="D6" s="27">
        <v>35501.0</v>
      </c>
      <c r="E6" s="49">
        <v>69000.0</v>
      </c>
      <c r="F6" s="26" t="s">
        <v>187</v>
      </c>
      <c r="G6" s="26" t="s">
        <v>188</v>
      </c>
      <c r="H6" s="3">
        <f t="shared" si="1"/>
        <v>1997</v>
      </c>
      <c r="I6" s="3">
        <f t="shared" si="2"/>
        <v>3</v>
      </c>
      <c r="J6" s="3">
        <f t="shared" si="3"/>
        <v>12</v>
      </c>
      <c r="K6" s="82">
        <f t="shared" si="4"/>
        <v>35501</v>
      </c>
      <c r="L6" s="3">
        <f t="shared" si="5"/>
        <v>26</v>
      </c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</row>
    <row r="7">
      <c r="A7" s="26" t="s">
        <v>82</v>
      </c>
      <c r="B7" s="26" t="s">
        <v>83</v>
      </c>
      <c r="C7" s="26" t="s">
        <v>84</v>
      </c>
      <c r="D7" s="27">
        <v>38578.0</v>
      </c>
      <c r="E7" s="49">
        <v>55000.0</v>
      </c>
      <c r="F7" s="26" t="s">
        <v>189</v>
      </c>
      <c r="G7" s="26" t="s">
        <v>190</v>
      </c>
      <c r="H7" s="3">
        <f t="shared" si="1"/>
        <v>2005</v>
      </c>
      <c r="I7" s="3">
        <f t="shared" si="2"/>
        <v>8</v>
      </c>
      <c r="J7" s="3">
        <f t="shared" si="3"/>
        <v>14</v>
      </c>
      <c r="K7" s="82">
        <f t="shared" si="4"/>
        <v>38578</v>
      </c>
      <c r="L7" s="3">
        <f t="shared" si="5"/>
        <v>18</v>
      </c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</row>
    <row r="8">
      <c r="A8" s="26" t="s">
        <v>87</v>
      </c>
      <c r="B8" s="26" t="s">
        <v>88</v>
      </c>
      <c r="C8" s="26" t="s">
        <v>89</v>
      </c>
      <c r="D8" s="85">
        <v>44946.0</v>
      </c>
      <c r="E8" s="49">
        <v>47500.0</v>
      </c>
      <c r="F8" s="26" t="s">
        <v>189</v>
      </c>
      <c r="G8" s="26" t="s">
        <v>190</v>
      </c>
      <c r="H8" s="3">
        <f t="shared" si="1"/>
        <v>2023</v>
      </c>
      <c r="I8" s="3">
        <f t="shared" si="2"/>
        <v>1</v>
      </c>
      <c r="J8" s="3">
        <f t="shared" si="3"/>
        <v>20</v>
      </c>
      <c r="K8" s="82">
        <f t="shared" si="4"/>
        <v>44946</v>
      </c>
      <c r="L8" s="3">
        <f t="shared" si="5"/>
        <v>1</v>
      </c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</row>
    <row r="9">
      <c r="A9" s="26" t="s">
        <v>91</v>
      </c>
      <c r="B9" s="26" t="s">
        <v>92</v>
      </c>
      <c r="C9" s="26" t="s">
        <v>93</v>
      </c>
      <c r="D9" s="27">
        <v>34014.0</v>
      </c>
      <c r="E9" s="49">
        <v>100000.0</v>
      </c>
      <c r="F9" s="3"/>
      <c r="G9" s="26" t="s">
        <v>190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</row>
    <row r="10">
      <c r="A10" s="26" t="s">
        <v>95</v>
      </c>
      <c r="B10" s="26" t="s">
        <v>96</v>
      </c>
      <c r="C10" s="26" t="s">
        <v>97</v>
      </c>
      <c r="D10" s="27">
        <v>28212.0</v>
      </c>
      <c r="E10" s="49">
        <v>125000.0</v>
      </c>
      <c r="F10" s="26" t="s">
        <v>189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</row>
    <row r="11">
      <c r="A11" s="26" t="s">
        <v>99</v>
      </c>
      <c r="B11" s="26" t="s">
        <v>100</v>
      </c>
      <c r="C11" s="26" t="s">
        <v>101</v>
      </c>
      <c r="D11" s="27">
        <v>38718.0</v>
      </c>
      <c r="E11" s="49">
        <v>42500.0</v>
      </c>
      <c r="F11" s="26" t="s">
        <v>187</v>
      </c>
      <c r="G11" s="26" t="s">
        <v>188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</row>
    <row r="12">
      <c r="A12" s="26" t="s">
        <v>103</v>
      </c>
      <c r="B12" s="26" t="s">
        <v>104</v>
      </c>
      <c r="C12" s="26" t="s">
        <v>74</v>
      </c>
      <c r="D12" s="27">
        <v>38505.0</v>
      </c>
      <c r="E12" s="49">
        <v>69000.0</v>
      </c>
      <c r="F12" s="26" t="s">
        <v>187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</row>
    <row r="13">
      <c r="A13" s="26" t="s">
        <v>106</v>
      </c>
      <c r="B13" s="26" t="s">
        <v>107</v>
      </c>
      <c r="C13" s="26" t="s">
        <v>79</v>
      </c>
      <c r="D13" s="27">
        <v>36861.0</v>
      </c>
      <c r="E13" s="49">
        <v>49500.0</v>
      </c>
      <c r="F13" s="26" t="s">
        <v>187</v>
      </c>
      <c r="G13" s="26" t="s">
        <v>188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</row>
    <row r="14">
      <c r="A14" s="26" t="s">
        <v>109</v>
      </c>
      <c r="B14" s="26" t="s">
        <v>100</v>
      </c>
      <c r="C14" s="26" t="s">
        <v>110</v>
      </c>
      <c r="D14" s="27">
        <v>33267.0</v>
      </c>
      <c r="E14" s="49">
        <v>65000.0</v>
      </c>
      <c r="F14" s="26" t="s">
        <v>189</v>
      </c>
      <c r="G14" s="26" t="s">
        <v>190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</row>
    <row r="15">
      <c r="A15" s="26" t="s">
        <v>112</v>
      </c>
      <c r="B15" s="26" t="s">
        <v>113</v>
      </c>
      <c r="C15" s="26" t="s">
        <v>114</v>
      </c>
      <c r="D15" s="27">
        <v>36957.0</v>
      </c>
      <c r="E15" s="49">
        <v>18500.0</v>
      </c>
      <c r="F15" s="26" t="s">
        <v>187</v>
      </c>
      <c r="G15" s="26" t="s">
        <v>191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</row>
    <row r="16">
      <c r="A16" s="26" t="s">
        <v>116</v>
      </c>
      <c r="B16" s="26" t="s">
        <v>117</v>
      </c>
      <c r="C16" s="26" t="s">
        <v>118</v>
      </c>
      <c r="D16" s="27">
        <v>31510.0</v>
      </c>
      <c r="E16" s="49">
        <v>65000.0</v>
      </c>
      <c r="F16" s="26" t="s">
        <v>187</v>
      </c>
      <c r="G16" s="26" t="s">
        <v>190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</row>
    <row r="17">
      <c r="A17" s="26" t="s">
        <v>120</v>
      </c>
      <c r="B17" s="26" t="s">
        <v>121</v>
      </c>
      <c r="C17" s="26" t="s">
        <v>122</v>
      </c>
      <c r="D17" s="27">
        <v>37945.0</v>
      </c>
      <c r="E17" s="49">
        <v>58000.0</v>
      </c>
      <c r="F17" s="26" t="s">
        <v>189</v>
      </c>
      <c r="G17" s="26" t="s">
        <v>190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</row>
    <row r="18">
      <c r="A18" s="26" t="s">
        <v>124</v>
      </c>
      <c r="B18" s="26" t="s">
        <v>110</v>
      </c>
      <c r="C18" s="26" t="s">
        <v>125</v>
      </c>
      <c r="D18" s="27">
        <v>31147.0</v>
      </c>
      <c r="E18" s="49">
        <v>75000.0</v>
      </c>
      <c r="F18" s="26" t="s">
        <v>189</v>
      </c>
      <c r="G18" s="26" t="s">
        <v>190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</row>
    <row r="19">
      <c r="A19" s="26" t="s">
        <v>127</v>
      </c>
      <c r="B19" s="26" t="s">
        <v>128</v>
      </c>
      <c r="C19" s="26" t="s">
        <v>129</v>
      </c>
      <c r="D19" s="27">
        <v>33267.0</v>
      </c>
      <c r="E19" s="49">
        <v>58500.0</v>
      </c>
      <c r="F19" s="26" t="s">
        <v>189</v>
      </c>
      <c r="G19" s="26" t="s">
        <v>191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</row>
    <row r="20">
      <c r="A20" s="26" t="s">
        <v>131</v>
      </c>
      <c r="B20" s="26" t="s">
        <v>132</v>
      </c>
      <c r="C20" s="26" t="s">
        <v>133</v>
      </c>
      <c r="D20" s="27">
        <v>35992.0</v>
      </c>
      <c r="E20" s="49">
        <v>150000.0</v>
      </c>
      <c r="F20" s="26" t="s">
        <v>189</v>
      </c>
      <c r="G20" s="26" t="s">
        <v>190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</row>
    <row r="21">
      <c r="A21" s="26" t="s">
        <v>135</v>
      </c>
      <c r="B21" s="26" t="s">
        <v>136</v>
      </c>
      <c r="C21" s="26" t="s">
        <v>70</v>
      </c>
      <c r="D21" s="27">
        <v>37827.0</v>
      </c>
      <c r="E21" s="49">
        <v>45000.0</v>
      </c>
      <c r="F21" s="26" t="s">
        <v>187</v>
      </c>
      <c r="G21" s="26" t="s">
        <v>188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</row>
    <row r="22">
      <c r="A22" s="26" t="s">
        <v>138</v>
      </c>
      <c r="B22" s="26" t="s">
        <v>139</v>
      </c>
      <c r="C22" s="26" t="s">
        <v>140</v>
      </c>
      <c r="D22" s="27">
        <v>35964.0</v>
      </c>
      <c r="E22" s="49">
        <v>40000.0</v>
      </c>
      <c r="F22" s="26" t="s">
        <v>189</v>
      </c>
      <c r="G22" s="26" t="s">
        <v>191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</row>
    <row r="23">
      <c r="A23" s="26" t="s">
        <v>142</v>
      </c>
      <c r="B23" s="26" t="s">
        <v>143</v>
      </c>
      <c r="C23" s="26" t="s">
        <v>144</v>
      </c>
      <c r="D23" s="27">
        <v>30816.0</v>
      </c>
      <c r="E23" s="49">
        <v>79000.0</v>
      </c>
      <c r="F23" s="26" t="s">
        <v>187</v>
      </c>
      <c r="G23" s="26" t="s">
        <v>190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</row>
    <row r="24">
      <c r="A24" s="26" t="s">
        <v>146</v>
      </c>
      <c r="B24" s="26" t="s">
        <v>147</v>
      </c>
      <c r="C24" s="26" t="s">
        <v>118</v>
      </c>
      <c r="D24" s="27">
        <v>33770.0</v>
      </c>
      <c r="E24" s="49">
        <v>55000.0</v>
      </c>
      <c r="F24" s="26" t="s">
        <v>187</v>
      </c>
      <c r="G24" s="26" t="s">
        <v>188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</row>
    <row r="25">
      <c r="A25" s="26" t="s">
        <v>149</v>
      </c>
      <c r="B25" s="26" t="s">
        <v>150</v>
      </c>
      <c r="C25" s="26" t="s">
        <v>151</v>
      </c>
      <c r="D25" s="27">
        <v>38955.0</v>
      </c>
      <c r="E25" s="49">
        <v>23000.0</v>
      </c>
      <c r="F25" s="26" t="s">
        <v>189</v>
      </c>
      <c r="G25" s="26" t="s">
        <v>190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</row>
    <row r="26">
      <c r="A26" s="26" t="s">
        <v>153</v>
      </c>
      <c r="B26" s="26" t="s">
        <v>154</v>
      </c>
      <c r="C26" s="26" t="s">
        <v>129</v>
      </c>
      <c r="D26" s="27">
        <v>37533.0</v>
      </c>
      <c r="E26" s="49">
        <v>52000.0</v>
      </c>
      <c r="F26" s="26" t="s">
        <v>189</v>
      </c>
      <c r="G26" s="26" t="s">
        <v>191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</row>
    <row r="27">
      <c r="A27" s="26" t="s">
        <v>156</v>
      </c>
      <c r="B27" s="26" t="s">
        <v>157</v>
      </c>
      <c r="C27" s="26" t="s">
        <v>158</v>
      </c>
      <c r="D27" s="27">
        <v>35698.0</v>
      </c>
      <c r="E27" s="49">
        <v>38500.0</v>
      </c>
      <c r="F27" s="26" t="s">
        <v>187</v>
      </c>
      <c r="G27" s="26" t="s">
        <v>188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</row>
    <row r="28">
      <c r="A28" s="26" t="s">
        <v>160</v>
      </c>
      <c r="B28" s="26" t="s">
        <v>161</v>
      </c>
      <c r="C28" s="26" t="s">
        <v>129</v>
      </c>
      <c r="D28" s="27">
        <v>29427.0</v>
      </c>
      <c r="E28" s="49">
        <v>175000.0</v>
      </c>
      <c r="F28" s="26" t="s">
        <v>189</v>
      </c>
      <c r="G28" s="26" t="s">
        <v>190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</row>
    <row r="30">
      <c r="A30" s="1" t="s">
        <v>293</v>
      </c>
      <c r="B30" s="1" t="s">
        <v>294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</row>
    <row r="31">
      <c r="A31" s="86">
        <f t="array" ref="A31:A55">D4:D28+10</f>
        <v>38271</v>
      </c>
      <c r="B31" s="85">
        <v>1.0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</row>
    <row r="32">
      <c r="A32" s="27">
        <v>36916.0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</row>
    <row r="33">
      <c r="A33" s="27">
        <v>35511.0</v>
      </c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</row>
    <row r="34">
      <c r="A34" s="27">
        <v>38588.0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</row>
    <row r="35">
      <c r="A35" s="27">
        <v>44956.0</v>
      </c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</row>
    <row r="36">
      <c r="A36" s="27">
        <v>34024.0</v>
      </c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</row>
    <row r="37">
      <c r="A37" s="27">
        <v>28222.0</v>
      </c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</row>
    <row r="38">
      <c r="A38" s="27">
        <v>38728.0</v>
      </c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</row>
    <row r="39">
      <c r="A39" s="27">
        <v>38515.0</v>
      </c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</row>
    <row r="40">
      <c r="A40" s="27">
        <v>36871.0</v>
      </c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</row>
    <row r="41">
      <c r="A41" s="27">
        <v>33277.0</v>
      </c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</row>
    <row r="42">
      <c r="A42" s="27">
        <v>36967.0</v>
      </c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</row>
    <row r="43">
      <c r="A43" s="27">
        <v>31520.0</v>
      </c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</row>
    <row r="44">
      <c r="A44" s="27">
        <v>37955.0</v>
      </c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</row>
    <row r="45">
      <c r="A45" s="27">
        <v>31157.0</v>
      </c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</row>
    <row r="46">
      <c r="A46" s="27">
        <v>33277.0</v>
      </c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</row>
    <row r="47">
      <c r="A47" s="27">
        <v>36002.0</v>
      </c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</row>
    <row r="48">
      <c r="A48" s="27">
        <v>37837.0</v>
      </c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</row>
    <row r="49">
      <c r="A49" s="27">
        <v>35974.0</v>
      </c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</row>
    <row r="50">
      <c r="A50" s="27">
        <v>30826.0</v>
      </c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</row>
    <row r="51">
      <c r="A51" s="27">
        <v>33780.0</v>
      </c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</row>
    <row r="52">
      <c r="A52" s="27">
        <v>38965.0</v>
      </c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</row>
    <row r="53">
      <c r="A53" s="27">
        <v>37543.0</v>
      </c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</row>
    <row r="54">
      <c r="A54" s="27">
        <v>35708.0</v>
      </c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</row>
    <row r="55">
      <c r="A55" s="27">
        <v>29437.0</v>
      </c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17.13"/>
  </cols>
  <sheetData>
    <row r="1">
      <c r="A1" s="2" t="s">
        <v>24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3" t="s">
        <v>58</v>
      </c>
      <c r="B3" s="23" t="s">
        <v>59</v>
      </c>
      <c r="C3" s="23" t="s">
        <v>60</v>
      </c>
      <c r="D3" s="23" t="s">
        <v>61</v>
      </c>
      <c r="E3" s="23" t="s">
        <v>62</v>
      </c>
      <c r="F3" s="23" t="s">
        <v>185</v>
      </c>
      <c r="G3" s="23" t="s">
        <v>186</v>
      </c>
      <c r="H3" s="7" t="s">
        <v>295</v>
      </c>
      <c r="I3" s="7" t="s">
        <v>296</v>
      </c>
      <c r="J3" s="77" t="s">
        <v>297</v>
      </c>
      <c r="K3" s="77" t="s">
        <v>298</v>
      </c>
      <c r="L3" s="7" t="s">
        <v>299</v>
      </c>
      <c r="M3" s="7" t="s">
        <v>300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6" t="s">
        <v>68</v>
      </c>
      <c r="B4" s="26" t="s">
        <v>69</v>
      </c>
      <c r="C4" s="26" t="s">
        <v>70</v>
      </c>
      <c r="D4" s="48">
        <v>38261.0</v>
      </c>
      <c r="E4" s="49">
        <v>57500.0</v>
      </c>
      <c r="F4" s="26" t="s">
        <v>187</v>
      </c>
      <c r="G4" s="26" t="s">
        <v>188</v>
      </c>
      <c r="H4" s="3">
        <f t="shared" ref="H4:H8" si="1">LEN(B4)</f>
        <v>7</v>
      </c>
      <c r="I4" s="7" t="str">
        <f t="shared" ref="I4:I8" si="2">LEFT(B4,2)</f>
        <v>Mi</v>
      </c>
      <c r="J4" s="3" t="str">
        <f t="shared" ref="J4:J8" si="3">RIGHT(B4,2)</f>
        <v>om</v>
      </c>
      <c r="K4" s="3" t="str">
        <f t="shared" ref="K4:K8" si="4">MID(B4,2,2)</f>
        <v>il</v>
      </c>
      <c r="L4" s="3" t="str">
        <f t="shared" ref="L4:L8" si="5">C4 &amp; " " &amp; B4</f>
        <v>Patricia Milgrom</v>
      </c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6" t="s">
        <v>72</v>
      </c>
      <c r="B5" s="26" t="s">
        <v>73</v>
      </c>
      <c r="C5" s="26" t="s">
        <v>74</v>
      </c>
      <c r="D5" s="48">
        <v>36906.0</v>
      </c>
      <c r="E5" s="49">
        <v>19500.0</v>
      </c>
      <c r="F5" s="26" t="s">
        <v>187</v>
      </c>
      <c r="G5" s="26" t="s">
        <v>188</v>
      </c>
      <c r="H5" s="3">
        <f t="shared" si="1"/>
        <v>5</v>
      </c>
      <c r="I5" s="7" t="str">
        <f t="shared" si="2"/>
        <v>Ad</v>
      </c>
      <c r="J5" s="3" t="str">
        <f t="shared" si="3"/>
        <v>ms</v>
      </c>
      <c r="K5" s="3" t="str">
        <f t="shared" si="4"/>
        <v>da</v>
      </c>
      <c r="L5" s="3" t="str">
        <f t="shared" si="5"/>
        <v>Sandy Adams</v>
      </c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6" t="s">
        <v>77</v>
      </c>
      <c r="B6" s="26" t="s">
        <v>78</v>
      </c>
      <c r="C6" s="26" t="s">
        <v>79</v>
      </c>
      <c r="D6" s="48">
        <v>35501.0</v>
      </c>
      <c r="E6" s="49">
        <v>69000.0</v>
      </c>
      <c r="F6" s="26" t="s">
        <v>187</v>
      </c>
      <c r="G6" s="26" t="s">
        <v>188</v>
      </c>
      <c r="H6" s="3">
        <f t="shared" si="1"/>
        <v>4</v>
      </c>
      <c r="I6" s="7" t="str">
        <f t="shared" si="2"/>
        <v>Wo</v>
      </c>
      <c r="J6" s="3" t="str">
        <f t="shared" si="3"/>
        <v>od</v>
      </c>
      <c r="K6" s="3" t="str">
        <f t="shared" si="4"/>
        <v>oo</v>
      </c>
      <c r="L6" s="3" t="str">
        <f t="shared" si="5"/>
        <v>Emily Wood</v>
      </c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6" t="s">
        <v>82</v>
      </c>
      <c r="B7" s="26" t="s">
        <v>83</v>
      </c>
      <c r="C7" s="26" t="s">
        <v>84</v>
      </c>
      <c r="D7" s="48">
        <v>38578.0</v>
      </c>
      <c r="E7" s="49">
        <v>55000.0</v>
      </c>
      <c r="F7" s="26" t="s">
        <v>189</v>
      </c>
      <c r="G7" s="26" t="s">
        <v>190</v>
      </c>
      <c r="H7" s="3">
        <f t="shared" si="1"/>
        <v>6</v>
      </c>
      <c r="I7" s="7" t="str">
        <f t="shared" si="2"/>
        <v>Fo</v>
      </c>
      <c r="J7" s="3" t="str">
        <f t="shared" si="3"/>
        <v>er</v>
      </c>
      <c r="K7" s="3" t="str">
        <f t="shared" si="4"/>
        <v>os</v>
      </c>
      <c r="L7" s="3" t="str">
        <f t="shared" si="5"/>
        <v>Harold Foster</v>
      </c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6" t="s">
        <v>87</v>
      </c>
      <c r="B8" s="87" t="s">
        <v>88</v>
      </c>
      <c r="C8" s="26" t="s">
        <v>89</v>
      </c>
      <c r="D8" s="48">
        <v>35188.0</v>
      </c>
      <c r="E8" s="49">
        <v>47500.0</v>
      </c>
      <c r="F8" s="26" t="s">
        <v>189</v>
      </c>
      <c r="G8" s="26" t="s">
        <v>190</v>
      </c>
      <c r="H8" s="3">
        <f t="shared" si="1"/>
        <v>7</v>
      </c>
      <c r="I8" s="7" t="str">
        <f t="shared" si="2"/>
        <v>Jo</v>
      </c>
      <c r="J8" s="3" t="str">
        <f t="shared" si="3"/>
        <v>on</v>
      </c>
      <c r="K8" s="3" t="str">
        <f t="shared" si="4"/>
        <v>oh</v>
      </c>
      <c r="L8" s="3" t="str">
        <f t="shared" si="5"/>
        <v>James Johnson</v>
      </c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6" t="s">
        <v>91</v>
      </c>
      <c r="B9" s="26" t="s">
        <v>92</v>
      </c>
      <c r="C9" s="87" t="s">
        <v>93</v>
      </c>
      <c r="D9" s="48">
        <v>34014.0</v>
      </c>
      <c r="E9" s="49">
        <v>100000.0</v>
      </c>
      <c r="F9" s="3"/>
      <c r="G9" s="26" t="s">
        <v>190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6" t="s">
        <v>95</v>
      </c>
      <c r="B10" s="26" t="s">
        <v>96</v>
      </c>
      <c r="C10" s="26" t="s">
        <v>97</v>
      </c>
      <c r="D10" s="48">
        <v>28212.0</v>
      </c>
      <c r="E10" s="49">
        <v>125000.0</v>
      </c>
      <c r="F10" s="26" t="s">
        <v>189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6" t="s">
        <v>99</v>
      </c>
      <c r="B11" s="26" t="s">
        <v>100</v>
      </c>
      <c r="C11" s="26" t="s">
        <v>101</v>
      </c>
      <c r="D11" s="48">
        <v>38718.0</v>
      </c>
      <c r="E11" s="49">
        <v>42500.0</v>
      </c>
      <c r="F11" s="26" t="s">
        <v>187</v>
      </c>
      <c r="G11" s="26" t="s">
        <v>188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6" t="s">
        <v>103</v>
      </c>
      <c r="B12" s="26" t="s">
        <v>104</v>
      </c>
      <c r="C12" s="87" t="s">
        <v>74</v>
      </c>
      <c r="D12" s="48">
        <v>38505.0</v>
      </c>
      <c r="E12" s="49">
        <v>69000.0</v>
      </c>
      <c r="F12" s="26" t="s">
        <v>187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6" t="s">
        <v>106</v>
      </c>
      <c r="B13" s="26" t="s">
        <v>107</v>
      </c>
      <c r="C13" s="26" t="s">
        <v>79</v>
      </c>
      <c r="D13" s="48">
        <v>36861.0</v>
      </c>
      <c r="E13" s="49">
        <v>49500.0</v>
      </c>
      <c r="F13" s="26" t="s">
        <v>187</v>
      </c>
      <c r="G13" s="26" t="s">
        <v>188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6" t="s">
        <v>109</v>
      </c>
      <c r="B14" s="26" t="s">
        <v>100</v>
      </c>
      <c r="C14" s="26" t="s">
        <v>110</v>
      </c>
      <c r="D14" s="48">
        <v>33267.0</v>
      </c>
      <c r="E14" s="49">
        <v>65000.0</v>
      </c>
      <c r="F14" s="26" t="s">
        <v>189</v>
      </c>
      <c r="G14" s="26" t="s">
        <v>190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6" t="s">
        <v>112</v>
      </c>
      <c r="B15" s="26" t="s">
        <v>113</v>
      </c>
      <c r="C15" s="26" t="s">
        <v>114</v>
      </c>
      <c r="D15" s="48">
        <v>36957.0</v>
      </c>
      <c r="E15" s="49">
        <v>18500.0</v>
      </c>
      <c r="F15" s="26" t="s">
        <v>187</v>
      </c>
      <c r="G15" s="26" t="s">
        <v>191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6" t="s">
        <v>116</v>
      </c>
      <c r="B16" s="26" t="s">
        <v>117</v>
      </c>
      <c r="C16" s="26" t="s">
        <v>118</v>
      </c>
      <c r="D16" s="48">
        <v>31510.0</v>
      </c>
      <c r="E16" s="49">
        <v>65000.0</v>
      </c>
      <c r="F16" s="26" t="s">
        <v>187</v>
      </c>
      <c r="G16" s="26" t="s">
        <v>190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6" t="s">
        <v>120</v>
      </c>
      <c r="B17" s="26" t="s">
        <v>121</v>
      </c>
      <c r="C17" s="26" t="s">
        <v>122</v>
      </c>
      <c r="D17" s="48">
        <v>37945.0</v>
      </c>
      <c r="E17" s="49">
        <v>58000.0</v>
      </c>
      <c r="F17" s="26" t="s">
        <v>189</v>
      </c>
      <c r="G17" s="26" t="s">
        <v>190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6" t="s">
        <v>124</v>
      </c>
      <c r="B18" s="26" t="s">
        <v>110</v>
      </c>
      <c r="C18" s="26" t="s">
        <v>125</v>
      </c>
      <c r="D18" s="48">
        <v>31147.0</v>
      </c>
      <c r="E18" s="49">
        <v>75000.0</v>
      </c>
      <c r="F18" s="26" t="s">
        <v>189</v>
      </c>
      <c r="G18" s="26" t="s">
        <v>190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6" t="s">
        <v>127</v>
      </c>
      <c r="B19" s="26" t="s">
        <v>128</v>
      </c>
      <c r="C19" s="26" t="s">
        <v>129</v>
      </c>
      <c r="D19" s="48">
        <v>33267.0</v>
      </c>
      <c r="E19" s="49">
        <v>58500.0</v>
      </c>
      <c r="F19" s="26" t="s">
        <v>189</v>
      </c>
      <c r="G19" s="26" t="s">
        <v>191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6" t="s">
        <v>131</v>
      </c>
      <c r="B20" s="26" t="s">
        <v>132</v>
      </c>
      <c r="C20" s="26" t="s">
        <v>133</v>
      </c>
      <c r="D20" s="48">
        <v>35992.0</v>
      </c>
      <c r="E20" s="49">
        <v>150000.0</v>
      </c>
      <c r="F20" s="26" t="s">
        <v>189</v>
      </c>
      <c r="G20" s="26" t="s">
        <v>190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6" t="s">
        <v>135</v>
      </c>
      <c r="B21" s="87" t="s">
        <v>136</v>
      </c>
      <c r="C21" s="87" t="s">
        <v>70</v>
      </c>
      <c r="D21" s="48">
        <v>37827.0</v>
      </c>
      <c r="E21" s="49">
        <v>45000.0</v>
      </c>
      <c r="F21" s="26" t="s">
        <v>187</v>
      </c>
      <c r="G21" s="26" t="s">
        <v>188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6" t="s">
        <v>138</v>
      </c>
      <c r="B22" s="26" t="s">
        <v>139</v>
      </c>
      <c r="C22" s="26" t="s">
        <v>140</v>
      </c>
      <c r="D22" s="48">
        <v>35964.0</v>
      </c>
      <c r="E22" s="49">
        <v>40000.0</v>
      </c>
      <c r="F22" s="26" t="s">
        <v>189</v>
      </c>
      <c r="G22" s="26" t="s">
        <v>191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6" t="s">
        <v>142</v>
      </c>
      <c r="B23" s="26" t="s">
        <v>143</v>
      </c>
      <c r="C23" s="26" t="s">
        <v>144</v>
      </c>
      <c r="D23" s="48">
        <v>30816.0</v>
      </c>
      <c r="E23" s="49">
        <v>79000.0</v>
      </c>
      <c r="F23" s="26" t="s">
        <v>187</v>
      </c>
      <c r="G23" s="26" t="s">
        <v>190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6" t="s">
        <v>146</v>
      </c>
      <c r="B24" s="26" t="s">
        <v>147</v>
      </c>
      <c r="C24" s="26" t="s">
        <v>118</v>
      </c>
      <c r="D24" s="48">
        <v>33770.0</v>
      </c>
      <c r="E24" s="49">
        <v>55000.0</v>
      </c>
      <c r="F24" s="26" t="s">
        <v>187</v>
      </c>
      <c r="G24" s="26" t="s">
        <v>188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6" t="s">
        <v>149</v>
      </c>
      <c r="B25" s="26" t="s">
        <v>150</v>
      </c>
      <c r="C25" s="26" t="s">
        <v>151</v>
      </c>
      <c r="D25" s="48">
        <v>38955.0</v>
      </c>
      <c r="E25" s="49">
        <v>23000.0</v>
      </c>
      <c r="F25" s="26" t="s">
        <v>189</v>
      </c>
      <c r="G25" s="26" t="s">
        <v>190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6" t="s">
        <v>153</v>
      </c>
      <c r="B26" s="26" t="s">
        <v>154</v>
      </c>
      <c r="C26" s="26" t="s">
        <v>129</v>
      </c>
      <c r="D26" s="48">
        <v>37533.0</v>
      </c>
      <c r="E26" s="49">
        <v>52000.0</v>
      </c>
      <c r="F26" s="26" t="s">
        <v>189</v>
      </c>
      <c r="G26" s="26" t="s">
        <v>191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6" t="s">
        <v>156</v>
      </c>
      <c r="B27" s="26" t="s">
        <v>157</v>
      </c>
      <c r="C27" s="26" t="s">
        <v>158</v>
      </c>
      <c r="D27" s="48">
        <v>35698.0</v>
      </c>
      <c r="E27" s="49">
        <v>38500.0</v>
      </c>
      <c r="F27" s="26" t="s">
        <v>187</v>
      </c>
      <c r="G27" s="26" t="s">
        <v>188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6" t="s">
        <v>160</v>
      </c>
      <c r="B28" s="26" t="s">
        <v>161</v>
      </c>
      <c r="C28" s="26" t="s">
        <v>129</v>
      </c>
      <c r="D28" s="48">
        <v>29427.0</v>
      </c>
      <c r="E28" s="49">
        <v>175000.0</v>
      </c>
      <c r="F28" s="26" t="s">
        <v>189</v>
      </c>
      <c r="G28" s="26" t="s">
        <v>190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6" t="s">
        <v>112</v>
      </c>
      <c r="B29" s="26" t="s">
        <v>113</v>
      </c>
      <c r="C29" s="26" t="s">
        <v>114</v>
      </c>
      <c r="D29" s="48">
        <v>36957.0</v>
      </c>
      <c r="E29" s="49">
        <v>18500.0</v>
      </c>
      <c r="F29" s="26" t="s">
        <v>187</v>
      </c>
      <c r="G29" s="26" t="s">
        <v>191</v>
      </c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26" t="s">
        <v>77</v>
      </c>
      <c r="B30" s="26" t="s">
        <v>78</v>
      </c>
      <c r="C30" s="26" t="s">
        <v>79</v>
      </c>
      <c r="D30" s="48">
        <v>35501.0</v>
      </c>
      <c r="E30" s="49">
        <v>69000.0</v>
      </c>
      <c r="F30" s="26" t="s">
        <v>187</v>
      </c>
      <c r="G30" s="26" t="s">
        <v>188</v>
      </c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7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7" t="s">
        <v>301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302</v>
      </c>
      <c r="B1" s="21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21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" t="s">
        <v>303</v>
      </c>
      <c r="B3" s="21"/>
      <c r="C3" s="3"/>
      <c r="D3" s="2" t="s">
        <v>304</v>
      </c>
      <c r="E3" s="88" t="s">
        <v>305</v>
      </c>
      <c r="F3" s="88" t="s">
        <v>306</v>
      </c>
      <c r="G3" s="88" t="s">
        <v>182</v>
      </c>
      <c r="H3" s="1" t="s">
        <v>307</v>
      </c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89" t="s">
        <v>308</v>
      </c>
      <c r="B4" s="4">
        <v>1.0</v>
      </c>
      <c r="C4" s="3"/>
      <c r="D4" s="7" t="s">
        <v>309</v>
      </c>
      <c r="E4" s="21" t="str">
        <f t="array" ref="E4:E9">LEFT(D4:D9,2)</f>
        <v>12</v>
      </c>
      <c r="F4" s="90">
        <f>IFERROR(__xludf.DUMMYFUNCTION("ArrayFormula(vlookup(REGEXEXTRACT(D4:D9,""\d{2} ([ก-๙]+\.[ก-๙]+\.) \d{4}""),A4:B15,2,FALSE))"),12.0)</f>
        <v>12</v>
      </c>
      <c r="G4" s="21">
        <f t="array" ref="G4:G9">RIGHT(D4:D9,4)-543</f>
        <v>2020</v>
      </c>
      <c r="H4" s="91">
        <f t="array" ref="H4:H9">DATE(G4:G9,F4:F9,E4:E9)</f>
        <v>44177</v>
      </c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89" t="s">
        <v>310</v>
      </c>
      <c r="B5" s="4">
        <v>2.0</v>
      </c>
      <c r="C5" s="3"/>
      <c r="D5" s="7" t="s">
        <v>311</v>
      </c>
      <c r="E5" s="21" t="s">
        <v>312</v>
      </c>
      <c r="F5" s="21">
        <f>IFERROR(__xludf.DUMMYFUNCTION("""COMPUTED_VALUE"""),11.0)</f>
        <v>11</v>
      </c>
      <c r="G5" s="21">
        <v>2018.0</v>
      </c>
      <c r="H5" s="91">
        <v>43429.0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89" t="s">
        <v>313</v>
      </c>
      <c r="B6" s="4">
        <v>3.0</v>
      </c>
      <c r="C6" s="3"/>
      <c r="D6" s="7" t="s">
        <v>314</v>
      </c>
      <c r="E6" s="21" t="s">
        <v>315</v>
      </c>
      <c r="F6" s="21">
        <f>IFERROR(__xludf.DUMMYFUNCTION("""COMPUTED_VALUE"""),9.0)</f>
        <v>9</v>
      </c>
      <c r="G6" s="21">
        <v>2019.0</v>
      </c>
      <c r="H6" s="91">
        <v>43717.0</v>
      </c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89" t="s">
        <v>316</v>
      </c>
      <c r="B7" s="4">
        <v>4.0</v>
      </c>
      <c r="C7" s="3"/>
      <c r="D7" s="7" t="s">
        <v>317</v>
      </c>
      <c r="E7" s="21" t="s">
        <v>318</v>
      </c>
      <c r="F7" s="21">
        <f>IFERROR(__xludf.DUMMYFUNCTION("""COMPUTED_VALUE"""),1.0)</f>
        <v>1</v>
      </c>
      <c r="G7" s="21">
        <v>2017.0</v>
      </c>
      <c r="H7" s="91">
        <v>42742.0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89" t="s">
        <v>319</v>
      </c>
      <c r="B8" s="4">
        <v>5.0</v>
      </c>
      <c r="C8" s="3"/>
      <c r="D8" s="7" t="s">
        <v>320</v>
      </c>
      <c r="E8" s="21" t="s">
        <v>321</v>
      </c>
      <c r="F8" s="21">
        <f>IFERROR(__xludf.DUMMYFUNCTION("""COMPUTED_VALUE"""),4.0)</f>
        <v>4</v>
      </c>
      <c r="G8" s="21">
        <v>2020.0</v>
      </c>
      <c r="H8" s="91">
        <v>43936.0</v>
      </c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89" t="s">
        <v>322</v>
      </c>
      <c r="B9" s="4">
        <v>6.0</v>
      </c>
      <c r="C9" s="3"/>
      <c r="D9" s="7" t="s">
        <v>323</v>
      </c>
      <c r="E9" s="21" t="s">
        <v>324</v>
      </c>
      <c r="F9" s="21">
        <f>IFERROR(__xludf.DUMMYFUNCTION("""COMPUTED_VALUE"""),6.0)</f>
        <v>6</v>
      </c>
      <c r="G9" s="21">
        <v>2020.0</v>
      </c>
      <c r="H9" s="91">
        <v>43988.0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89" t="s">
        <v>325</v>
      </c>
      <c r="B10" s="4">
        <v>7.0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89" t="s">
        <v>326</v>
      </c>
      <c r="B11" s="4">
        <v>8.0</v>
      </c>
      <c r="C11" s="3"/>
      <c r="D11" s="2" t="s">
        <v>224</v>
      </c>
      <c r="E11" s="3"/>
      <c r="F11" s="3"/>
      <c r="G11" s="3"/>
      <c r="H11" s="71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89" t="s">
        <v>327</v>
      </c>
      <c r="B12" s="4">
        <v>9.0</v>
      </c>
      <c r="C12" s="3"/>
      <c r="D12" s="92" t="s">
        <v>305</v>
      </c>
      <c r="E12" s="63" t="s">
        <v>328</v>
      </c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89" t="s">
        <v>329</v>
      </c>
      <c r="B13" s="4">
        <v>10.0</v>
      </c>
      <c r="C13" s="3"/>
      <c r="D13" s="92" t="s">
        <v>306</v>
      </c>
      <c r="E13" s="63" t="s">
        <v>330</v>
      </c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89" t="s">
        <v>331</v>
      </c>
      <c r="B14" s="4">
        <v>11.0</v>
      </c>
      <c r="C14" s="3"/>
      <c r="D14" s="92" t="s">
        <v>182</v>
      </c>
      <c r="E14" s="63" t="s">
        <v>332</v>
      </c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89" t="s">
        <v>333</v>
      </c>
      <c r="B15" s="4">
        <v>12.0</v>
      </c>
      <c r="C15" s="3"/>
      <c r="D15" s="92" t="s">
        <v>307</v>
      </c>
      <c r="E15" s="63" t="s">
        <v>334</v>
      </c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21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21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21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21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21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21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21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21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21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2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21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21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21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21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21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21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21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21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21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21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21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2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21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21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21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21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21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21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21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21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21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21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21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21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2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21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21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21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21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21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21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21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21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21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21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21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21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21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21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21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21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21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21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21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21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21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21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21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21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21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21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21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21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21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21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21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21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21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21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21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21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21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21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21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21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21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21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21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21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21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21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21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21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21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21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21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21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21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21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21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21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21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21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21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21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21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21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21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21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21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21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21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21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21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21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21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21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21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21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21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21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21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21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21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21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21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21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21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21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21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21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21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21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21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21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21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21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21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21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21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21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21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21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21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21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21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21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21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21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21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21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21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21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21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21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21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21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21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21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21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21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21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21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21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21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21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21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21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21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21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21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21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21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21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21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21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21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21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21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21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21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21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21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21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21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21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21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21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21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21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21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21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21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21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21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21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21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21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21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21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21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21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21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21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21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21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21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21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21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21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21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21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21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21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21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21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21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21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21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21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21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21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21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21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21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21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21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21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21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21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21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21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21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21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21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21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21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21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21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21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21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21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21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21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21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21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21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21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21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21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21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21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21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21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21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21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21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21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21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21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21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21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21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21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21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21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21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21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21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21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21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21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21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21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21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21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21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21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21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21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21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21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21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21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21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21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21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21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21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21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21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21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21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21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21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21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21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21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21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21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21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21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21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21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21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21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21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21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21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21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21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21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21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21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21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21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21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21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21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21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21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21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21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21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21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21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21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21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21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21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21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21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21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21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21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21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21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21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21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21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21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21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21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21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21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21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21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21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21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21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21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21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21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21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21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21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21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21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21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21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21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21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21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21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21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21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21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21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21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21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21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21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21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21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21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21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21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21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21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21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21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21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21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21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21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21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21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21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21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21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21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21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21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21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21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21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21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21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21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21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21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21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21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21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21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21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21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21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21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21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21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21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21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21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21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21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21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21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21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21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21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21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21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21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21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21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21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21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21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21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21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21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21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21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21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21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21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21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21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21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21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21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21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21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21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21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21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21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21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21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21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21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21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21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21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21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21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21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21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21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21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21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21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21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21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21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21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21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21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21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21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21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21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21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21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21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21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21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21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21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21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21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21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21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21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21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21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21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21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21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21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21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21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21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21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21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21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21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21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21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21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21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21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21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21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21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21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21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21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21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21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21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21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21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21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21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21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21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21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21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21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21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21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21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21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21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21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21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21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21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21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21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21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21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21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21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21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21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21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21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21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21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21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21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21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21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21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21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21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21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21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21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21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21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21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21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21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21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21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21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21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21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21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21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21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21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21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21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21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21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21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21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21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21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21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21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21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21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21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21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21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21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21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21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21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21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21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21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21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21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21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21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21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21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21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21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21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21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21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21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21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21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21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21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21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21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21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21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21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21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21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21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21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21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21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21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21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21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21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21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21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21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21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21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21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21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21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21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21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21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21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21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21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21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21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21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21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21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21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21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21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21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21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21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21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21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21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21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21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21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21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21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21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21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21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21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21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21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21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21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21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21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21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21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21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21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21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21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21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21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21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21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21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21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21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21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21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21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21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21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21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21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21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21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21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21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21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21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21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21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21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21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21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21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21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21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21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21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21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21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21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21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21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21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21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21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21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21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21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21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21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21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21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21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21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21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21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21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21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21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21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21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21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21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21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21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21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21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21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21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21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21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21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21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21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21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21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21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21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21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21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21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21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21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21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21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21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21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21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21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21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21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21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21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21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21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21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21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21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21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21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21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21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21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21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21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21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21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21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21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21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21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21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21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21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21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21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21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21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21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21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21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21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21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21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21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21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21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21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21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21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21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21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21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21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21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21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21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21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21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21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21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21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21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21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21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21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21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21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21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21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21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21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21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21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21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21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21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21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21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21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21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21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21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21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21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21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21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21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21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21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21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21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21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21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21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21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21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21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21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21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21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21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21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21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21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21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21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21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21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21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21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21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21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21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21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21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21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21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21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21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21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21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21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21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21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21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21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21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21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21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21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21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21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21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21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21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21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21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21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21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21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21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21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21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21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21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21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21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21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21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21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21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21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21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21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21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21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21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21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21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21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21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21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21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21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21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21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21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21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21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21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21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21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21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21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21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21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21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21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21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21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21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21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21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21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21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21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21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21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21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21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21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21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21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21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21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21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21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21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21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21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21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21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21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21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21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21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21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21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21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21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21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21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21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21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21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21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21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21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21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21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21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21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21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21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21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21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21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21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21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21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21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21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21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21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21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21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21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21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21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21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21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21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21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21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21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21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21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21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21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21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21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21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21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25"/>
    <col customWidth="1" min="8" max="8" width="31.63"/>
    <col hidden="1" min="9" max="9" width="12.63"/>
    <col customWidth="1" hidden="1" min="10" max="10" width="12.13"/>
  </cols>
  <sheetData>
    <row r="1">
      <c r="A1" s="2" t="s">
        <v>28</v>
      </c>
    </row>
    <row r="3">
      <c r="A3" s="23" t="s">
        <v>58</v>
      </c>
      <c r="B3" s="23" t="s">
        <v>59</v>
      </c>
      <c r="C3" s="23" t="s">
        <v>60</v>
      </c>
      <c r="D3" s="23" t="s">
        <v>61</v>
      </c>
      <c r="E3" s="23" t="s">
        <v>62</v>
      </c>
      <c r="F3" s="23" t="s">
        <v>185</v>
      </c>
      <c r="G3" s="23" t="s">
        <v>186</v>
      </c>
      <c r="H3" s="24" t="s">
        <v>335</v>
      </c>
      <c r="I3" s="93" t="s">
        <v>336</v>
      </c>
      <c r="J3" s="93" t="s">
        <v>337</v>
      </c>
      <c r="K3" s="93" t="s">
        <v>338</v>
      </c>
      <c r="L3" s="93" t="s">
        <v>339</v>
      </c>
    </row>
    <row r="4">
      <c r="A4" s="26" t="s">
        <v>68</v>
      </c>
      <c r="B4" s="26" t="s">
        <v>69</v>
      </c>
      <c r="C4" s="26" t="s">
        <v>70</v>
      </c>
      <c r="D4" s="48">
        <v>38261.0</v>
      </c>
      <c r="E4" s="49">
        <v>57500.0</v>
      </c>
      <c r="F4" s="26" t="s">
        <v>187</v>
      </c>
      <c r="G4" s="26" t="s">
        <v>188</v>
      </c>
      <c r="H4" s="94" t="s">
        <v>340</v>
      </c>
      <c r="I4" s="94" t="b">
        <f>IFERROR(__xludf.DUMMYFUNCTION("ArrayFormula(REGEXMATCH(C4:C28,I3))"),FALSE)</f>
        <v>0</v>
      </c>
      <c r="J4" s="71" t="b">
        <f>IFERROR(__xludf.DUMMYFUNCTION("ArrayFormula(REGEXMATCH(A4:A28,J3))"),FALSE)</f>
        <v>0</v>
      </c>
      <c r="K4" s="94" t="str">
        <f>IFERROR(__xludf.DUMMYFUNCTION("ArrayFormula(REGEXEXTRACT(H4:H28,""[A-Z][a-z]+""))"),"Milgrom")</f>
        <v>Milgrom</v>
      </c>
      <c r="L4" s="94" t="str">
        <f>IFERROR(__xludf.DUMMYFUNCTION("ArrayFormula(REGEXEXTRACT(H4:H28,""[0-9]\.[0-9]{2}""))"),"9.64")</f>
        <v>9.64</v>
      </c>
    </row>
    <row r="5">
      <c r="A5" s="26" t="s">
        <v>72</v>
      </c>
      <c r="B5" s="26" t="s">
        <v>73</v>
      </c>
      <c r="C5" s="26" t="s">
        <v>74</v>
      </c>
      <c r="D5" s="48">
        <v>36906.0</v>
      </c>
      <c r="E5" s="49">
        <v>19500.0</v>
      </c>
      <c r="F5" s="26" t="s">
        <v>187</v>
      </c>
      <c r="G5" s="26" t="s">
        <v>188</v>
      </c>
      <c r="H5" s="94" t="s">
        <v>341</v>
      </c>
      <c r="I5" s="94" t="b">
        <f>IFERROR(__xludf.DUMMYFUNCTION("""COMPUTED_VALUE"""),FALSE)</f>
        <v>0</v>
      </c>
      <c r="J5" s="94" t="b">
        <f>IFERROR(__xludf.DUMMYFUNCTION("""COMPUTED_VALUE"""),TRUE)</f>
        <v>1</v>
      </c>
      <c r="K5" s="94" t="str">
        <f>IFERROR(__xludf.DUMMYFUNCTION("""COMPUTED_VALUE"""),"Adams")</f>
        <v>Adams</v>
      </c>
      <c r="L5" s="94" t="str">
        <f>IFERROR(__xludf.DUMMYFUNCTION("""COMPUTED_VALUE"""),"9.89")</f>
        <v>9.89</v>
      </c>
    </row>
    <row r="6">
      <c r="A6" s="26" t="s">
        <v>77</v>
      </c>
      <c r="B6" s="26" t="s">
        <v>78</v>
      </c>
      <c r="C6" s="26" t="s">
        <v>79</v>
      </c>
      <c r="D6" s="48">
        <v>35501.0</v>
      </c>
      <c r="E6" s="49">
        <v>69000.0</v>
      </c>
      <c r="F6" s="26" t="s">
        <v>187</v>
      </c>
      <c r="G6" s="26" t="s">
        <v>188</v>
      </c>
      <c r="H6" s="94" t="s">
        <v>342</v>
      </c>
      <c r="I6" s="94" t="b">
        <f>IFERROR(__xludf.DUMMYFUNCTION("""COMPUTED_VALUE"""),TRUE)</f>
        <v>1</v>
      </c>
      <c r="J6" s="94" t="b">
        <f>IFERROR(__xludf.DUMMYFUNCTION("""COMPUTED_VALUE"""),FALSE)</f>
        <v>0</v>
      </c>
      <c r="K6" s="94" t="str">
        <f>IFERROR(__xludf.DUMMYFUNCTION("""COMPUTED_VALUE"""),"Wood")</f>
        <v>Wood</v>
      </c>
      <c r="L6" s="94" t="str">
        <f>IFERROR(__xludf.DUMMYFUNCTION("""COMPUTED_VALUE"""),"5.69")</f>
        <v>5.69</v>
      </c>
    </row>
    <row r="7">
      <c r="A7" s="26" t="s">
        <v>82</v>
      </c>
      <c r="B7" s="26" t="s">
        <v>83</v>
      </c>
      <c r="C7" s="26" t="s">
        <v>84</v>
      </c>
      <c r="D7" s="48">
        <v>38578.0</v>
      </c>
      <c r="E7" s="49">
        <v>55000.0</v>
      </c>
      <c r="F7" s="26" t="s">
        <v>189</v>
      </c>
      <c r="G7" s="26" t="s">
        <v>190</v>
      </c>
      <c r="H7" s="94" t="s">
        <v>343</v>
      </c>
      <c r="I7" s="94" t="b">
        <f>IFERROR(__xludf.DUMMYFUNCTION("""COMPUTED_VALUE"""),TRUE)</f>
        <v>1</v>
      </c>
      <c r="J7" s="94" t="b">
        <f>IFERROR(__xludf.DUMMYFUNCTION("""COMPUTED_VALUE"""),FALSE)</f>
        <v>0</v>
      </c>
      <c r="K7" s="94" t="str">
        <f>IFERROR(__xludf.DUMMYFUNCTION("""COMPUTED_VALUE"""),"Foster")</f>
        <v>Foster</v>
      </c>
      <c r="L7" s="94" t="str">
        <f>IFERROR(__xludf.DUMMYFUNCTION("""COMPUTED_VALUE"""),"3.45")</f>
        <v>3.45</v>
      </c>
    </row>
    <row r="8">
      <c r="A8" s="26" t="s">
        <v>87</v>
      </c>
      <c r="B8" s="26" t="s">
        <v>88</v>
      </c>
      <c r="C8" s="26" t="s">
        <v>89</v>
      </c>
      <c r="D8" s="48">
        <v>35188.0</v>
      </c>
      <c r="E8" s="49">
        <v>47500.0</v>
      </c>
      <c r="F8" s="26" t="s">
        <v>189</v>
      </c>
      <c r="G8" s="26" t="s">
        <v>190</v>
      </c>
      <c r="H8" s="94" t="s">
        <v>344</v>
      </c>
      <c r="I8" s="94" t="b">
        <f>IFERROR(__xludf.DUMMYFUNCTION("""COMPUTED_VALUE"""),FALSE)</f>
        <v>0</v>
      </c>
      <c r="J8" s="94" t="b">
        <f>IFERROR(__xludf.DUMMYFUNCTION("""COMPUTED_VALUE"""),FALSE)</f>
        <v>0</v>
      </c>
      <c r="K8" s="94" t="str">
        <f>IFERROR(__xludf.DUMMYFUNCTION("""COMPUTED_VALUE"""),"Johnson")</f>
        <v>Johnson</v>
      </c>
      <c r="L8" s="94" t="str">
        <f>IFERROR(__xludf.DUMMYFUNCTION("""COMPUTED_VALUE"""),"3.38")</f>
        <v>3.38</v>
      </c>
    </row>
    <row r="9">
      <c r="A9" s="26" t="s">
        <v>91</v>
      </c>
      <c r="B9" s="26" t="s">
        <v>92</v>
      </c>
      <c r="C9" s="26" t="s">
        <v>93</v>
      </c>
      <c r="D9" s="48">
        <v>34014.0</v>
      </c>
      <c r="E9" s="49">
        <v>100000.0</v>
      </c>
      <c r="F9" s="3"/>
      <c r="G9" s="26" t="s">
        <v>190</v>
      </c>
      <c r="H9" s="94" t="s">
        <v>345</v>
      </c>
      <c r="I9" s="94" t="b">
        <f>IFERROR(__xludf.DUMMYFUNCTION("""COMPUTED_VALUE"""),TRUE)</f>
        <v>1</v>
      </c>
      <c r="J9" s="94" t="b">
        <f>IFERROR(__xludf.DUMMYFUNCTION("""COMPUTED_VALUE"""),FALSE)</f>
        <v>0</v>
      </c>
      <c r="K9" s="94" t="str">
        <f>IFERROR(__xludf.DUMMYFUNCTION("""COMPUTED_VALUE"""),"Coulter")</f>
        <v>Coulter</v>
      </c>
      <c r="L9" s="94" t="str">
        <f>IFERROR(__xludf.DUMMYFUNCTION("""COMPUTED_VALUE"""),"1.73")</f>
        <v>1.73</v>
      </c>
    </row>
    <row r="10">
      <c r="A10" s="26" t="s">
        <v>95</v>
      </c>
      <c r="B10" s="26" t="s">
        <v>96</v>
      </c>
      <c r="C10" s="26" t="s">
        <v>97</v>
      </c>
      <c r="D10" s="48">
        <v>28212.0</v>
      </c>
      <c r="E10" s="49">
        <v>125000.0</v>
      </c>
      <c r="F10" s="26" t="s">
        <v>189</v>
      </c>
      <c r="G10" s="3"/>
      <c r="H10" s="94" t="s">
        <v>346</v>
      </c>
      <c r="I10" s="94" t="b">
        <f>IFERROR(__xludf.DUMMYFUNCTION("""COMPUTED_VALUE"""),TRUE)</f>
        <v>1</v>
      </c>
      <c r="J10" s="94" t="b">
        <f>IFERROR(__xludf.DUMMYFUNCTION("""COMPUTED_VALUE"""),TRUE)</f>
        <v>1</v>
      </c>
      <c r="K10" s="94" t="str">
        <f>IFERROR(__xludf.DUMMYFUNCTION("""COMPUTED_VALUE"""),"Marlin")</f>
        <v>Marlin</v>
      </c>
      <c r="L10" s="94" t="str">
        <f>IFERROR(__xludf.DUMMYFUNCTION("""COMPUTED_VALUE"""),"8.28")</f>
        <v>8.28</v>
      </c>
    </row>
    <row r="11">
      <c r="A11" s="26" t="s">
        <v>99</v>
      </c>
      <c r="B11" s="26" t="s">
        <v>100</v>
      </c>
      <c r="C11" s="26" t="s">
        <v>101</v>
      </c>
      <c r="D11" s="48">
        <v>38718.0</v>
      </c>
      <c r="E11" s="49">
        <v>42500.0</v>
      </c>
      <c r="F11" s="26" t="s">
        <v>187</v>
      </c>
      <c r="G11" s="26" t="s">
        <v>188</v>
      </c>
      <c r="H11" s="94" t="s">
        <v>347</v>
      </c>
      <c r="I11" s="94" t="b">
        <f>IFERROR(__xludf.DUMMYFUNCTION("""COMPUTED_VALUE"""),TRUE)</f>
        <v>1</v>
      </c>
      <c r="J11" s="94" t="b">
        <f>IFERROR(__xludf.DUMMYFUNCTION("""COMPUTED_VALUE"""),TRUE)</f>
        <v>1</v>
      </c>
      <c r="K11" s="94" t="str">
        <f>IFERROR(__xludf.DUMMYFUNCTION("""COMPUTED_VALUE"""),"Smith")</f>
        <v>Smith</v>
      </c>
      <c r="L11" s="94" t="str">
        <f>IFERROR(__xludf.DUMMYFUNCTION("""COMPUTED_VALUE"""),"5.57")</f>
        <v>5.57</v>
      </c>
    </row>
    <row r="12">
      <c r="A12" s="26" t="s">
        <v>103</v>
      </c>
      <c r="B12" s="26" t="s">
        <v>104</v>
      </c>
      <c r="C12" s="26" t="s">
        <v>74</v>
      </c>
      <c r="D12" s="48">
        <v>38505.0</v>
      </c>
      <c r="E12" s="49">
        <v>69000.0</v>
      </c>
      <c r="F12" s="26" t="s">
        <v>187</v>
      </c>
      <c r="G12" s="3"/>
      <c r="H12" s="93" t="s">
        <v>348</v>
      </c>
      <c r="I12" s="94" t="b">
        <f>IFERROR(__xludf.DUMMYFUNCTION("""COMPUTED_VALUE"""),FALSE)</f>
        <v>0</v>
      </c>
      <c r="J12" s="94" t="b">
        <f>IFERROR(__xludf.DUMMYFUNCTION("""COMPUTED_VALUE"""),FALSE)</f>
        <v>0</v>
      </c>
      <c r="K12" s="94" t="str">
        <f>IFERROR(__xludf.DUMMYFUNCTION("""COMPUTED_VALUE"""),"Johanson")</f>
        <v>Johanson</v>
      </c>
      <c r="L12" s="94" t="str">
        <f>IFERROR(__xludf.DUMMYFUNCTION("""COMPUTED_VALUE"""),"9.56")</f>
        <v>9.56</v>
      </c>
    </row>
    <row r="13">
      <c r="A13" s="26" t="s">
        <v>106</v>
      </c>
      <c r="B13" s="26" t="s">
        <v>107</v>
      </c>
      <c r="C13" s="26" t="s">
        <v>79</v>
      </c>
      <c r="D13" s="48">
        <v>36861.0</v>
      </c>
      <c r="E13" s="49">
        <v>49500.0</v>
      </c>
      <c r="F13" s="26" t="s">
        <v>187</v>
      </c>
      <c r="G13" s="26" t="s">
        <v>188</v>
      </c>
      <c r="H13" s="94" t="s">
        <v>349</v>
      </c>
      <c r="I13" s="94" t="b">
        <f>IFERROR(__xludf.DUMMYFUNCTION("""COMPUTED_VALUE"""),TRUE)</f>
        <v>1</v>
      </c>
      <c r="J13" s="94" t="b">
        <f>IFERROR(__xludf.DUMMYFUNCTION("""COMPUTED_VALUE"""),FALSE)</f>
        <v>0</v>
      </c>
      <c r="K13" s="94" t="str">
        <f>IFERROR(__xludf.DUMMYFUNCTION("""COMPUTED_VALUE"""),"Manin")</f>
        <v>Manin</v>
      </c>
      <c r="L13" s="94" t="str">
        <f>IFERROR(__xludf.DUMMYFUNCTION("""COMPUTED_VALUE"""),"1.17")</f>
        <v>1.17</v>
      </c>
    </row>
    <row r="14">
      <c r="A14" s="26" t="s">
        <v>109</v>
      </c>
      <c r="B14" s="26" t="s">
        <v>100</v>
      </c>
      <c r="C14" s="26" t="s">
        <v>110</v>
      </c>
      <c r="D14" s="48">
        <v>33267.0</v>
      </c>
      <c r="E14" s="49">
        <v>65000.0</v>
      </c>
      <c r="F14" s="26" t="s">
        <v>189</v>
      </c>
      <c r="G14" s="26" t="s">
        <v>190</v>
      </c>
      <c r="H14" s="94" t="s">
        <v>350</v>
      </c>
      <c r="I14" s="94" t="b">
        <f>IFERROR(__xludf.DUMMYFUNCTION("""COMPUTED_VALUE"""),TRUE)</f>
        <v>1</v>
      </c>
      <c r="J14" s="94" t="b">
        <f>IFERROR(__xludf.DUMMYFUNCTION("""COMPUTED_VALUE"""),FALSE)</f>
        <v>0</v>
      </c>
      <c r="K14" s="94" t="str">
        <f>IFERROR(__xludf.DUMMYFUNCTION("""COMPUTED_VALUE"""),"Smith")</f>
        <v>Smith</v>
      </c>
      <c r="L14" s="94" t="str">
        <f>IFERROR(__xludf.DUMMYFUNCTION("""COMPUTED_VALUE"""),"1.06")</f>
        <v>1.06</v>
      </c>
    </row>
    <row r="15">
      <c r="A15" s="26" t="s">
        <v>112</v>
      </c>
      <c r="B15" s="26" t="s">
        <v>113</v>
      </c>
      <c r="C15" s="26" t="s">
        <v>114</v>
      </c>
      <c r="D15" s="48">
        <v>36957.0</v>
      </c>
      <c r="E15" s="49">
        <v>18500.0</v>
      </c>
      <c r="F15" s="26" t="s">
        <v>187</v>
      </c>
      <c r="G15" s="26" t="s">
        <v>191</v>
      </c>
      <c r="H15" s="94" t="s">
        <v>351</v>
      </c>
      <c r="I15" s="94" t="b">
        <f>IFERROR(__xludf.DUMMYFUNCTION("""COMPUTED_VALUE"""),TRUE)</f>
        <v>1</v>
      </c>
      <c r="J15" s="94" t="b">
        <f>IFERROR(__xludf.DUMMYFUNCTION("""COMPUTED_VALUE"""),FALSE)</f>
        <v>0</v>
      </c>
      <c r="K15" s="94" t="str">
        <f>IFERROR(__xludf.DUMMYFUNCTION("""COMPUTED_VALUE"""),"Brown")</f>
        <v>Brown</v>
      </c>
      <c r="L15" s="94" t="str">
        <f>IFERROR(__xludf.DUMMYFUNCTION("""COMPUTED_VALUE"""),"3.51")</f>
        <v>3.51</v>
      </c>
    </row>
    <row r="16">
      <c r="A16" s="26" t="s">
        <v>116</v>
      </c>
      <c r="B16" s="26" t="s">
        <v>117</v>
      </c>
      <c r="C16" s="26" t="s">
        <v>118</v>
      </c>
      <c r="D16" s="48">
        <v>31510.0</v>
      </c>
      <c r="E16" s="49">
        <v>65000.0</v>
      </c>
      <c r="F16" s="26" t="s">
        <v>187</v>
      </c>
      <c r="G16" s="26" t="s">
        <v>190</v>
      </c>
      <c r="H16" s="94" t="s">
        <v>352</v>
      </c>
      <c r="I16" s="94" t="b">
        <f>IFERROR(__xludf.DUMMYFUNCTION("""COMPUTED_VALUE"""),TRUE)</f>
        <v>1</v>
      </c>
      <c r="J16" s="94" t="b">
        <f>IFERROR(__xludf.DUMMYFUNCTION("""COMPUTED_VALUE"""),FALSE)</f>
        <v>0</v>
      </c>
      <c r="K16" s="94" t="str">
        <f>IFERROR(__xludf.DUMMYFUNCTION("""COMPUTED_VALUE"""),"Jones")</f>
        <v>Jones</v>
      </c>
      <c r="L16" s="94" t="str">
        <f>IFERROR(__xludf.DUMMYFUNCTION("""COMPUTED_VALUE"""),"4.93")</f>
        <v>4.93</v>
      </c>
    </row>
    <row r="17">
      <c r="A17" s="26" t="s">
        <v>120</v>
      </c>
      <c r="B17" s="26" t="s">
        <v>121</v>
      </c>
      <c r="C17" s="26" t="s">
        <v>122</v>
      </c>
      <c r="D17" s="48">
        <v>37945.0</v>
      </c>
      <c r="E17" s="49">
        <v>58000.0</v>
      </c>
      <c r="F17" s="26" t="s">
        <v>189</v>
      </c>
      <c r="G17" s="26" t="s">
        <v>190</v>
      </c>
      <c r="H17" s="93" t="s">
        <v>353</v>
      </c>
      <c r="I17" s="94" t="b">
        <f>IFERROR(__xludf.DUMMYFUNCTION("""COMPUTED_VALUE"""),FALSE)</f>
        <v>0</v>
      </c>
      <c r="J17" s="94" t="b">
        <f>IFERROR(__xludf.DUMMYFUNCTION("""COMPUTED_VALUE"""),FALSE)</f>
        <v>0</v>
      </c>
      <c r="K17" s="94" t="str">
        <f>IFERROR(__xludf.DUMMYFUNCTION("""COMPUTED_VALUE"""),"Bronson")</f>
        <v>Bronson</v>
      </c>
      <c r="L17" s="94" t="str">
        <f>IFERROR(__xludf.DUMMYFUNCTION("""COMPUTED_VALUE"""),"9.15")</f>
        <v>9.15</v>
      </c>
    </row>
    <row r="18">
      <c r="A18" s="26" t="s">
        <v>124</v>
      </c>
      <c r="B18" s="26" t="s">
        <v>110</v>
      </c>
      <c r="C18" s="26" t="s">
        <v>125</v>
      </c>
      <c r="D18" s="48">
        <v>31147.0</v>
      </c>
      <c r="E18" s="49">
        <v>75000.0</v>
      </c>
      <c r="F18" s="26" t="s">
        <v>189</v>
      </c>
      <c r="G18" s="26" t="s">
        <v>190</v>
      </c>
      <c r="H18" s="94" t="s">
        <v>354</v>
      </c>
      <c r="I18" s="94" t="b">
        <f>IFERROR(__xludf.DUMMYFUNCTION("""COMPUTED_VALUE"""),TRUE)</f>
        <v>1</v>
      </c>
      <c r="J18" s="94" t="b">
        <f>IFERROR(__xludf.DUMMYFUNCTION("""COMPUTED_VALUE"""),FALSE)</f>
        <v>0</v>
      </c>
      <c r="K18" s="94" t="str">
        <f>IFERROR(__xludf.DUMMYFUNCTION("""COMPUTED_VALUE"""),"Frank")</f>
        <v>Frank</v>
      </c>
      <c r="L18" s="94" t="str">
        <f>IFERROR(__xludf.DUMMYFUNCTION("""COMPUTED_VALUE"""),"5.35")</f>
        <v>5.35</v>
      </c>
    </row>
    <row r="19">
      <c r="A19" s="26" t="s">
        <v>127</v>
      </c>
      <c r="B19" s="26" t="s">
        <v>128</v>
      </c>
      <c r="C19" s="26" t="s">
        <v>129</v>
      </c>
      <c r="D19" s="48">
        <v>33267.0</v>
      </c>
      <c r="E19" s="49">
        <v>58500.0</v>
      </c>
      <c r="F19" s="26" t="s">
        <v>189</v>
      </c>
      <c r="G19" s="26" t="s">
        <v>191</v>
      </c>
      <c r="H19" s="94" t="s">
        <v>355</v>
      </c>
      <c r="I19" s="94" t="b">
        <f>IFERROR(__xludf.DUMMYFUNCTION("""COMPUTED_VALUE"""),TRUE)</f>
        <v>1</v>
      </c>
      <c r="J19" s="94" t="b">
        <f>IFERROR(__xludf.DUMMYFUNCTION("""COMPUTED_VALUE"""),FALSE)</f>
        <v>0</v>
      </c>
      <c r="K19" s="94" t="str">
        <f>IFERROR(__xludf.DUMMYFUNCTION("""COMPUTED_VALUE"""),"Webster")</f>
        <v>Webster</v>
      </c>
      <c r="L19" s="94" t="str">
        <f>IFERROR(__xludf.DUMMYFUNCTION("""COMPUTED_VALUE"""),"9.59")</f>
        <v>9.59</v>
      </c>
    </row>
    <row r="20">
      <c r="A20" s="26" t="s">
        <v>131</v>
      </c>
      <c r="B20" s="26" t="s">
        <v>132</v>
      </c>
      <c r="C20" s="26" t="s">
        <v>133</v>
      </c>
      <c r="D20" s="48">
        <v>35992.0</v>
      </c>
      <c r="E20" s="49">
        <v>150000.0</v>
      </c>
      <c r="F20" s="26" t="s">
        <v>189</v>
      </c>
      <c r="G20" s="26" t="s">
        <v>190</v>
      </c>
      <c r="H20" s="94" t="s">
        <v>356</v>
      </c>
      <c r="I20" s="94" t="b">
        <f>IFERROR(__xludf.DUMMYFUNCTION("""COMPUTED_VALUE"""),FALSE)</f>
        <v>0</v>
      </c>
      <c r="J20" s="94" t="b">
        <f>IFERROR(__xludf.DUMMYFUNCTION("""COMPUTED_VALUE"""),FALSE)</f>
        <v>0</v>
      </c>
      <c r="K20" s="94" t="str">
        <f>IFERROR(__xludf.DUMMYFUNCTION("""COMPUTED_VALUE"""),"Rodriguez")</f>
        <v>Rodriguez</v>
      </c>
      <c r="L20" s="94" t="str">
        <f>IFERROR(__xludf.DUMMYFUNCTION("""COMPUTED_VALUE"""),"0.51")</f>
        <v>0.51</v>
      </c>
    </row>
    <row r="21">
      <c r="A21" s="26" t="s">
        <v>135</v>
      </c>
      <c r="B21" s="26" t="s">
        <v>136</v>
      </c>
      <c r="C21" s="26" t="s">
        <v>70</v>
      </c>
      <c r="D21" s="48">
        <v>37827.0</v>
      </c>
      <c r="E21" s="49">
        <v>45000.0</v>
      </c>
      <c r="F21" s="26" t="s">
        <v>187</v>
      </c>
      <c r="G21" s="26" t="s">
        <v>188</v>
      </c>
      <c r="H21" s="94" t="s">
        <v>357</v>
      </c>
      <c r="I21" s="94" t="b">
        <f>IFERROR(__xludf.DUMMYFUNCTION("""COMPUTED_VALUE"""),FALSE)</f>
        <v>0</v>
      </c>
      <c r="J21" s="94" t="b">
        <f>IFERROR(__xludf.DUMMYFUNCTION("""COMPUTED_VALUE"""),TRUE)</f>
        <v>1</v>
      </c>
      <c r="K21" s="94" t="str">
        <f>IFERROR(__xludf.DUMMYFUNCTION("""COMPUTED_VALUE"""),"Rubin")</f>
        <v>Rubin</v>
      </c>
      <c r="L21" s="94" t="str">
        <f>IFERROR(__xludf.DUMMYFUNCTION("""COMPUTED_VALUE"""),"6.22")</f>
        <v>6.22</v>
      </c>
    </row>
    <row r="22">
      <c r="A22" s="26" t="s">
        <v>138</v>
      </c>
      <c r="B22" s="26" t="s">
        <v>139</v>
      </c>
      <c r="C22" s="26" t="s">
        <v>140</v>
      </c>
      <c r="D22" s="48">
        <v>35964.0</v>
      </c>
      <c r="E22" s="49">
        <v>40000.0</v>
      </c>
      <c r="F22" s="26" t="s">
        <v>189</v>
      </c>
      <c r="G22" s="26" t="s">
        <v>191</v>
      </c>
      <c r="H22" s="94" t="s">
        <v>358</v>
      </c>
      <c r="I22" s="94" t="b">
        <f>IFERROR(__xludf.DUMMYFUNCTION("""COMPUTED_VALUE"""),TRUE)</f>
        <v>1</v>
      </c>
      <c r="J22" s="94" t="b">
        <f>IFERROR(__xludf.DUMMYFUNCTION("""COMPUTED_VALUE"""),FALSE)</f>
        <v>0</v>
      </c>
      <c r="K22" s="94" t="str">
        <f>IFERROR(__xludf.DUMMYFUNCTION("""COMPUTED_VALUE"""),"Charles")</f>
        <v>Charles</v>
      </c>
      <c r="L22" s="94" t="str">
        <f>IFERROR(__xludf.DUMMYFUNCTION("""COMPUTED_VALUE"""),"9.04")</f>
        <v>9.04</v>
      </c>
    </row>
    <row r="23">
      <c r="A23" s="26" t="s">
        <v>142</v>
      </c>
      <c r="B23" s="26" t="s">
        <v>143</v>
      </c>
      <c r="C23" s="26" t="s">
        <v>144</v>
      </c>
      <c r="D23" s="48">
        <v>30816.0</v>
      </c>
      <c r="E23" s="49">
        <v>79000.0</v>
      </c>
      <c r="F23" s="26" t="s">
        <v>187</v>
      </c>
      <c r="G23" s="26" t="s">
        <v>190</v>
      </c>
      <c r="H23" s="94" t="s">
        <v>359</v>
      </c>
      <c r="I23" s="94" t="b">
        <f>IFERROR(__xludf.DUMMYFUNCTION("""COMPUTED_VALUE"""),TRUE)</f>
        <v>1</v>
      </c>
      <c r="J23" s="94" t="b">
        <f>IFERROR(__xludf.DUMMYFUNCTION("""COMPUTED_VALUE"""),FALSE)</f>
        <v>0</v>
      </c>
      <c r="K23" s="94" t="str">
        <f>IFERROR(__xludf.DUMMYFUNCTION("""COMPUTED_VALUE"""),"Roberts")</f>
        <v>Roberts</v>
      </c>
      <c r="L23" s="94" t="str">
        <f>IFERROR(__xludf.DUMMYFUNCTION("""COMPUTED_VALUE"""),"3.14")</f>
        <v>3.14</v>
      </c>
    </row>
    <row r="24">
      <c r="A24" s="26" t="s">
        <v>146</v>
      </c>
      <c r="B24" s="26" t="s">
        <v>147</v>
      </c>
      <c r="C24" s="26" t="s">
        <v>118</v>
      </c>
      <c r="D24" s="48">
        <v>33770.0</v>
      </c>
      <c r="E24" s="49">
        <v>55000.0</v>
      </c>
      <c r="F24" s="26" t="s">
        <v>187</v>
      </c>
      <c r="G24" s="26" t="s">
        <v>188</v>
      </c>
      <c r="H24" s="94" t="s">
        <v>360</v>
      </c>
      <c r="I24" s="94" t="b">
        <f>IFERROR(__xludf.DUMMYFUNCTION("""COMPUTED_VALUE"""),TRUE)</f>
        <v>1</v>
      </c>
      <c r="J24" s="94" t="b">
        <f>IFERROR(__xludf.DUMMYFUNCTION("""COMPUTED_VALUE"""),FALSE)</f>
        <v>0</v>
      </c>
      <c r="K24" s="94" t="str">
        <f>IFERROR(__xludf.DUMMYFUNCTION("""COMPUTED_VALUE"""),"Holmes")</f>
        <v>Holmes</v>
      </c>
      <c r="L24" s="94" t="str">
        <f>IFERROR(__xludf.DUMMYFUNCTION("""COMPUTED_VALUE"""),"6.62")</f>
        <v>6.62</v>
      </c>
    </row>
    <row r="25">
      <c r="A25" s="26" t="s">
        <v>149</v>
      </c>
      <c r="B25" s="26" t="s">
        <v>150</v>
      </c>
      <c r="C25" s="26" t="s">
        <v>151</v>
      </c>
      <c r="D25" s="48">
        <v>38955.0</v>
      </c>
      <c r="E25" s="49">
        <v>23000.0</v>
      </c>
      <c r="F25" s="26" t="s">
        <v>189</v>
      </c>
      <c r="G25" s="26" t="s">
        <v>190</v>
      </c>
      <c r="H25" s="94" t="s">
        <v>361</v>
      </c>
      <c r="I25" s="94" t="b">
        <f>IFERROR(__xludf.DUMMYFUNCTION("""COMPUTED_VALUE"""),TRUE)</f>
        <v>1</v>
      </c>
      <c r="J25" s="94" t="b">
        <f>IFERROR(__xludf.DUMMYFUNCTION("""COMPUTED_VALUE"""),FALSE)</f>
        <v>0</v>
      </c>
      <c r="K25" s="94" t="str">
        <f>IFERROR(__xludf.DUMMYFUNCTION("""COMPUTED_VALUE"""),"Martin")</f>
        <v>Martin</v>
      </c>
      <c r="L25" s="94" t="str">
        <f>IFERROR(__xludf.DUMMYFUNCTION("""COMPUTED_VALUE"""),"8.99")</f>
        <v>8.99</v>
      </c>
    </row>
    <row r="26">
      <c r="A26" s="26" t="s">
        <v>153</v>
      </c>
      <c r="B26" s="26" t="s">
        <v>154</v>
      </c>
      <c r="C26" s="26" t="s">
        <v>129</v>
      </c>
      <c r="D26" s="48">
        <v>37533.0</v>
      </c>
      <c r="E26" s="49">
        <v>52000.0</v>
      </c>
      <c r="F26" s="26" t="s">
        <v>189</v>
      </c>
      <c r="G26" s="26" t="s">
        <v>191</v>
      </c>
      <c r="H26" s="94" t="s">
        <v>362</v>
      </c>
      <c r="I26" s="94" t="b">
        <f>IFERROR(__xludf.DUMMYFUNCTION("""COMPUTED_VALUE"""),TRUE)</f>
        <v>1</v>
      </c>
      <c r="J26" s="94" t="b">
        <f>IFERROR(__xludf.DUMMYFUNCTION("""COMPUTED_VALUE"""),FALSE)</f>
        <v>0</v>
      </c>
      <c r="K26" s="94" t="str">
        <f>IFERROR(__xludf.DUMMYFUNCTION("""COMPUTED_VALUE"""),"Adamson")</f>
        <v>Adamson</v>
      </c>
      <c r="L26" s="94" t="str">
        <f>IFERROR(__xludf.DUMMYFUNCTION("""COMPUTED_VALUE"""),"3.65")</f>
        <v>3.65</v>
      </c>
    </row>
    <row r="27">
      <c r="A27" s="26" t="s">
        <v>156</v>
      </c>
      <c r="B27" s="26" t="s">
        <v>157</v>
      </c>
      <c r="C27" s="26" t="s">
        <v>158</v>
      </c>
      <c r="D27" s="48">
        <v>35698.0</v>
      </c>
      <c r="E27" s="49">
        <v>38500.0</v>
      </c>
      <c r="F27" s="26" t="s">
        <v>187</v>
      </c>
      <c r="G27" s="26" t="s">
        <v>188</v>
      </c>
      <c r="H27" s="93" t="s">
        <v>363</v>
      </c>
      <c r="I27" s="94" t="b">
        <f>IFERROR(__xludf.DUMMYFUNCTION("""COMPUTED_VALUE"""),TRUE)</f>
        <v>1</v>
      </c>
      <c r="J27" s="94" t="b">
        <f>IFERROR(__xludf.DUMMYFUNCTION("""COMPUTED_VALUE"""),FALSE)</f>
        <v>0</v>
      </c>
      <c r="K27" s="94" t="str">
        <f>IFERROR(__xludf.DUMMYFUNCTION("""COMPUTED_VALUE"""),"Marder")</f>
        <v>Marder</v>
      </c>
      <c r="L27" s="94" t="str">
        <f>IFERROR(__xludf.DUMMYFUNCTION("""COMPUTED_VALUE"""),"7.37")</f>
        <v>7.37</v>
      </c>
    </row>
    <row r="28">
      <c r="A28" s="26" t="s">
        <v>160</v>
      </c>
      <c r="B28" s="26" t="s">
        <v>161</v>
      </c>
      <c r="C28" s="26" t="s">
        <v>129</v>
      </c>
      <c r="D28" s="48">
        <v>29427.0</v>
      </c>
      <c r="E28" s="49">
        <v>175000.0</v>
      </c>
      <c r="F28" s="26" t="s">
        <v>189</v>
      </c>
      <c r="G28" s="26" t="s">
        <v>190</v>
      </c>
      <c r="H28" s="94" t="s">
        <v>364</v>
      </c>
      <c r="I28" s="94" t="b">
        <f>IFERROR(__xludf.DUMMYFUNCTION("""COMPUTED_VALUE"""),TRUE)</f>
        <v>1</v>
      </c>
      <c r="J28" s="94" t="b">
        <f>IFERROR(__xludf.DUMMYFUNCTION("""COMPUTED_VALUE"""),FALSE)</f>
        <v>0</v>
      </c>
      <c r="K28" s="94" t="str">
        <f>IFERROR(__xludf.DUMMYFUNCTION("""COMPUTED_VALUE"""),"Whitehead")</f>
        <v>Whitehead</v>
      </c>
      <c r="L28" s="94" t="str">
        <f>IFERROR(__xludf.DUMMYFUNCTION("""COMPUTED_VALUE"""),"7.64")</f>
        <v>7.64</v>
      </c>
    </row>
    <row r="30">
      <c r="A30" s="95" t="s">
        <v>365</v>
      </c>
      <c r="B30" s="93" t="s">
        <v>366</v>
      </c>
    </row>
    <row r="31">
      <c r="A31" s="93" t="s">
        <v>367</v>
      </c>
      <c r="B31" s="94" t="b">
        <f>IFERROR(__xludf.DUMMYFUNCTION("ArrayFormula(REGEXMATCH(A31:A35,B30))"),FALSE)</f>
        <v>0</v>
      </c>
      <c r="C31" s="94" t="str">
        <f>IFERROR(__xludf.DUMMYFUNCTION("ArrayFormula(IFERROR(REGEXEXTRACT(A31:A35,B30), ""Not Found""))"),"Not Found")</f>
        <v>Not Found</v>
      </c>
      <c r="D31" s="94" t="str">
        <f>IFERROR(__xludf.DUMMYFUNCTION("ArrayFormula(REGEXREPLACE(A31:A35,""l[a-z]+"",""like""))"),"I like hotdog")</f>
        <v>I like hotdog</v>
      </c>
      <c r="E31" s="96" t="str">
        <f>IFERROR(__xludf.DUMMYFUNCTION("REGEXEXTRACT(A31, ""I (love hotdog)"")"),"love hotdog")</f>
        <v>love hotdog</v>
      </c>
    </row>
    <row r="32">
      <c r="A32" s="93" t="s">
        <v>368</v>
      </c>
      <c r="B32" s="94" t="b">
        <f>IFERROR(__xludf.DUMMYFUNCTION("""COMPUTED_VALUE"""),TRUE)</f>
        <v>1</v>
      </c>
      <c r="C32" s="94" t="str">
        <f>IFERROR(__xludf.DUMMYFUNCTION("""COMPUTED_VALUE"""),"pizza")</f>
        <v>pizza</v>
      </c>
      <c r="D32" s="94" t="str">
        <f>IFERROR(__xludf.DUMMYFUNCTION("""COMPUTED_VALUE"""),"I like pizza")</f>
        <v>I like pizza</v>
      </c>
      <c r="E32" s="71"/>
    </row>
    <row r="33">
      <c r="A33" s="93" t="s">
        <v>369</v>
      </c>
      <c r="B33" s="94" t="b">
        <f>IFERROR(__xludf.DUMMYFUNCTION("""COMPUTED_VALUE"""),TRUE)</f>
        <v>1</v>
      </c>
      <c r="C33" s="94" t="str">
        <f>IFERROR(__xludf.DUMMYFUNCTION("""COMPUTED_VALUE"""),"pepsi")</f>
        <v>pepsi</v>
      </c>
      <c r="D33" s="94" t="str">
        <f>IFERROR(__xludf.DUMMYFUNCTION("""COMPUTED_VALUE"""),"I like pepsi")</f>
        <v>I like pepsi</v>
      </c>
    </row>
    <row r="34">
      <c r="A34" s="93" t="s">
        <v>370</v>
      </c>
      <c r="B34" s="94" t="b">
        <f>IFERROR(__xludf.DUMMYFUNCTION("""COMPUTED_VALUE"""),FALSE)</f>
        <v>0</v>
      </c>
      <c r="C34" s="94" t="str">
        <f>IFERROR(__xludf.DUMMYFUNCTION("""COMPUTED_VALUE"""),"Not Found")</f>
        <v>Not Found</v>
      </c>
      <c r="D34" s="94" t="str">
        <f>IFERROR(__xludf.DUMMYFUNCTION("""COMPUTED_VALUE"""),"I like Googlike")</f>
        <v>I like Googlike</v>
      </c>
      <c r="F34" s="97"/>
    </row>
    <row r="35">
      <c r="A35" s="93" t="s">
        <v>371</v>
      </c>
      <c r="B35" s="94" t="b">
        <f>IFERROR(__xludf.DUMMYFUNCTION("""COMPUTED_VALUE"""),FALSE)</f>
        <v>0</v>
      </c>
      <c r="C35" s="94" t="str">
        <f>IFERROR(__xludf.DUMMYFUNCTION("""COMPUTED_VALUE"""),"Not Found")</f>
        <v>Not Found</v>
      </c>
      <c r="D35" s="94" t="str">
        <f>IFERROR(__xludf.DUMMYFUNCTION("""COMPUTED_VALUE"""),"I like hamburger")</f>
        <v>I like hamburger</v>
      </c>
    </row>
    <row r="36">
      <c r="A36" s="93"/>
    </row>
    <row r="37">
      <c r="A37" s="93" t="s">
        <v>372</v>
      </c>
      <c r="B37" s="71" t="b">
        <f>IFERROR(__xludf.DUMMYFUNCTION("REGEXMATCH(A37,""[ก-๙]+"")"),TRUE)</f>
        <v>1</v>
      </c>
      <c r="C37" s="71"/>
    </row>
    <row r="38">
      <c r="A38" s="93" t="s">
        <v>373</v>
      </c>
      <c r="B38" s="96" t="str">
        <f>IFERROR(__xludf.DUMMYFUNCTION("REGEXEXTRACT(A38,""I (?:love|like) ([ก-๙]+)"")"),"ต้มยำกุ้ง")</f>
        <v>ต้มยำกุ้ง</v>
      </c>
    </row>
    <row r="39">
      <c r="A39" s="93" t="s">
        <v>374</v>
      </c>
      <c r="B39" s="96" t="str">
        <f>IFERROR(__xludf.DUMMYFUNCTION("REGEXEXTRACT(A39,""I (?:love|like) ([ก-๙]+)"")"),"ส้มตำ")</f>
        <v>ส้มตำ</v>
      </c>
      <c r="C39" s="71"/>
    </row>
    <row r="41">
      <c r="A41" s="93"/>
    </row>
    <row r="42">
      <c r="A42" s="93"/>
    </row>
    <row r="43">
      <c r="A43" s="93"/>
    </row>
    <row r="44">
      <c r="A44" s="93"/>
    </row>
    <row r="45">
      <c r="A45" s="93"/>
    </row>
    <row r="46">
      <c r="A46" s="93"/>
    </row>
    <row r="47">
      <c r="A47" s="93"/>
    </row>
    <row r="48">
      <c r="A48" s="93"/>
    </row>
    <row r="49">
      <c r="A49" s="93"/>
    </row>
    <row r="50">
      <c r="A50" s="93"/>
    </row>
  </sheetData>
  <conditionalFormatting sqref="I4:I28">
    <cfRule type="cellIs" dxfId="2" priority="1" operator="equal">
      <formula>"TRUE"</formula>
    </cfRule>
  </conditionalFormatting>
  <conditionalFormatting sqref="I4:I28">
    <cfRule type="cellIs" dxfId="3" priority="2" operator="equal">
      <formula>"FALSE"</formula>
    </cfRule>
  </conditionalFormatting>
  <conditionalFormatting sqref="J4:J28">
    <cfRule type="cellIs" dxfId="2" priority="3" operator="equal">
      <formula>"TRUE"</formula>
    </cfRule>
  </conditionalFormatting>
  <conditionalFormatting sqref="J4:J28">
    <cfRule type="cellIs" dxfId="3" priority="4" operator="equal">
      <formula>"FALSE"</formula>
    </cfRule>
  </conditionalFormatting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2.63" defaultRowHeight="15.75"/>
  <cols>
    <col customWidth="1" min="1" max="1" width="40.25"/>
    <col customWidth="1" min="2" max="2" width="21.75"/>
    <col customWidth="1" min="8" max="8" width="26.5"/>
    <col customWidth="1" min="11" max="11" width="16.25"/>
  </cols>
  <sheetData>
    <row r="1">
      <c r="A1" s="2" t="s">
        <v>375</v>
      </c>
      <c r="B1" s="2" t="s">
        <v>376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98" t="s">
        <v>377</v>
      </c>
      <c r="B3" s="99" t="s">
        <v>378</v>
      </c>
      <c r="C3" s="99" t="s">
        <v>379</v>
      </c>
      <c r="D3" s="99" t="s">
        <v>338</v>
      </c>
      <c r="E3" s="99" t="s">
        <v>380</v>
      </c>
      <c r="F3" s="99" t="s">
        <v>381</v>
      </c>
      <c r="G3" s="99" t="s">
        <v>382</v>
      </c>
      <c r="H3" s="99" t="s">
        <v>383</v>
      </c>
      <c r="I3" s="99" t="s">
        <v>384</v>
      </c>
      <c r="J3" s="99" t="s">
        <v>385</v>
      </c>
      <c r="K3" s="100" t="s">
        <v>386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01" t="s">
        <v>387</v>
      </c>
      <c r="B4" s="3" t="str">
        <f>IFERROR(__xludf.DUMMYFUNCTION("ArrayFormula(REGEXEXTRACT(A4:A8,""\d-\d{4}-\d{5}-\d{2}-\d{1}""))"),"1-1078-00555-99-1")</f>
        <v>1-1078-00555-99-1</v>
      </c>
      <c r="C4" s="3" t="str">
        <f>IFERROR(__xludf.DUMMYFUNCTION("ArrayFormula(IFS(REGEXEXTRACT(A4:A8,""M[a-z]+\."") = ""Mr."", ""Male""
,REGEXEXTRACT(A4:A8,""M[a-z]+\."") = ""Miss."", ""Female""))"),"Male")</f>
        <v>Male</v>
      </c>
      <c r="D4" s="102" t="str">
        <f>IFERROR(__xludf.DUMMYFUNCTION("ArrayFormula(REGEXEXTRACT(A4:A8,""M[a-z]+\. ([A-z]+)""))"),"John")</f>
        <v>John</v>
      </c>
      <c r="E4" s="3" t="str">
        <f>IFERROR(__xludf.DUMMYFUNCTION("ArrayFormula(REGEXEXTRACT(A4:A8,""M[a-z]+\. [A-z]+ ([A-z]+)""))"),"David")</f>
        <v>David</v>
      </c>
      <c r="F4" s="3" t="str">
        <f>IFERROR(__xludf.DUMMYFUNCTION("ArrayFormula(REGEXEXTRACT(A4:A8,""Date of Birth (\d{2} [A-z]+ \d{4})""))"),"20 Sep 1988")</f>
        <v>20 Sep 1988</v>
      </c>
      <c r="G4" s="103">
        <f t="array" ref="G4:G8">DATEDIF(F4:F8, TODAY(), "Y")</f>
        <v>35</v>
      </c>
      <c r="H4" s="104" t="str">
        <f>IFERROR(__xludf.DUMMYFUNCTION("ArrayFormula(REGEXEXTRACT(A4:A8,""Address (\d+ [A-z]+ [A-z]+ [A-z]*)""))"),"67 Bangkok Thailand ")</f>
        <v>67 Bangkok Thailand </v>
      </c>
      <c r="I4" s="77" t="str">
        <f>IFERROR(__xludf.DUMMYFUNCTION("ArrayFormula(REGEXEXTRACT(A4:A8,""[A-z]+ (\d{5})""))"),"10560")</f>
        <v>10560</v>
      </c>
      <c r="J4" s="71" t="str">
        <f>IFERROR(__xludf.DUMMYFUNCTION("ArrayFormula(REGEXEXTRACT(A4:A8, ""Expired Date (\d{2} [A-z]{3} \d{4})""))"),"31 Dec 2020")</f>
        <v>31 Dec 2020</v>
      </c>
      <c r="K4" s="105" t="b">
        <f t="array" ref="K4:K8">RIGHT(J4:J8,4)="2020"</f>
        <v>1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01" t="s">
        <v>388</v>
      </c>
      <c r="B5" s="3" t="str">
        <f>IFERROR(__xludf.DUMMYFUNCTION("""COMPUTED_VALUE"""),"3-5522-87666-87-2")</f>
        <v>3-5522-87666-87-2</v>
      </c>
      <c r="C5" s="3" t="str">
        <f>IFERROR(__xludf.DUMMYFUNCTION("""COMPUTED_VALUE"""),"Female")</f>
        <v>Female</v>
      </c>
      <c r="D5" s="3" t="str">
        <f>IFERROR(__xludf.DUMMYFUNCTION("""COMPUTED_VALUE"""),"Carry")</f>
        <v>Carry</v>
      </c>
      <c r="E5" s="3" t="str">
        <f>IFERROR(__xludf.DUMMYFUNCTION("""COMPUTED_VALUE"""),"Anna")</f>
        <v>Anna</v>
      </c>
      <c r="F5" s="3" t="str">
        <f>IFERROR(__xludf.DUMMYFUNCTION("""COMPUTED_VALUE"""),"18 Jan 1995")</f>
        <v>18 Jan 1995</v>
      </c>
      <c r="G5" s="106">
        <v>29.0</v>
      </c>
      <c r="H5" s="106" t="str">
        <f>IFERROR(__xludf.DUMMYFUNCTION("""COMPUTED_VALUE"""),"967 Tokyo Japan ")</f>
        <v>967 Tokyo Japan </v>
      </c>
      <c r="I5" s="77" t="str">
        <f>IFERROR(__xludf.DUMMYFUNCTION("""COMPUTED_VALUE"""),"10880")</f>
        <v>10880</v>
      </c>
      <c r="J5" s="106" t="str">
        <f>IFERROR(__xludf.DUMMYFUNCTION("""COMPUTED_VALUE"""),"25 Apr 2025")</f>
        <v>25 Apr 2025</v>
      </c>
      <c r="K5" s="106" t="b">
        <v>0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107" t="s">
        <v>389</v>
      </c>
      <c r="B6" s="3" t="str">
        <f>IFERROR(__xludf.DUMMYFUNCTION("""COMPUTED_VALUE"""),"1-2222-03874-23-6")</f>
        <v>1-2222-03874-23-6</v>
      </c>
      <c r="C6" s="3" t="str">
        <f>IFERROR(__xludf.DUMMYFUNCTION("""COMPUTED_VALUE"""),"Male")</f>
        <v>Male</v>
      </c>
      <c r="D6" s="3" t="str">
        <f>IFERROR(__xludf.DUMMYFUNCTION("""COMPUTED_VALUE"""),"Kevin")</f>
        <v>Kevin</v>
      </c>
      <c r="E6" s="3" t="str">
        <f>IFERROR(__xludf.DUMMYFUNCTION("""COMPUTED_VALUE"""),"Demio")</f>
        <v>Demio</v>
      </c>
      <c r="F6" s="3" t="str">
        <f>IFERROR(__xludf.DUMMYFUNCTION("""COMPUTED_VALUE"""),"14 Feb 1992")</f>
        <v>14 Feb 1992</v>
      </c>
      <c r="G6" s="106">
        <v>31.0</v>
      </c>
      <c r="H6" s="106" t="str">
        <f>IFERROR(__xludf.DUMMYFUNCTION("""COMPUTED_VALUE"""),"7878 Washington United States")</f>
        <v>7878 Washington United States</v>
      </c>
      <c r="I6" s="106" t="str">
        <f>IFERROR(__xludf.DUMMYFUNCTION("""COMPUTED_VALUE"""),"11155")</f>
        <v>11155</v>
      </c>
      <c r="J6" s="106" t="str">
        <f>IFERROR(__xludf.DUMMYFUNCTION("""COMPUTED_VALUE"""),"31 Oct 2020")</f>
        <v>31 Oct 2020</v>
      </c>
      <c r="K6" s="106" t="b">
        <v>1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101" t="s">
        <v>390</v>
      </c>
      <c r="B7" s="3" t="str">
        <f>IFERROR(__xludf.DUMMYFUNCTION("""COMPUTED_VALUE"""),"1-1078-00555-99-1")</f>
        <v>1-1078-00555-99-1</v>
      </c>
      <c r="C7" s="3" t="str">
        <f>IFERROR(__xludf.DUMMYFUNCTION("""COMPUTED_VALUE"""),"Male")</f>
        <v>Male</v>
      </c>
      <c r="D7" s="3" t="str">
        <f>IFERROR(__xludf.DUMMYFUNCTION("""COMPUTED_VALUE"""),"Stuart")</f>
        <v>Stuart</v>
      </c>
      <c r="E7" s="3" t="str">
        <f>IFERROR(__xludf.DUMMYFUNCTION("""COMPUTED_VALUE"""),"Lonely")</f>
        <v>Lonely</v>
      </c>
      <c r="F7" s="3" t="str">
        <f>IFERROR(__xludf.DUMMYFUNCTION("""COMPUTED_VALUE"""),"20 Sep 1982")</f>
        <v>20 Sep 1982</v>
      </c>
      <c r="G7" s="106">
        <v>41.0</v>
      </c>
      <c r="H7" s="106" t="str">
        <f>IFERROR(__xludf.DUMMYFUNCTION("""COMPUTED_VALUE"""),"554 Seoul Korea ")</f>
        <v>554 Seoul Korea </v>
      </c>
      <c r="I7" s="106" t="str">
        <f>IFERROR(__xludf.DUMMYFUNCTION("""COMPUTED_VALUE"""),"89237")</f>
        <v>89237</v>
      </c>
      <c r="J7" s="106" t="str">
        <f>IFERROR(__xludf.DUMMYFUNCTION("""COMPUTED_VALUE"""),"31 Mar 2021")</f>
        <v>31 Mar 2021</v>
      </c>
      <c r="K7" s="106" t="b">
        <v>0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101" t="s">
        <v>391</v>
      </c>
      <c r="B8" s="3" t="str">
        <f>IFERROR(__xludf.DUMMYFUNCTION("""COMPUTED_VALUE"""),"1-1078-00555-99-1")</f>
        <v>1-1078-00555-99-1</v>
      </c>
      <c r="C8" s="3" t="str">
        <f>IFERROR(__xludf.DUMMYFUNCTION("""COMPUTED_VALUE"""),"Female")</f>
        <v>Female</v>
      </c>
      <c r="D8" s="3" t="str">
        <f>IFERROR(__xludf.DUMMYFUNCTION("""COMPUTED_VALUE"""),"Anya")</f>
        <v>Anya</v>
      </c>
      <c r="E8" s="3" t="str">
        <f>IFERROR(__xludf.DUMMYFUNCTION("""COMPUTED_VALUE"""),"Tayloy")</f>
        <v>Tayloy</v>
      </c>
      <c r="F8" s="3" t="str">
        <f>IFERROR(__xludf.DUMMYFUNCTION("""COMPUTED_VALUE"""),"05 May 1985")</f>
        <v>05 May 1985</v>
      </c>
      <c r="G8" s="106">
        <v>38.0</v>
      </c>
      <c r="H8" s="106" t="str">
        <f>IFERROR(__xludf.DUMMYFUNCTION("""COMPUTED_VALUE"""),"998 London United Kingdom")</f>
        <v>998 London United Kingdom</v>
      </c>
      <c r="I8" s="106" t="str">
        <f>IFERROR(__xludf.DUMMYFUNCTION("""COMPUTED_VALUE"""),"55387")</f>
        <v>55387</v>
      </c>
      <c r="J8" s="106" t="str">
        <f>IFERROR(__xludf.DUMMYFUNCTION("""COMPUTED_VALUE"""),"15 Nov 2022")</f>
        <v>15 Nov 2022</v>
      </c>
      <c r="K8" s="106" t="b">
        <v>0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2" t="s">
        <v>224</v>
      </c>
      <c r="C10" s="7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7" t="s">
        <v>378</v>
      </c>
      <c r="C11" s="63" t="s">
        <v>392</v>
      </c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7" t="s">
        <v>379</v>
      </c>
      <c r="C12" s="63" t="s">
        <v>393</v>
      </c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7" t="s">
        <v>338</v>
      </c>
      <c r="C13" s="63" t="s">
        <v>394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7" t="s">
        <v>380</v>
      </c>
      <c r="C14" s="63" t="s">
        <v>395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7" t="s">
        <v>381</v>
      </c>
      <c r="C15" s="63" t="s">
        <v>396</v>
      </c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7" t="s">
        <v>382</v>
      </c>
      <c r="C16" s="63" t="s">
        <v>397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7" t="s">
        <v>383</v>
      </c>
      <c r="C17" s="63" t="s">
        <v>398</v>
      </c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7" t="s">
        <v>384</v>
      </c>
      <c r="C18" s="63" t="s">
        <v>399</v>
      </c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7" t="s">
        <v>385</v>
      </c>
      <c r="C19" s="63" t="s">
        <v>400</v>
      </c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7" t="s">
        <v>386</v>
      </c>
      <c r="C20" s="63" t="s">
        <v>401</v>
      </c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8" max="8" width="14.63"/>
  </cols>
  <sheetData>
    <row r="1">
      <c r="A1" s="2" t="s">
        <v>402</v>
      </c>
    </row>
    <row r="3">
      <c r="A3" s="23" t="s">
        <v>58</v>
      </c>
      <c r="B3" s="23" t="s">
        <v>59</v>
      </c>
      <c r="C3" s="23" t="s">
        <v>60</v>
      </c>
      <c r="D3" s="23" t="s">
        <v>61</v>
      </c>
      <c r="E3" s="23" t="s">
        <v>62</v>
      </c>
      <c r="F3" s="23" t="s">
        <v>185</v>
      </c>
      <c r="G3" s="23" t="s">
        <v>186</v>
      </c>
      <c r="H3" s="108" t="s">
        <v>403</v>
      </c>
      <c r="J3" s="109" t="s">
        <v>404</v>
      </c>
      <c r="K3" s="93" t="s">
        <v>405</v>
      </c>
    </row>
    <row r="4">
      <c r="A4" s="26" t="s">
        <v>68</v>
      </c>
      <c r="B4" s="26" t="s">
        <v>69</v>
      </c>
      <c r="C4" s="26" t="s">
        <v>70</v>
      </c>
      <c r="D4" s="48">
        <v>38261.0</v>
      </c>
      <c r="E4" s="49">
        <v>57500.0</v>
      </c>
      <c r="F4" s="26" t="s">
        <v>187</v>
      </c>
      <c r="G4" s="26" t="s">
        <v>188</v>
      </c>
      <c r="H4" s="94" t="str">
        <f t="shared" ref="H4:H28" si="1">TEXTJOIN(" ",TRUE,B4:C4)</f>
        <v>Milgrom Patricia</v>
      </c>
      <c r="J4" s="93" t="s">
        <v>406</v>
      </c>
      <c r="K4" s="94" t="str">
        <f t="array" ref="K4">INDEX(A4:H28, MATCH(J4,H4:H28,FALSE),1)</f>
        <v>000-01-0000</v>
      </c>
    </row>
    <row r="5">
      <c r="A5" s="26" t="s">
        <v>72</v>
      </c>
      <c r="B5" s="26" t="s">
        <v>73</v>
      </c>
      <c r="C5" s="26" t="s">
        <v>74</v>
      </c>
      <c r="D5" s="48">
        <v>36906.0</v>
      </c>
      <c r="E5" s="49">
        <v>19500.0</v>
      </c>
      <c r="F5" s="26" t="s">
        <v>187</v>
      </c>
      <c r="G5" s="26" t="s">
        <v>188</v>
      </c>
      <c r="H5" s="94" t="str">
        <f t="shared" si="1"/>
        <v>Adams Sandy</v>
      </c>
    </row>
    <row r="6">
      <c r="A6" s="26" t="s">
        <v>77</v>
      </c>
      <c r="B6" s="26" t="s">
        <v>78</v>
      </c>
      <c r="C6" s="26" t="s">
        <v>79</v>
      </c>
      <c r="D6" s="48">
        <v>35501.0</v>
      </c>
      <c r="E6" s="49">
        <v>69000.0</v>
      </c>
      <c r="F6" s="26" t="s">
        <v>187</v>
      </c>
      <c r="G6" s="26" t="s">
        <v>188</v>
      </c>
      <c r="H6" s="94" t="str">
        <f t="shared" si="1"/>
        <v>Wood Emily</v>
      </c>
    </row>
    <row r="7">
      <c r="A7" s="26" t="s">
        <v>82</v>
      </c>
      <c r="B7" s="26" t="s">
        <v>83</v>
      </c>
      <c r="C7" s="26" t="s">
        <v>84</v>
      </c>
      <c r="D7" s="48">
        <v>38578.0</v>
      </c>
      <c r="E7" s="49">
        <v>55000.0</v>
      </c>
      <c r="F7" s="26" t="s">
        <v>189</v>
      </c>
      <c r="G7" s="26" t="s">
        <v>190</v>
      </c>
      <c r="H7" s="94" t="str">
        <f t="shared" si="1"/>
        <v>Foster Harold</v>
      </c>
    </row>
    <row r="8">
      <c r="A8" s="26" t="s">
        <v>87</v>
      </c>
      <c r="B8" s="26" t="s">
        <v>88</v>
      </c>
      <c r="C8" s="26" t="s">
        <v>89</v>
      </c>
      <c r="D8" s="48">
        <v>35188.0</v>
      </c>
      <c r="E8" s="49">
        <v>47500.0</v>
      </c>
      <c r="F8" s="26" t="s">
        <v>189</v>
      </c>
      <c r="G8" s="26" t="s">
        <v>190</v>
      </c>
      <c r="H8" s="94" t="str">
        <f t="shared" si="1"/>
        <v>Johnson James</v>
      </c>
    </row>
    <row r="9">
      <c r="A9" s="26" t="s">
        <v>91</v>
      </c>
      <c r="B9" s="26" t="s">
        <v>92</v>
      </c>
      <c r="C9" s="26" t="s">
        <v>93</v>
      </c>
      <c r="D9" s="48">
        <v>34014.0</v>
      </c>
      <c r="E9" s="49">
        <v>100000.0</v>
      </c>
      <c r="F9" s="3"/>
      <c r="G9" s="26" t="s">
        <v>190</v>
      </c>
      <c r="H9" s="94" t="str">
        <f t="shared" si="1"/>
        <v>Coulter Tracy</v>
      </c>
    </row>
    <row r="10">
      <c r="A10" s="26" t="s">
        <v>95</v>
      </c>
      <c r="B10" s="26" t="s">
        <v>96</v>
      </c>
      <c r="C10" s="26" t="s">
        <v>97</v>
      </c>
      <c r="D10" s="48">
        <v>28212.0</v>
      </c>
      <c r="E10" s="49">
        <v>125000.0</v>
      </c>
      <c r="F10" s="26" t="s">
        <v>189</v>
      </c>
      <c r="G10" s="3"/>
      <c r="H10" s="94" t="str">
        <f t="shared" si="1"/>
        <v>Marlin Bill</v>
      </c>
    </row>
    <row r="11">
      <c r="A11" s="26" t="s">
        <v>99</v>
      </c>
      <c r="B11" s="26" t="s">
        <v>100</v>
      </c>
      <c r="C11" s="26" t="s">
        <v>101</v>
      </c>
      <c r="D11" s="48">
        <v>38718.0</v>
      </c>
      <c r="E11" s="49">
        <v>42500.0</v>
      </c>
      <c r="F11" s="26" t="s">
        <v>187</v>
      </c>
      <c r="G11" s="26" t="s">
        <v>188</v>
      </c>
      <c r="H11" s="94" t="str">
        <f t="shared" si="1"/>
        <v>Smith Mary</v>
      </c>
    </row>
    <row r="12">
      <c r="A12" s="26" t="s">
        <v>103</v>
      </c>
      <c r="B12" s="26" t="s">
        <v>104</v>
      </c>
      <c r="C12" s="26" t="s">
        <v>74</v>
      </c>
      <c r="D12" s="48">
        <v>38505.0</v>
      </c>
      <c r="E12" s="49">
        <v>69000.0</v>
      </c>
      <c r="F12" s="26" t="s">
        <v>187</v>
      </c>
      <c r="G12" s="3"/>
      <c r="H12" s="94" t="str">
        <f t="shared" si="1"/>
        <v>Johanson Sandy</v>
      </c>
    </row>
    <row r="13">
      <c r="A13" s="26" t="s">
        <v>106</v>
      </c>
      <c r="B13" s="26" t="s">
        <v>107</v>
      </c>
      <c r="C13" s="26" t="s">
        <v>79</v>
      </c>
      <c r="D13" s="48">
        <v>36861.0</v>
      </c>
      <c r="E13" s="49">
        <v>49500.0</v>
      </c>
      <c r="F13" s="26" t="s">
        <v>187</v>
      </c>
      <c r="G13" s="26" t="s">
        <v>188</v>
      </c>
      <c r="H13" s="94" t="str">
        <f t="shared" si="1"/>
        <v>Manin Emily</v>
      </c>
    </row>
    <row r="14">
      <c r="A14" s="26" t="s">
        <v>109</v>
      </c>
      <c r="B14" s="26" t="s">
        <v>100</v>
      </c>
      <c r="C14" s="26" t="s">
        <v>110</v>
      </c>
      <c r="D14" s="48">
        <v>33267.0</v>
      </c>
      <c r="E14" s="49">
        <v>65000.0</v>
      </c>
      <c r="F14" s="26" t="s">
        <v>189</v>
      </c>
      <c r="G14" s="26" t="s">
        <v>190</v>
      </c>
      <c r="H14" s="94" t="str">
        <f t="shared" si="1"/>
        <v>Smith Frank</v>
      </c>
    </row>
    <row r="15">
      <c r="A15" s="26" t="s">
        <v>112</v>
      </c>
      <c r="B15" s="26" t="s">
        <v>113</v>
      </c>
      <c r="C15" s="26" t="s">
        <v>114</v>
      </c>
      <c r="D15" s="48">
        <v>36957.0</v>
      </c>
      <c r="E15" s="49">
        <v>18500.0</v>
      </c>
      <c r="F15" s="26" t="s">
        <v>187</v>
      </c>
      <c r="G15" s="26" t="s">
        <v>191</v>
      </c>
      <c r="H15" s="94" t="str">
        <f t="shared" si="1"/>
        <v>Brown Marietta</v>
      </c>
    </row>
    <row r="16">
      <c r="A16" s="26" t="s">
        <v>116</v>
      </c>
      <c r="B16" s="26" t="s">
        <v>117</v>
      </c>
      <c r="C16" s="26" t="s">
        <v>118</v>
      </c>
      <c r="D16" s="48">
        <v>31510.0</v>
      </c>
      <c r="E16" s="49">
        <v>65000.0</v>
      </c>
      <c r="F16" s="26" t="s">
        <v>187</v>
      </c>
      <c r="G16" s="26" t="s">
        <v>190</v>
      </c>
      <c r="H16" s="94" t="str">
        <f t="shared" si="1"/>
        <v>Jones Holly</v>
      </c>
    </row>
    <row r="17">
      <c r="A17" s="26" t="s">
        <v>120</v>
      </c>
      <c r="B17" s="26" t="s">
        <v>121</v>
      </c>
      <c r="C17" s="26" t="s">
        <v>122</v>
      </c>
      <c r="D17" s="48">
        <v>37945.0</v>
      </c>
      <c r="E17" s="49">
        <v>58000.0</v>
      </c>
      <c r="F17" s="26" t="s">
        <v>189</v>
      </c>
      <c r="G17" s="26" t="s">
        <v>190</v>
      </c>
      <c r="H17" s="94" t="str">
        <f t="shared" si="1"/>
        <v>Bronson Paul</v>
      </c>
    </row>
    <row r="18">
      <c r="A18" s="26" t="s">
        <v>124</v>
      </c>
      <c r="B18" s="26" t="s">
        <v>110</v>
      </c>
      <c r="C18" s="26" t="s">
        <v>125</v>
      </c>
      <c r="D18" s="48">
        <v>31147.0</v>
      </c>
      <c r="E18" s="49">
        <v>75000.0</v>
      </c>
      <c r="F18" s="26" t="s">
        <v>189</v>
      </c>
      <c r="G18" s="26" t="s">
        <v>190</v>
      </c>
      <c r="H18" s="94" t="str">
        <f t="shared" si="1"/>
        <v>Frank Vernon</v>
      </c>
    </row>
    <row r="19">
      <c r="A19" s="26" t="s">
        <v>127</v>
      </c>
      <c r="B19" s="26" t="s">
        <v>128</v>
      </c>
      <c r="C19" s="26" t="s">
        <v>129</v>
      </c>
      <c r="D19" s="48">
        <v>33267.0</v>
      </c>
      <c r="E19" s="49">
        <v>58500.0</v>
      </c>
      <c r="F19" s="26" t="s">
        <v>189</v>
      </c>
      <c r="G19" s="26" t="s">
        <v>191</v>
      </c>
      <c r="H19" s="94" t="str">
        <f t="shared" si="1"/>
        <v>Webster David</v>
      </c>
    </row>
    <row r="20">
      <c r="A20" s="26" t="s">
        <v>131</v>
      </c>
      <c r="B20" s="26" t="s">
        <v>132</v>
      </c>
      <c r="C20" s="26" t="s">
        <v>133</v>
      </c>
      <c r="D20" s="48">
        <v>35992.0</v>
      </c>
      <c r="E20" s="49">
        <v>150000.0</v>
      </c>
      <c r="F20" s="26" t="s">
        <v>189</v>
      </c>
      <c r="G20" s="26" t="s">
        <v>190</v>
      </c>
      <c r="H20" s="94" t="str">
        <f t="shared" si="1"/>
        <v>Rodriguez Jose</v>
      </c>
    </row>
    <row r="21">
      <c r="A21" s="26" t="s">
        <v>135</v>
      </c>
      <c r="B21" s="26" t="s">
        <v>136</v>
      </c>
      <c r="C21" s="26" t="s">
        <v>70</v>
      </c>
      <c r="D21" s="48">
        <v>37827.0</v>
      </c>
      <c r="E21" s="49">
        <v>45000.0</v>
      </c>
      <c r="F21" s="26" t="s">
        <v>187</v>
      </c>
      <c r="G21" s="26" t="s">
        <v>188</v>
      </c>
      <c r="H21" s="94" t="str">
        <f t="shared" si="1"/>
        <v>Rubin Patricia</v>
      </c>
    </row>
    <row r="22">
      <c r="A22" s="26" t="s">
        <v>138</v>
      </c>
      <c r="B22" s="26" t="s">
        <v>139</v>
      </c>
      <c r="C22" s="26" t="s">
        <v>140</v>
      </c>
      <c r="D22" s="48">
        <v>35964.0</v>
      </c>
      <c r="E22" s="49">
        <v>40000.0</v>
      </c>
      <c r="F22" s="26" t="s">
        <v>189</v>
      </c>
      <c r="G22" s="26" t="s">
        <v>191</v>
      </c>
      <c r="H22" s="94" t="str">
        <f t="shared" si="1"/>
        <v>Charles Kenneth</v>
      </c>
    </row>
    <row r="23">
      <c r="A23" s="26" t="s">
        <v>142</v>
      </c>
      <c r="B23" s="26" t="s">
        <v>143</v>
      </c>
      <c r="C23" s="26" t="s">
        <v>144</v>
      </c>
      <c r="D23" s="48">
        <v>30816.0</v>
      </c>
      <c r="E23" s="49">
        <v>79000.0</v>
      </c>
      <c r="F23" s="26" t="s">
        <v>187</v>
      </c>
      <c r="G23" s="26" t="s">
        <v>190</v>
      </c>
      <c r="H23" s="94" t="str">
        <f t="shared" si="1"/>
        <v>Roberts Melissa</v>
      </c>
    </row>
    <row r="24">
      <c r="A24" s="26" t="s">
        <v>146</v>
      </c>
      <c r="B24" s="26" t="s">
        <v>147</v>
      </c>
      <c r="C24" s="26" t="s">
        <v>118</v>
      </c>
      <c r="D24" s="48">
        <v>33770.0</v>
      </c>
      <c r="E24" s="49">
        <v>55000.0</v>
      </c>
      <c r="F24" s="26" t="s">
        <v>187</v>
      </c>
      <c r="G24" s="26" t="s">
        <v>188</v>
      </c>
      <c r="H24" s="94" t="str">
        <f t="shared" si="1"/>
        <v>Holmes Holly</v>
      </c>
    </row>
    <row r="25">
      <c r="A25" s="26" t="s">
        <v>149</v>
      </c>
      <c r="B25" s="26" t="s">
        <v>150</v>
      </c>
      <c r="C25" s="26" t="s">
        <v>151</v>
      </c>
      <c r="D25" s="48">
        <v>38955.0</v>
      </c>
      <c r="E25" s="49">
        <v>23000.0</v>
      </c>
      <c r="F25" s="26" t="s">
        <v>189</v>
      </c>
      <c r="G25" s="26" t="s">
        <v>190</v>
      </c>
      <c r="H25" s="94" t="str">
        <f t="shared" si="1"/>
        <v>Martin William</v>
      </c>
    </row>
    <row r="26">
      <c r="A26" s="26" t="s">
        <v>153</v>
      </c>
      <c r="B26" s="26" t="s">
        <v>154</v>
      </c>
      <c r="C26" s="26" t="s">
        <v>129</v>
      </c>
      <c r="D26" s="48">
        <v>37533.0</v>
      </c>
      <c r="E26" s="49">
        <v>52000.0</v>
      </c>
      <c r="F26" s="26" t="s">
        <v>189</v>
      </c>
      <c r="G26" s="26" t="s">
        <v>191</v>
      </c>
      <c r="H26" s="94" t="str">
        <f t="shared" si="1"/>
        <v>Adamson David</v>
      </c>
    </row>
    <row r="27">
      <c r="A27" s="26" t="s">
        <v>156</v>
      </c>
      <c r="B27" s="26" t="s">
        <v>157</v>
      </c>
      <c r="C27" s="26" t="s">
        <v>158</v>
      </c>
      <c r="D27" s="48">
        <v>35698.0</v>
      </c>
      <c r="E27" s="49">
        <v>38500.0</v>
      </c>
      <c r="F27" s="26" t="s">
        <v>187</v>
      </c>
      <c r="G27" s="26" t="s">
        <v>188</v>
      </c>
      <c r="H27" s="94" t="str">
        <f t="shared" si="1"/>
        <v>Marder Kelly</v>
      </c>
    </row>
    <row r="28">
      <c r="A28" s="26" t="s">
        <v>160</v>
      </c>
      <c r="B28" s="26" t="s">
        <v>161</v>
      </c>
      <c r="C28" s="26" t="s">
        <v>129</v>
      </c>
      <c r="D28" s="48">
        <v>29427.0</v>
      </c>
      <c r="E28" s="49">
        <v>175000.0</v>
      </c>
      <c r="F28" s="26" t="s">
        <v>189</v>
      </c>
      <c r="G28" s="26" t="s">
        <v>190</v>
      </c>
      <c r="H28" s="94" t="str">
        <f t="shared" si="1"/>
        <v>Whitehead David</v>
      </c>
    </row>
    <row r="31">
      <c r="A31" s="95" t="s">
        <v>378</v>
      </c>
      <c r="B31" s="95" t="s">
        <v>407</v>
      </c>
      <c r="C31" s="95" t="s">
        <v>408</v>
      </c>
    </row>
    <row r="32">
      <c r="A32" s="93">
        <v>1.0</v>
      </c>
      <c r="B32" s="93" t="s">
        <v>49</v>
      </c>
      <c r="C32" s="93" t="s">
        <v>409</v>
      </c>
    </row>
    <row r="33">
      <c r="A33" s="93">
        <v>2.0</v>
      </c>
      <c r="B33" s="93" t="s">
        <v>410</v>
      </c>
      <c r="C33" s="93" t="s">
        <v>409</v>
      </c>
    </row>
    <row r="34">
      <c r="A34" s="93">
        <v>3.0</v>
      </c>
      <c r="B34" s="93" t="s">
        <v>46</v>
      </c>
      <c r="C34" s="93" t="s">
        <v>411</v>
      </c>
    </row>
    <row r="35">
      <c r="A35" s="93">
        <v>4.0</v>
      </c>
      <c r="B35" s="93" t="s">
        <v>47</v>
      </c>
      <c r="C35" s="93" t="s">
        <v>412</v>
      </c>
    </row>
    <row r="36">
      <c r="A36" s="93">
        <v>5.0</v>
      </c>
      <c r="B36" s="93" t="s">
        <v>48</v>
      </c>
      <c r="C36" s="93" t="s">
        <v>413</v>
      </c>
    </row>
    <row r="38">
      <c r="A38" s="95" t="s">
        <v>407</v>
      </c>
      <c r="B38" s="95" t="s">
        <v>408</v>
      </c>
      <c r="C38" s="95"/>
    </row>
    <row r="39">
      <c r="A39" s="93" t="s">
        <v>47</v>
      </c>
      <c r="B39" s="71" t="str">
        <f t="array" ref="B39">INDEX(C32:C36, MATCH(A39,B32:B36,FALSE),1)</f>
        <v>Finance</v>
      </c>
    </row>
  </sheetData>
  <dataValidations>
    <dataValidation type="list" allowBlank="1" showErrorMessage="1" sqref="J4">
      <formula1>'17 - Match and Index'!$H$4:$H$28</formula1>
    </dataValidation>
    <dataValidation type="list" allowBlank="1" showErrorMessage="1" sqref="A39">
      <formula1>'17 - Match and Index'!$B$32:$B$36</formula1>
    </dataValidation>
  </dataValidation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414</v>
      </c>
      <c r="B1" s="3"/>
      <c r="C1" s="3"/>
      <c r="D1" s="3"/>
      <c r="E1" s="3"/>
      <c r="F1" s="3"/>
      <c r="G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3" t="s">
        <v>58</v>
      </c>
      <c r="B3" s="23" t="s">
        <v>59</v>
      </c>
      <c r="C3" s="23" t="s">
        <v>60</v>
      </c>
      <c r="D3" s="23" t="s">
        <v>61</v>
      </c>
      <c r="E3" s="23" t="s">
        <v>62</v>
      </c>
      <c r="F3" s="23" t="s">
        <v>185</v>
      </c>
      <c r="G3" s="23" t="s">
        <v>186</v>
      </c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6" t="s">
        <v>68</v>
      </c>
      <c r="B4" s="26" t="s">
        <v>69</v>
      </c>
      <c r="C4" s="26" t="s">
        <v>70</v>
      </c>
      <c r="D4" s="48">
        <v>38261.0</v>
      </c>
      <c r="E4" s="49">
        <v>57500.0</v>
      </c>
      <c r="F4" s="26" t="s">
        <v>187</v>
      </c>
      <c r="G4" s="26" t="s">
        <v>188</v>
      </c>
      <c r="I4" s="2" t="s">
        <v>67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6" t="s">
        <v>72</v>
      </c>
      <c r="B5" s="26" t="s">
        <v>73</v>
      </c>
      <c r="C5" s="26" t="s">
        <v>74</v>
      </c>
      <c r="D5" s="48">
        <v>36906.0</v>
      </c>
      <c r="E5" s="49">
        <v>19500.0</v>
      </c>
      <c r="F5" s="26" t="s">
        <v>187</v>
      </c>
      <c r="G5" s="26" t="s">
        <v>188</v>
      </c>
      <c r="I5" s="7" t="s">
        <v>415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6" t="s">
        <v>77</v>
      </c>
      <c r="B6" s="26" t="s">
        <v>78</v>
      </c>
      <c r="C6" s="26" t="s">
        <v>79</v>
      </c>
      <c r="D6" s="48">
        <v>35501.0</v>
      </c>
      <c r="E6" s="49">
        <v>69000.0</v>
      </c>
      <c r="F6" s="26" t="s">
        <v>187</v>
      </c>
      <c r="G6" s="26" t="s">
        <v>188</v>
      </c>
      <c r="I6" s="7" t="s">
        <v>416</v>
      </c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6" t="s">
        <v>82</v>
      </c>
      <c r="B7" s="26" t="s">
        <v>83</v>
      </c>
      <c r="C7" s="26" t="s">
        <v>84</v>
      </c>
      <c r="D7" s="48">
        <v>38578.0</v>
      </c>
      <c r="E7" s="49">
        <v>55000.0</v>
      </c>
      <c r="F7" s="26" t="s">
        <v>189</v>
      </c>
      <c r="G7" s="26" t="s">
        <v>190</v>
      </c>
      <c r="I7" s="110"/>
      <c r="J7" s="110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6" t="s">
        <v>87</v>
      </c>
      <c r="B8" s="26" t="s">
        <v>88</v>
      </c>
      <c r="C8" s="26" t="s">
        <v>89</v>
      </c>
      <c r="D8" s="48">
        <v>35188.0</v>
      </c>
      <c r="E8" s="49">
        <v>47500.0</v>
      </c>
      <c r="F8" s="26" t="s">
        <v>189</v>
      </c>
      <c r="G8" s="26" t="s">
        <v>190</v>
      </c>
      <c r="H8" s="77"/>
      <c r="I8" s="111" t="s">
        <v>338</v>
      </c>
      <c r="J8" s="112" t="s">
        <v>58</v>
      </c>
      <c r="K8" s="113" t="str">
        <f t="array" ref="K8">INDEX(A4:G28, MATCH(I9,C4:C28,FALSE),1)</f>
        <v>333-66-1234</v>
      </c>
      <c r="L8" s="41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6" t="s">
        <v>91</v>
      </c>
      <c r="B9" s="26" t="s">
        <v>92</v>
      </c>
      <c r="C9" s="26" t="s">
        <v>93</v>
      </c>
      <c r="D9" s="48">
        <v>34014.0</v>
      </c>
      <c r="E9" s="49">
        <v>100000.0</v>
      </c>
      <c r="F9" s="3"/>
      <c r="G9" s="26" t="s">
        <v>190</v>
      </c>
      <c r="I9" s="114" t="s">
        <v>114</v>
      </c>
      <c r="J9" s="112" t="s">
        <v>62</v>
      </c>
      <c r="K9" s="115">
        <f t="array" ref="K9">INDEX(A4:G28, MATCH(I9,C4:C28,FALSE),5)</f>
        <v>18500</v>
      </c>
      <c r="L9" s="41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6" t="s">
        <v>95</v>
      </c>
      <c r="B10" s="26" t="s">
        <v>96</v>
      </c>
      <c r="C10" s="26" t="s">
        <v>97</v>
      </c>
      <c r="D10" s="48">
        <v>28212.0</v>
      </c>
      <c r="E10" s="49">
        <v>125000.0</v>
      </c>
      <c r="F10" s="26" t="s">
        <v>189</v>
      </c>
      <c r="G10" s="3"/>
      <c r="I10" s="116"/>
      <c r="J10" s="112" t="s">
        <v>186</v>
      </c>
      <c r="K10" s="113" t="str">
        <f t="array" ref="K10">INDEX(A4:G28, MATCH(I9,C4:C28,FALSE),7)</f>
        <v>Poor</v>
      </c>
      <c r="L10" s="41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6" t="s">
        <v>99</v>
      </c>
      <c r="B11" s="26" t="s">
        <v>100</v>
      </c>
      <c r="C11" s="26" t="s">
        <v>101</v>
      </c>
      <c r="D11" s="48">
        <v>38718.0</v>
      </c>
      <c r="E11" s="49">
        <v>42500.0</v>
      </c>
      <c r="F11" s="26" t="s">
        <v>187</v>
      </c>
      <c r="G11" s="26" t="s">
        <v>188</v>
      </c>
      <c r="I11" s="116"/>
      <c r="J11" s="41"/>
      <c r="K11" s="41"/>
      <c r="L11" s="41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6" t="s">
        <v>103</v>
      </c>
      <c r="B12" s="26" t="s">
        <v>104</v>
      </c>
      <c r="C12" s="26" t="s">
        <v>74</v>
      </c>
      <c r="D12" s="48">
        <v>38505.0</v>
      </c>
      <c r="E12" s="49">
        <v>69000.0</v>
      </c>
      <c r="F12" s="26" t="s">
        <v>187</v>
      </c>
      <c r="G12" s="3"/>
      <c r="H12" s="3"/>
      <c r="I12" s="116"/>
      <c r="J12" s="41"/>
      <c r="K12" s="41"/>
      <c r="L12" s="41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6" t="s">
        <v>106</v>
      </c>
      <c r="B13" s="26" t="s">
        <v>107</v>
      </c>
      <c r="C13" s="26" t="s">
        <v>79</v>
      </c>
      <c r="D13" s="48">
        <v>36861.0</v>
      </c>
      <c r="E13" s="49">
        <v>49500.0</v>
      </c>
      <c r="F13" s="26" t="s">
        <v>187</v>
      </c>
      <c r="G13" s="26" t="s">
        <v>188</v>
      </c>
      <c r="H13" s="3"/>
      <c r="I13" s="117" t="s">
        <v>224</v>
      </c>
      <c r="J13" s="41"/>
      <c r="K13" s="41"/>
      <c r="L13" s="41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6" t="s">
        <v>109</v>
      </c>
      <c r="B14" s="26" t="s">
        <v>100</v>
      </c>
      <c r="C14" s="26" t="s">
        <v>110</v>
      </c>
      <c r="D14" s="48">
        <v>33267.0</v>
      </c>
      <c r="E14" s="49">
        <v>65000.0</v>
      </c>
      <c r="F14" s="26" t="s">
        <v>189</v>
      </c>
      <c r="G14" s="26" t="s">
        <v>190</v>
      </c>
      <c r="H14" s="3"/>
      <c r="I14" s="112" t="s">
        <v>58</v>
      </c>
      <c r="J14" s="118" t="s">
        <v>417</v>
      </c>
      <c r="K14" s="41"/>
      <c r="L14" s="41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6" t="s">
        <v>112</v>
      </c>
      <c r="B15" s="26" t="s">
        <v>113</v>
      </c>
      <c r="C15" s="26" t="s">
        <v>114</v>
      </c>
      <c r="D15" s="48">
        <v>36957.0</v>
      </c>
      <c r="E15" s="49">
        <v>18500.0</v>
      </c>
      <c r="F15" s="26" t="s">
        <v>187</v>
      </c>
      <c r="G15" s="26" t="s">
        <v>191</v>
      </c>
      <c r="H15" s="3"/>
      <c r="I15" s="112" t="s">
        <v>62</v>
      </c>
      <c r="J15" s="118" t="s">
        <v>418</v>
      </c>
      <c r="K15" s="41"/>
      <c r="L15" s="41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6" t="s">
        <v>116</v>
      </c>
      <c r="B16" s="26" t="s">
        <v>117</v>
      </c>
      <c r="C16" s="26" t="s">
        <v>118</v>
      </c>
      <c r="D16" s="48">
        <v>31510.0</v>
      </c>
      <c r="E16" s="49">
        <v>65000.0</v>
      </c>
      <c r="F16" s="26" t="s">
        <v>187</v>
      </c>
      <c r="G16" s="26" t="s">
        <v>190</v>
      </c>
      <c r="H16" s="3"/>
      <c r="I16" s="112" t="s">
        <v>186</v>
      </c>
      <c r="J16" s="118" t="s">
        <v>419</v>
      </c>
      <c r="K16" s="41"/>
      <c r="L16" s="41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6" t="s">
        <v>120</v>
      </c>
      <c r="B17" s="26" t="s">
        <v>121</v>
      </c>
      <c r="C17" s="26" t="s">
        <v>122</v>
      </c>
      <c r="D17" s="48">
        <v>37945.0</v>
      </c>
      <c r="E17" s="49">
        <v>58000.0</v>
      </c>
      <c r="F17" s="26" t="s">
        <v>189</v>
      </c>
      <c r="G17" s="26" t="s">
        <v>190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6" t="s">
        <v>124</v>
      </c>
      <c r="B18" s="26" t="s">
        <v>110</v>
      </c>
      <c r="C18" s="26" t="s">
        <v>125</v>
      </c>
      <c r="D18" s="48">
        <v>31147.0</v>
      </c>
      <c r="E18" s="49">
        <v>75000.0</v>
      </c>
      <c r="F18" s="26" t="s">
        <v>189</v>
      </c>
      <c r="G18" s="26" t="s">
        <v>190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6" t="s">
        <v>127</v>
      </c>
      <c r="B19" s="26" t="s">
        <v>128</v>
      </c>
      <c r="C19" s="26" t="s">
        <v>129</v>
      </c>
      <c r="D19" s="48">
        <v>33267.0</v>
      </c>
      <c r="E19" s="49">
        <v>58500.0</v>
      </c>
      <c r="F19" s="26" t="s">
        <v>189</v>
      </c>
      <c r="G19" s="26" t="s">
        <v>191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6" t="s">
        <v>131</v>
      </c>
      <c r="B20" s="26" t="s">
        <v>132</v>
      </c>
      <c r="C20" s="26" t="s">
        <v>133</v>
      </c>
      <c r="D20" s="48">
        <v>35992.0</v>
      </c>
      <c r="E20" s="49">
        <v>150000.0</v>
      </c>
      <c r="F20" s="26" t="s">
        <v>189</v>
      </c>
      <c r="G20" s="26" t="s">
        <v>190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6" t="s">
        <v>135</v>
      </c>
      <c r="B21" s="26" t="s">
        <v>136</v>
      </c>
      <c r="C21" s="26" t="s">
        <v>70</v>
      </c>
      <c r="D21" s="48">
        <v>37827.0</v>
      </c>
      <c r="E21" s="49">
        <v>45000.0</v>
      </c>
      <c r="F21" s="26" t="s">
        <v>187</v>
      </c>
      <c r="G21" s="26" t="s">
        <v>188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6" t="s">
        <v>138</v>
      </c>
      <c r="B22" s="26" t="s">
        <v>139</v>
      </c>
      <c r="C22" s="26" t="s">
        <v>140</v>
      </c>
      <c r="D22" s="48">
        <v>35964.0</v>
      </c>
      <c r="E22" s="49">
        <v>40000.0</v>
      </c>
      <c r="F22" s="26" t="s">
        <v>189</v>
      </c>
      <c r="G22" s="26" t="s">
        <v>191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6" t="s">
        <v>142</v>
      </c>
      <c r="B23" s="26" t="s">
        <v>143</v>
      </c>
      <c r="C23" s="26" t="s">
        <v>144</v>
      </c>
      <c r="D23" s="48">
        <v>30816.0</v>
      </c>
      <c r="E23" s="49">
        <v>79000.0</v>
      </c>
      <c r="F23" s="26" t="s">
        <v>187</v>
      </c>
      <c r="G23" s="26" t="s">
        <v>190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6" t="s">
        <v>146</v>
      </c>
      <c r="B24" s="26" t="s">
        <v>147</v>
      </c>
      <c r="C24" s="26" t="s">
        <v>118</v>
      </c>
      <c r="D24" s="48">
        <v>33770.0</v>
      </c>
      <c r="E24" s="49">
        <v>55000.0</v>
      </c>
      <c r="F24" s="26" t="s">
        <v>187</v>
      </c>
      <c r="G24" s="26" t="s">
        <v>188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6" t="s">
        <v>149</v>
      </c>
      <c r="B25" s="26" t="s">
        <v>150</v>
      </c>
      <c r="C25" s="26" t="s">
        <v>151</v>
      </c>
      <c r="D25" s="48">
        <v>38955.0</v>
      </c>
      <c r="E25" s="49">
        <v>23000.0</v>
      </c>
      <c r="F25" s="26" t="s">
        <v>189</v>
      </c>
      <c r="G25" s="26" t="s">
        <v>190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6" t="s">
        <v>153</v>
      </c>
      <c r="B26" s="26" t="s">
        <v>154</v>
      </c>
      <c r="C26" s="26" t="s">
        <v>129</v>
      </c>
      <c r="D26" s="48">
        <v>37533.0</v>
      </c>
      <c r="E26" s="49">
        <v>52000.0</v>
      </c>
      <c r="F26" s="26" t="s">
        <v>189</v>
      </c>
      <c r="G26" s="26" t="s">
        <v>191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6" t="s">
        <v>156</v>
      </c>
      <c r="B27" s="26" t="s">
        <v>157</v>
      </c>
      <c r="C27" s="26" t="s">
        <v>158</v>
      </c>
      <c r="D27" s="48">
        <v>35698.0</v>
      </c>
      <c r="E27" s="49">
        <v>38500.0</v>
      </c>
      <c r="F27" s="26" t="s">
        <v>187</v>
      </c>
      <c r="G27" s="26" t="s">
        <v>188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6" t="s">
        <v>160</v>
      </c>
      <c r="B28" s="26" t="s">
        <v>161</v>
      </c>
      <c r="C28" s="26" t="s">
        <v>129</v>
      </c>
      <c r="D28" s="48">
        <v>29427.0</v>
      </c>
      <c r="E28" s="49">
        <v>175000.0</v>
      </c>
      <c r="F28" s="26" t="s">
        <v>189</v>
      </c>
      <c r="G28" s="26" t="s">
        <v>190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>
    <dataValidation type="list" allowBlank="1" showErrorMessage="1" sqref="I9">
      <formula1>'18 - Project Simple App'!$C$4:$C$28</formula1>
    </dataValidation>
  </dataValidation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25"/>
    <col customWidth="1" min="2" max="2" width="10.88"/>
    <col customWidth="1" min="3" max="3" width="18.75"/>
  </cols>
  <sheetData>
    <row r="1">
      <c r="A1" s="117" t="s">
        <v>420</v>
      </c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</row>
    <row r="2">
      <c r="A2" s="41"/>
      <c r="B2" s="41"/>
      <c r="C2" s="41"/>
      <c r="D2" s="41"/>
      <c r="E2" s="41"/>
      <c r="F2" s="41"/>
      <c r="G2" s="41"/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</row>
    <row r="3">
      <c r="A3" s="117" t="s">
        <v>421</v>
      </c>
      <c r="B3" s="119"/>
      <c r="C3" s="117" t="s">
        <v>422</v>
      </c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</row>
    <row r="4">
      <c r="A4" s="114" t="s">
        <v>423</v>
      </c>
      <c r="B4" s="41"/>
      <c r="C4" s="120" t="s">
        <v>424</v>
      </c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</row>
    <row r="5">
      <c r="A5" s="41" t="str">
        <f>IFERROR(__xludf.DUMMYFUNCTION("GOOGLEFINANCE(A4,""price"", DATE(2020,1,1), DATE(2022,11,30), ""WEEKLY"")"),"Date")</f>
        <v>Date</v>
      </c>
      <c r="B5" s="41" t="str">
        <f>IFERROR(__xludf.DUMMYFUNCTION("""COMPUTED_VALUE"""),"Close")</f>
        <v>Close</v>
      </c>
      <c r="C5" s="41" t="str">
        <f>IFERROR(__xludf.DUMMYFUNCTION("GOOGLEFINANCE(C4,""price"", DATE(2020,1,1), DATE(2022,11,30), ""WEEKLY"")"),"Date")</f>
        <v>Date</v>
      </c>
      <c r="D5" s="41" t="str">
        <f>IFERROR(__xludf.DUMMYFUNCTION("""COMPUTED_VALUE"""),"Close")</f>
        <v>Close</v>
      </c>
      <c r="E5" s="41"/>
      <c r="F5" s="41"/>
      <c r="G5" s="114" t="s">
        <v>425</v>
      </c>
      <c r="H5" s="114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</row>
    <row r="6">
      <c r="A6" s="121">
        <f>IFERROR(__xludf.DUMMYFUNCTION("""COMPUTED_VALUE"""),43833.66666666667)</f>
        <v>43833.66667</v>
      </c>
      <c r="B6" s="41">
        <f>IFERROR(__xludf.DUMMYFUNCTION("""COMPUTED_VALUE"""),68.03)</f>
        <v>68.03</v>
      </c>
      <c r="C6" s="121">
        <f>IFERROR(__xludf.DUMMYFUNCTION("""COMPUTED_VALUE"""),43833.66666666667)</f>
        <v>43833.66667</v>
      </c>
      <c r="D6" s="41">
        <f>IFERROR(__xludf.DUMMYFUNCTION("""COMPUTED_VALUE"""),74.36)</f>
        <v>74.36</v>
      </c>
      <c r="E6" s="41"/>
      <c r="F6" s="114" t="s">
        <v>421</v>
      </c>
      <c r="G6" s="41"/>
      <c r="H6" s="41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</row>
    <row r="7">
      <c r="A7" s="121">
        <f>IFERROR(__xludf.DUMMYFUNCTION("""COMPUTED_VALUE"""),43840.66666666667)</f>
        <v>43840.66667</v>
      </c>
      <c r="B7" s="41">
        <f>IFERROR(__xludf.DUMMYFUNCTION("""COMPUTED_VALUE"""),71.49)</f>
        <v>71.49</v>
      </c>
      <c r="C7" s="121">
        <f>IFERROR(__xludf.DUMMYFUNCTION("""COMPUTED_VALUE"""),43840.66666666667)</f>
        <v>43840.66667</v>
      </c>
      <c r="D7" s="41">
        <f>IFERROR(__xludf.DUMMYFUNCTION("""COMPUTED_VALUE"""),77.58)</f>
        <v>77.58</v>
      </c>
      <c r="E7" s="41"/>
      <c r="F7" s="114" t="s">
        <v>422</v>
      </c>
      <c r="G7" s="41"/>
      <c r="H7" s="41"/>
      <c r="I7" s="41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</row>
    <row r="8">
      <c r="A8" s="121">
        <f>IFERROR(__xludf.DUMMYFUNCTION("""COMPUTED_VALUE"""),43847.66666666667)</f>
        <v>43847.66667</v>
      </c>
      <c r="B8" s="41">
        <f>IFERROR(__xludf.DUMMYFUNCTION("""COMPUTED_VALUE"""),74.02)</f>
        <v>74.02</v>
      </c>
      <c r="C8" s="121">
        <f>IFERROR(__xludf.DUMMYFUNCTION("""COMPUTED_VALUE"""),43847.66666666667)</f>
        <v>43847.66667</v>
      </c>
      <c r="D8" s="41">
        <f>IFERROR(__xludf.DUMMYFUNCTION("""COMPUTED_VALUE"""),79.68)</f>
        <v>79.68</v>
      </c>
      <c r="E8" s="41"/>
      <c r="F8" s="41"/>
      <c r="G8" s="41"/>
      <c r="H8" s="41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</row>
    <row r="9">
      <c r="A9" s="121">
        <f>IFERROR(__xludf.DUMMYFUNCTION("""COMPUTED_VALUE"""),43854.66666666667)</f>
        <v>43854.66667</v>
      </c>
      <c r="B9" s="41">
        <f>IFERROR(__xludf.DUMMYFUNCTION("""COMPUTED_VALUE"""),73.34)</f>
        <v>73.34</v>
      </c>
      <c r="C9" s="121">
        <f>IFERROR(__xludf.DUMMYFUNCTION("""COMPUTED_VALUE"""),43854.66666666667)</f>
        <v>43854.66667</v>
      </c>
      <c r="D9" s="41">
        <f>IFERROR(__xludf.DUMMYFUNCTION("""COMPUTED_VALUE"""),79.58)</f>
        <v>79.58</v>
      </c>
      <c r="E9" s="41"/>
      <c r="F9" s="41"/>
      <c r="G9" s="114" t="s">
        <v>426</v>
      </c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</row>
    <row r="10">
      <c r="A10" s="121">
        <f>IFERROR(__xludf.DUMMYFUNCTION("""COMPUTED_VALUE"""),43861.66666666667)</f>
        <v>43861.66667</v>
      </c>
      <c r="B10" s="41">
        <f>IFERROR(__xludf.DUMMYFUNCTION("""COMPUTED_VALUE"""),71.71)</f>
        <v>71.71</v>
      </c>
      <c r="C10" s="121">
        <f>IFERROR(__xludf.DUMMYFUNCTION("""COMPUTED_VALUE"""),43861.66666666667)</f>
        <v>43861.66667</v>
      </c>
      <c r="D10" s="41">
        <f>IFERROR(__xludf.DUMMYFUNCTION("""COMPUTED_VALUE"""),77.38)</f>
        <v>77.38</v>
      </c>
      <c r="E10" s="41"/>
      <c r="F10" s="114" t="s">
        <v>421</v>
      </c>
      <c r="G10" s="122">
        <v>0.62</v>
      </c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</row>
    <row r="11">
      <c r="A11" s="121">
        <f>IFERROR(__xludf.DUMMYFUNCTION("""COMPUTED_VALUE"""),43868.66666666667)</f>
        <v>43868.66667</v>
      </c>
      <c r="B11" s="41">
        <f>IFERROR(__xludf.DUMMYFUNCTION("""COMPUTED_VALUE"""),73.96)</f>
        <v>73.96</v>
      </c>
      <c r="C11" s="121">
        <f>IFERROR(__xludf.DUMMYFUNCTION("""COMPUTED_VALUE"""),43868.66666666667)</f>
        <v>43868.66667</v>
      </c>
      <c r="D11" s="41">
        <f>IFERROR(__xludf.DUMMYFUNCTION("""COMPUTED_VALUE"""),80.01)</f>
        <v>80.01</v>
      </c>
      <c r="E11" s="41"/>
      <c r="F11" s="114" t="s">
        <v>422</v>
      </c>
      <c r="G11" s="122">
        <v>0.38</v>
      </c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</row>
    <row r="12">
      <c r="A12" s="121">
        <f>IFERROR(__xludf.DUMMYFUNCTION("""COMPUTED_VALUE"""),43875.66666666667)</f>
        <v>43875.66667</v>
      </c>
      <c r="B12" s="41">
        <f>IFERROR(__xludf.DUMMYFUNCTION("""COMPUTED_VALUE"""),76.04)</f>
        <v>76.04</v>
      </c>
      <c r="C12" s="121">
        <f>IFERROR(__xludf.DUMMYFUNCTION("""COMPUTED_VALUE"""),43875.66666666667)</f>
        <v>43875.66667</v>
      </c>
      <c r="D12" s="41">
        <f>IFERROR(__xludf.DUMMYFUNCTION("""COMPUTED_VALUE"""),81.24)</f>
        <v>81.24</v>
      </c>
      <c r="E12" s="41"/>
      <c r="F12" s="41"/>
      <c r="G12" s="71" t="str">
        <f>IFERROR(__xludf.DUMMYFUNCTION("SPARKLINE(G10:G11,{""charttype"", ""bar""; ""color1"" ,""#FF69B4""; ""color2"", ""blue""})"),"")</f>
        <v/>
      </c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</row>
    <row r="13">
      <c r="A13" s="121">
        <f>IFERROR(__xludf.DUMMYFUNCTION("""COMPUTED_VALUE"""),43882.66666666667)</f>
        <v>43882.66667</v>
      </c>
      <c r="B13" s="41">
        <f>IFERROR(__xludf.DUMMYFUNCTION("""COMPUTED_VALUE"""),74.26)</f>
        <v>74.26</v>
      </c>
      <c r="C13" s="121">
        <f>IFERROR(__xludf.DUMMYFUNCTION("""COMPUTED_VALUE"""),43882.66666666667)</f>
        <v>43882.66667</v>
      </c>
      <c r="D13" s="41">
        <f>IFERROR(__xludf.DUMMYFUNCTION("""COMPUTED_VALUE"""),78.26)</f>
        <v>78.26</v>
      </c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</row>
    <row r="14">
      <c r="A14" s="121">
        <f>IFERROR(__xludf.DUMMYFUNCTION("""COMPUTED_VALUE"""),43889.66666666667)</f>
        <v>43889.66667</v>
      </c>
      <c r="B14" s="41">
        <f>IFERROR(__xludf.DUMMYFUNCTION("""COMPUTED_VALUE"""),66.97)</f>
        <v>66.97</v>
      </c>
      <c r="C14" s="121">
        <f>IFERROR(__xludf.DUMMYFUNCTION("""COMPUTED_VALUE"""),43889.66666666667)</f>
        <v>43889.66667</v>
      </c>
      <c r="D14" s="41">
        <f>IFERROR(__xludf.DUMMYFUNCTION("""COMPUTED_VALUE"""),68.34)</f>
        <v>68.34</v>
      </c>
      <c r="E14" s="41"/>
      <c r="F14" s="41"/>
      <c r="G14" s="123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</row>
    <row r="15">
      <c r="A15" s="121">
        <f>IFERROR(__xludf.DUMMYFUNCTION("""COMPUTED_VALUE"""),43896.66666666667)</f>
        <v>43896.66667</v>
      </c>
      <c r="B15" s="41">
        <f>IFERROR(__xludf.DUMMYFUNCTION("""COMPUTED_VALUE"""),64.92)</f>
        <v>64.92</v>
      </c>
      <c r="C15" s="121">
        <f>IFERROR(__xludf.DUMMYFUNCTION("""COMPUTED_VALUE"""),43896.66666666667)</f>
        <v>43896.66667</v>
      </c>
      <c r="D15" s="41">
        <f>IFERROR(__xludf.DUMMYFUNCTION("""COMPUTED_VALUE"""),72.26)</f>
        <v>72.26</v>
      </c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</row>
    <row r="16">
      <c r="A16" s="121">
        <f>IFERROR(__xludf.DUMMYFUNCTION("""COMPUTED_VALUE"""),43903.66666666667)</f>
        <v>43903.66667</v>
      </c>
      <c r="B16" s="41">
        <f>IFERROR(__xludf.DUMMYFUNCTION("""COMPUTED_VALUE"""),60.99)</f>
        <v>60.99</v>
      </c>
      <c r="C16" s="121">
        <f>IFERROR(__xludf.DUMMYFUNCTION("""COMPUTED_VALUE"""),43903.66666666667)</f>
        <v>43903.66667</v>
      </c>
      <c r="D16" s="41">
        <f>IFERROR(__xludf.DUMMYFUNCTION("""COMPUTED_VALUE"""),69.49)</f>
        <v>69.49</v>
      </c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</row>
    <row r="17">
      <c r="A17" s="121">
        <f>IFERROR(__xludf.DUMMYFUNCTION("""COMPUTED_VALUE"""),43910.66666666667)</f>
        <v>43910.66667</v>
      </c>
      <c r="B17" s="41">
        <f>IFERROR(__xludf.DUMMYFUNCTION("""COMPUTED_VALUE"""),53.62)</f>
        <v>53.62</v>
      </c>
      <c r="C17" s="121">
        <f>IFERROR(__xludf.DUMMYFUNCTION("""COMPUTED_VALUE"""),43910.66666666667)</f>
        <v>43910.66667</v>
      </c>
      <c r="D17" s="41">
        <f>IFERROR(__xludf.DUMMYFUNCTION("""COMPUTED_VALUE"""),57.31)</f>
        <v>57.31</v>
      </c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</row>
    <row r="18">
      <c r="A18" s="121">
        <f>IFERROR(__xludf.DUMMYFUNCTION("""COMPUTED_VALUE"""),43917.66666666667)</f>
        <v>43917.66667</v>
      </c>
      <c r="B18" s="41">
        <f>IFERROR(__xludf.DUMMYFUNCTION("""COMPUTED_VALUE"""),55.54)</f>
        <v>55.54</v>
      </c>
      <c r="C18" s="121">
        <f>IFERROR(__xludf.DUMMYFUNCTION("""COMPUTED_VALUE"""),43917.66666666667)</f>
        <v>43917.66667</v>
      </c>
      <c r="D18" s="41">
        <f>IFERROR(__xludf.DUMMYFUNCTION("""COMPUTED_VALUE"""),61.94)</f>
        <v>61.94</v>
      </c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</row>
    <row r="19">
      <c r="A19" s="121">
        <f>IFERROR(__xludf.DUMMYFUNCTION("""COMPUTED_VALUE"""),43924.66666666667)</f>
        <v>43924.66667</v>
      </c>
      <c r="B19" s="41">
        <f>IFERROR(__xludf.DUMMYFUNCTION("""COMPUTED_VALUE"""),54.89)</f>
        <v>54.89</v>
      </c>
      <c r="C19" s="121">
        <f>IFERROR(__xludf.DUMMYFUNCTION("""COMPUTED_VALUE"""),43924.66666666667)</f>
        <v>43924.66667</v>
      </c>
      <c r="D19" s="41">
        <f>IFERROR(__xludf.DUMMYFUNCTION("""COMPUTED_VALUE"""),60.35)</f>
        <v>60.35</v>
      </c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</row>
    <row r="20">
      <c r="A20" s="121">
        <f>IFERROR(__xludf.DUMMYFUNCTION("""COMPUTED_VALUE"""),43930.66666666667)</f>
        <v>43930.66667</v>
      </c>
      <c r="B20" s="41">
        <f>IFERROR(__xludf.DUMMYFUNCTION("""COMPUTED_VALUE"""),60.57)</f>
        <v>60.57</v>
      </c>
      <c r="C20" s="121">
        <f>IFERROR(__xludf.DUMMYFUNCTION("""COMPUTED_VALUE"""),43930.66666666667)</f>
        <v>43930.66667</v>
      </c>
      <c r="D20" s="41">
        <f>IFERROR(__xludf.DUMMYFUNCTION("""COMPUTED_VALUE"""),67.0)</f>
        <v>67</v>
      </c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</row>
    <row r="21">
      <c r="A21" s="121">
        <f>IFERROR(__xludf.DUMMYFUNCTION("""COMPUTED_VALUE"""),43938.66666666667)</f>
        <v>43938.66667</v>
      </c>
      <c r="B21" s="41">
        <f>IFERROR(__xludf.DUMMYFUNCTION("""COMPUTED_VALUE"""),64.16)</f>
        <v>64.16</v>
      </c>
      <c r="C21" s="121">
        <f>IFERROR(__xludf.DUMMYFUNCTION("""COMPUTED_VALUE"""),43938.66666666667)</f>
        <v>43938.66667</v>
      </c>
      <c r="D21" s="41">
        <f>IFERROR(__xludf.DUMMYFUNCTION("""COMPUTED_VALUE"""),70.7)</f>
        <v>70.7</v>
      </c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</row>
    <row r="22">
      <c r="A22" s="121">
        <f>IFERROR(__xludf.DUMMYFUNCTION("""COMPUTED_VALUE"""),43945.66666666667)</f>
        <v>43945.66667</v>
      </c>
      <c r="B22" s="41">
        <f>IFERROR(__xludf.DUMMYFUNCTION("""COMPUTED_VALUE"""),63.97)</f>
        <v>63.97</v>
      </c>
      <c r="C22" s="121">
        <f>IFERROR(__xludf.DUMMYFUNCTION("""COMPUTED_VALUE"""),43945.66666666667)</f>
        <v>43945.66667</v>
      </c>
      <c r="D22" s="41">
        <f>IFERROR(__xludf.DUMMYFUNCTION("""COMPUTED_VALUE"""),70.74)</f>
        <v>70.74</v>
      </c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</row>
    <row r="23">
      <c r="A23" s="121">
        <f>IFERROR(__xludf.DUMMYFUNCTION("""COMPUTED_VALUE"""),43952.66666666667)</f>
        <v>43952.66667</v>
      </c>
      <c r="B23" s="41">
        <f>IFERROR(__xludf.DUMMYFUNCTION("""COMPUTED_VALUE"""),66.03)</f>
        <v>66.03</v>
      </c>
      <c r="C23" s="121">
        <f>IFERROR(__xludf.DUMMYFUNCTION("""COMPUTED_VALUE"""),43952.66666666667)</f>
        <v>43952.66667</v>
      </c>
      <c r="D23" s="41">
        <f>IFERROR(__xludf.DUMMYFUNCTION("""COMPUTED_VALUE"""),72.27)</f>
        <v>72.27</v>
      </c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</row>
    <row r="24">
      <c r="A24" s="121">
        <f>IFERROR(__xludf.DUMMYFUNCTION("""COMPUTED_VALUE"""),43959.66666666667)</f>
        <v>43959.66667</v>
      </c>
      <c r="B24" s="41">
        <f>IFERROR(__xludf.DUMMYFUNCTION("""COMPUTED_VALUE"""),69.42)</f>
        <v>69.42</v>
      </c>
      <c r="C24" s="121">
        <f>IFERROR(__xludf.DUMMYFUNCTION("""COMPUTED_VALUE"""),43959.66666666667)</f>
        <v>43959.66667</v>
      </c>
      <c r="D24" s="41">
        <f>IFERROR(__xludf.DUMMYFUNCTION("""COMPUTED_VALUE"""),77.53)</f>
        <v>77.53</v>
      </c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</row>
    <row r="25">
      <c r="A25" s="121">
        <f>IFERROR(__xludf.DUMMYFUNCTION("""COMPUTED_VALUE"""),43966.66666666667)</f>
        <v>43966.66667</v>
      </c>
      <c r="B25" s="41">
        <f>IFERROR(__xludf.DUMMYFUNCTION("""COMPUTED_VALUE"""),68.66)</f>
        <v>68.66</v>
      </c>
      <c r="C25" s="121">
        <f>IFERROR(__xludf.DUMMYFUNCTION("""COMPUTED_VALUE"""),43966.66666666667)</f>
        <v>43966.66667</v>
      </c>
      <c r="D25" s="41">
        <f>IFERROR(__xludf.DUMMYFUNCTION("""COMPUTED_VALUE"""),76.93)</f>
        <v>76.93</v>
      </c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</row>
    <row r="26">
      <c r="A26" s="121">
        <f>IFERROR(__xludf.DUMMYFUNCTION("""COMPUTED_VALUE"""),43973.66666666667)</f>
        <v>43973.66667</v>
      </c>
      <c r="B26" s="41">
        <f>IFERROR(__xludf.DUMMYFUNCTION("""COMPUTED_VALUE"""),70.52)</f>
        <v>70.52</v>
      </c>
      <c r="C26" s="121">
        <f>IFERROR(__xludf.DUMMYFUNCTION("""COMPUTED_VALUE"""),43973.66666666667)</f>
        <v>43973.66667</v>
      </c>
      <c r="D26" s="41">
        <f>IFERROR(__xludf.DUMMYFUNCTION("""COMPUTED_VALUE"""),79.72)</f>
        <v>79.72</v>
      </c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</row>
    <row r="27">
      <c r="A27" s="121">
        <f>IFERROR(__xludf.DUMMYFUNCTION("""COMPUTED_VALUE"""),43980.66666666667)</f>
        <v>43980.66667</v>
      </c>
      <c r="B27" s="41">
        <f>IFERROR(__xludf.DUMMYFUNCTION("""COMPUTED_VALUE"""),71.45)</f>
        <v>71.45</v>
      </c>
      <c r="C27" s="121">
        <f>IFERROR(__xludf.DUMMYFUNCTION("""COMPUTED_VALUE"""),43980.66666666667)</f>
        <v>43980.66667</v>
      </c>
      <c r="D27" s="41">
        <f>IFERROR(__xludf.DUMMYFUNCTION("""COMPUTED_VALUE"""),79.49)</f>
        <v>79.49</v>
      </c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</row>
    <row r="28">
      <c r="A28" s="121">
        <f>IFERROR(__xludf.DUMMYFUNCTION("""COMPUTED_VALUE"""),43987.66666666667)</f>
        <v>43987.66667</v>
      </c>
      <c r="B28" s="41">
        <f>IFERROR(__xludf.DUMMYFUNCTION("""COMPUTED_VALUE"""),71.92)</f>
        <v>71.92</v>
      </c>
      <c r="C28" s="121">
        <f>IFERROR(__xludf.DUMMYFUNCTION("""COMPUTED_VALUE"""),43987.66666666667)</f>
        <v>43987.66667</v>
      </c>
      <c r="D28" s="41">
        <f>IFERROR(__xludf.DUMMYFUNCTION("""COMPUTED_VALUE"""),82.88)</f>
        <v>82.88</v>
      </c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</row>
    <row r="29">
      <c r="A29" s="121">
        <f>IFERROR(__xludf.DUMMYFUNCTION("""COMPUTED_VALUE"""),43994.66666666667)</f>
        <v>43994.66667</v>
      </c>
      <c r="B29" s="41">
        <f>IFERROR(__xludf.DUMMYFUNCTION("""COMPUTED_VALUE"""),70.66)</f>
        <v>70.66</v>
      </c>
      <c r="C29" s="121">
        <f>IFERROR(__xludf.DUMMYFUNCTION("""COMPUTED_VALUE"""),43994.66666666667)</f>
        <v>43994.66667</v>
      </c>
      <c r="D29" s="41">
        <f>IFERROR(__xludf.DUMMYFUNCTION("""COMPUTED_VALUE"""),84.7)</f>
        <v>84.7</v>
      </c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</row>
    <row r="30">
      <c r="A30" s="121">
        <f>IFERROR(__xludf.DUMMYFUNCTION("""COMPUTED_VALUE"""),44001.66666666667)</f>
        <v>44001.66667</v>
      </c>
      <c r="B30" s="41">
        <f>IFERROR(__xludf.DUMMYFUNCTION("""COMPUTED_VALUE"""),71.59)</f>
        <v>71.59</v>
      </c>
      <c r="C30" s="121">
        <f>IFERROR(__xludf.DUMMYFUNCTION("""COMPUTED_VALUE"""),44001.66666666667)</f>
        <v>44001.66667</v>
      </c>
      <c r="D30" s="41">
        <f>IFERROR(__xludf.DUMMYFUNCTION("""COMPUTED_VALUE"""),87.43)</f>
        <v>87.43</v>
      </c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</row>
    <row r="31">
      <c r="A31" s="121">
        <f>IFERROR(__xludf.DUMMYFUNCTION("""COMPUTED_VALUE"""),44008.66666666667)</f>
        <v>44008.66667</v>
      </c>
      <c r="B31" s="41">
        <f>IFERROR(__xludf.DUMMYFUNCTION("""COMPUTED_VALUE"""),68.0)</f>
        <v>68</v>
      </c>
      <c r="C31" s="121">
        <f>IFERROR(__xludf.DUMMYFUNCTION("""COMPUTED_VALUE"""),44008.66666666667)</f>
        <v>44008.66667</v>
      </c>
      <c r="D31" s="41">
        <f>IFERROR(__xludf.DUMMYFUNCTION("""COMPUTED_VALUE"""),88.41)</f>
        <v>88.41</v>
      </c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</row>
    <row r="32">
      <c r="A32" s="121">
        <f>IFERROR(__xludf.DUMMYFUNCTION("""COMPUTED_VALUE"""),44014.66666666667)</f>
        <v>44014.66667</v>
      </c>
      <c r="B32" s="41">
        <f>IFERROR(__xludf.DUMMYFUNCTION("""COMPUTED_VALUE"""),73.24)</f>
        <v>73.24</v>
      </c>
      <c r="C32" s="121">
        <f>IFERROR(__xludf.DUMMYFUNCTION("""COMPUTED_VALUE"""),44014.66666666667)</f>
        <v>44014.66667</v>
      </c>
      <c r="D32" s="41">
        <f>IFERROR(__xludf.DUMMYFUNCTION("""COMPUTED_VALUE"""),91.03)</f>
        <v>91.03</v>
      </c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</row>
    <row r="33">
      <c r="A33" s="121">
        <f>IFERROR(__xludf.DUMMYFUNCTION("""COMPUTED_VALUE"""),44022.66666666667)</f>
        <v>44022.66667</v>
      </c>
      <c r="B33" s="41">
        <f>IFERROR(__xludf.DUMMYFUNCTION("""COMPUTED_VALUE"""),77.09)</f>
        <v>77.09</v>
      </c>
      <c r="C33" s="121">
        <f>IFERROR(__xludf.DUMMYFUNCTION("""COMPUTED_VALUE"""),44022.66666666667)</f>
        <v>44022.66667</v>
      </c>
      <c r="D33" s="41">
        <f>IFERROR(__xludf.DUMMYFUNCTION("""COMPUTED_VALUE"""),95.92)</f>
        <v>95.92</v>
      </c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</row>
    <row r="34">
      <c r="A34" s="121">
        <f>IFERROR(__xludf.DUMMYFUNCTION("""COMPUTED_VALUE"""),44029.66666666667)</f>
        <v>44029.66667</v>
      </c>
      <c r="B34" s="41">
        <f>IFERROR(__xludf.DUMMYFUNCTION("""COMPUTED_VALUE"""),75.78)</f>
        <v>75.78</v>
      </c>
      <c r="C34" s="121">
        <f>IFERROR(__xludf.DUMMYFUNCTION("""COMPUTED_VALUE"""),44029.66666666667)</f>
        <v>44029.66667</v>
      </c>
      <c r="D34" s="41">
        <f>IFERROR(__xludf.DUMMYFUNCTION("""COMPUTED_VALUE"""),96.33)</f>
        <v>96.33</v>
      </c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</row>
    <row r="35">
      <c r="A35" s="121">
        <f>IFERROR(__xludf.DUMMYFUNCTION("""COMPUTED_VALUE"""),44036.66666666667)</f>
        <v>44036.66667</v>
      </c>
      <c r="B35" s="41">
        <f>IFERROR(__xludf.DUMMYFUNCTION("""COMPUTED_VALUE"""),75.59)</f>
        <v>75.59</v>
      </c>
      <c r="C35" s="121">
        <f>IFERROR(__xludf.DUMMYFUNCTION("""COMPUTED_VALUE"""),44036.66666666667)</f>
        <v>44036.66667</v>
      </c>
      <c r="D35" s="41">
        <f>IFERROR(__xludf.DUMMYFUNCTION("""COMPUTED_VALUE"""),92.62)</f>
        <v>92.62</v>
      </c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</row>
    <row r="36">
      <c r="A36" s="121">
        <f>IFERROR(__xludf.DUMMYFUNCTION("""COMPUTED_VALUE"""),44043.66666666667)</f>
        <v>44043.66667</v>
      </c>
      <c r="B36" s="41">
        <f>IFERROR(__xludf.DUMMYFUNCTION("""COMPUTED_VALUE"""),74.15)</f>
        <v>74.15</v>
      </c>
      <c r="C36" s="121">
        <f>IFERROR(__xludf.DUMMYFUNCTION("""COMPUTED_VALUE"""),44043.66666666667)</f>
        <v>44043.66667</v>
      </c>
      <c r="D36" s="41">
        <f>IFERROR(__xludf.DUMMYFUNCTION("""COMPUTED_VALUE"""),106.26)</f>
        <v>106.26</v>
      </c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</row>
    <row r="37">
      <c r="A37" s="121">
        <f>IFERROR(__xludf.DUMMYFUNCTION("""COMPUTED_VALUE"""),44050.66666666667)</f>
        <v>44050.66667</v>
      </c>
      <c r="B37" s="41">
        <f>IFERROR(__xludf.DUMMYFUNCTION("""COMPUTED_VALUE"""),74.72)</f>
        <v>74.72</v>
      </c>
      <c r="C37" s="121">
        <f>IFERROR(__xludf.DUMMYFUNCTION("""COMPUTED_VALUE"""),44050.66666666667)</f>
        <v>44050.66667</v>
      </c>
      <c r="D37" s="41">
        <f>IFERROR(__xludf.DUMMYFUNCTION("""COMPUTED_VALUE"""),111.11)</f>
        <v>111.11</v>
      </c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</row>
    <row r="38">
      <c r="A38" s="121">
        <f>IFERROR(__xludf.DUMMYFUNCTION("""COMPUTED_VALUE"""),44057.66666666667)</f>
        <v>44057.66667</v>
      </c>
      <c r="B38" s="41">
        <f>IFERROR(__xludf.DUMMYFUNCTION("""COMPUTED_VALUE"""),75.39)</f>
        <v>75.39</v>
      </c>
      <c r="C38" s="121">
        <f>IFERROR(__xludf.DUMMYFUNCTION("""COMPUTED_VALUE"""),44057.66666666667)</f>
        <v>44057.66667</v>
      </c>
      <c r="D38" s="41">
        <f>IFERROR(__xludf.DUMMYFUNCTION("""COMPUTED_VALUE"""),114.91)</f>
        <v>114.91</v>
      </c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</row>
    <row r="39">
      <c r="A39" s="121">
        <f>IFERROR(__xludf.DUMMYFUNCTION("""COMPUTED_VALUE"""),44064.66666666667)</f>
        <v>44064.66667</v>
      </c>
      <c r="B39" s="41">
        <f>IFERROR(__xludf.DUMMYFUNCTION("""COMPUTED_VALUE"""),79.02)</f>
        <v>79.02</v>
      </c>
      <c r="C39" s="121">
        <f>IFERROR(__xludf.DUMMYFUNCTION("""COMPUTED_VALUE"""),44064.66666666667)</f>
        <v>44064.66667</v>
      </c>
      <c r="D39" s="41">
        <f>IFERROR(__xludf.DUMMYFUNCTION("""COMPUTED_VALUE"""),124.37)</f>
        <v>124.37</v>
      </c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</row>
    <row r="40">
      <c r="A40" s="121">
        <f>IFERROR(__xludf.DUMMYFUNCTION("""COMPUTED_VALUE"""),44071.66666666667)</f>
        <v>44071.66667</v>
      </c>
      <c r="B40" s="41">
        <f>IFERROR(__xludf.DUMMYFUNCTION("""COMPUTED_VALUE"""),82.22)</f>
        <v>82.22</v>
      </c>
      <c r="C40" s="121">
        <f>IFERROR(__xludf.DUMMYFUNCTION("""COMPUTED_VALUE"""),44071.66666666667)</f>
        <v>44071.66667</v>
      </c>
      <c r="D40" s="41">
        <f>IFERROR(__xludf.DUMMYFUNCTION("""COMPUTED_VALUE"""),124.81)</f>
        <v>124.81</v>
      </c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</row>
    <row r="41">
      <c r="A41" s="121">
        <f>IFERROR(__xludf.DUMMYFUNCTION("""COMPUTED_VALUE"""),44078.66666666667)</f>
        <v>44078.66667</v>
      </c>
      <c r="B41" s="41">
        <f>IFERROR(__xludf.DUMMYFUNCTION("""COMPUTED_VALUE"""),79.55)</f>
        <v>79.55</v>
      </c>
      <c r="C41" s="121">
        <f>IFERROR(__xludf.DUMMYFUNCTION("""COMPUTED_VALUE"""),44078.66666666667)</f>
        <v>44078.66667</v>
      </c>
      <c r="D41" s="41">
        <f>IFERROR(__xludf.DUMMYFUNCTION("""COMPUTED_VALUE"""),120.96)</f>
        <v>120.96</v>
      </c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</row>
    <row r="42">
      <c r="A42" s="121">
        <f>IFERROR(__xludf.DUMMYFUNCTION("""COMPUTED_VALUE"""),44085.66666666667)</f>
        <v>44085.66667</v>
      </c>
      <c r="B42" s="41">
        <f>IFERROR(__xludf.DUMMYFUNCTION("""COMPUTED_VALUE"""),76.04)</f>
        <v>76.04</v>
      </c>
      <c r="C42" s="121">
        <f>IFERROR(__xludf.DUMMYFUNCTION("""COMPUTED_VALUE"""),44085.66666666667)</f>
        <v>44085.66667</v>
      </c>
      <c r="D42" s="41">
        <f>IFERROR(__xludf.DUMMYFUNCTION("""COMPUTED_VALUE"""),112.0)</f>
        <v>112</v>
      </c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</row>
    <row r="43">
      <c r="A43" s="121">
        <f>IFERROR(__xludf.DUMMYFUNCTION("""COMPUTED_VALUE"""),44092.66666666667)</f>
        <v>44092.66667</v>
      </c>
      <c r="B43" s="41">
        <f>IFERROR(__xludf.DUMMYFUNCTION("""COMPUTED_VALUE"""),73.0)</f>
        <v>73</v>
      </c>
      <c r="C43" s="121">
        <f>IFERROR(__xludf.DUMMYFUNCTION("""COMPUTED_VALUE"""),44092.66666666667)</f>
        <v>44092.66667</v>
      </c>
      <c r="D43" s="41">
        <f>IFERROR(__xludf.DUMMYFUNCTION("""COMPUTED_VALUE"""),106.84)</f>
        <v>106.84</v>
      </c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</row>
    <row r="44">
      <c r="A44" s="121">
        <f>IFERROR(__xludf.DUMMYFUNCTION("""COMPUTED_VALUE"""),44099.66666666667)</f>
        <v>44099.66667</v>
      </c>
      <c r="B44" s="41">
        <f>IFERROR(__xludf.DUMMYFUNCTION("""COMPUTED_VALUE"""),72.25)</f>
        <v>72.25</v>
      </c>
      <c r="C44" s="121">
        <f>IFERROR(__xludf.DUMMYFUNCTION("""COMPUTED_VALUE"""),44099.66666666667)</f>
        <v>44099.66667</v>
      </c>
      <c r="D44" s="41">
        <f>IFERROR(__xludf.DUMMYFUNCTION("""COMPUTED_VALUE"""),112.28)</f>
        <v>112.28</v>
      </c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</row>
    <row r="45">
      <c r="A45" s="121">
        <f>IFERROR(__xludf.DUMMYFUNCTION("""COMPUTED_VALUE"""),44106.66666666667)</f>
        <v>44106.66667</v>
      </c>
      <c r="B45" s="41">
        <f>IFERROR(__xludf.DUMMYFUNCTION("""COMPUTED_VALUE"""),72.92)</f>
        <v>72.92</v>
      </c>
      <c r="C45" s="121">
        <f>IFERROR(__xludf.DUMMYFUNCTION("""COMPUTED_VALUE"""),44106.66666666667)</f>
        <v>44106.66667</v>
      </c>
      <c r="D45" s="41">
        <f>IFERROR(__xludf.DUMMYFUNCTION("""COMPUTED_VALUE"""),113.02)</f>
        <v>113.02</v>
      </c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</row>
    <row r="46">
      <c r="A46" s="121">
        <f>IFERROR(__xludf.DUMMYFUNCTION("""COMPUTED_VALUE"""),44113.66666666667)</f>
        <v>44113.66667</v>
      </c>
      <c r="B46" s="41">
        <f>IFERROR(__xludf.DUMMYFUNCTION("""COMPUTED_VALUE"""),75.76)</f>
        <v>75.76</v>
      </c>
      <c r="C46" s="121">
        <f>IFERROR(__xludf.DUMMYFUNCTION("""COMPUTED_VALUE"""),44113.66666666667)</f>
        <v>44113.66667</v>
      </c>
      <c r="D46" s="41">
        <f>IFERROR(__xludf.DUMMYFUNCTION("""COMPUTED_VALUE"""),116.97)</f>
        <v>116.97</v>
      </c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</row>
    <row r="47">
      <c r="A47" s="121">
        <f>IFERROR(__xludf.DUMMYFUNCTION("""COMPUTED_VALUE"""),44120.66666666667)</f>
        <v>44120.66667</v>
      </c>
      <c r="B47" s="41">
        <f>IFERROR(__xludf.DUMMYFUNCTION("""COMPUTED_VALUE"""),78.65)</f>
        <v>78.65</v>
      </c>
      <c r="C47" s="121">
        <f>IFERROR(__xludf.DUMMYFUNCTION("""COMPUTED_VALUE"""),44120.66666666667)</f>
        <v>44120.66667</v>
      </c>
      <c r="D47" s="41">
        <f>IFERROR(__xludf.DUMMYFUNCTION("""COMPUTED_VALUE"""),119.02)</f>
        <v>119.02</v>
      </c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</row>
    <row r="48">
      <c r="A48" s="121">
        <f>IFERROR(__xludf.DUMMYFUNCTION("""COMPUTED_VALUE"""),44127.66666666667)</f>
        <v>44127.66667</v>
      </c>
      <c r="B48" s="41">
        <f>IFERROR(__xludf.DUMMYFUNCTION("""COMPUTED_VALUE"""),82.05)</f>
        <v>82.05</v>
      </c>
      <c r="C48" s="121">
        <f>IFERROR(__xludf.DUMMYFUNCTION("""COMPUTED_VALUE"""),44127.66666666667)</f>
        <v>44127.66667</v>
      </c>
      <c r="D48" s="41">
        <f>IFERROR(__xludf.DUMMYFUNCTION("""COMPUTED_VALUE"""),115.04)</f>
        <v>115.04</v>
      </c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</row>
    <row r="49">
      <c r="A49" s="121">
        <f>IFERROR(__xludf.DUMMYFUNCTION("""COMPUTED_VALUE"""),44134.66666666667)</f>
        <v>44134.66667</v>
      </c>
      <c r="B49" s="41">
        <f>IFERROR(__xludf.DUMMYFUNCTION("""COMPUTED_VALUE"""),81.05)</f>
        <v>81.05</v>
      </c>
      <c r="C49" s="121">
        <f>IFERROR(__xludf.DUMMYFUNCTION("""COMPUTED_VALUE"""),44134.66666666667)</f>
        <v>44134.66667</v>
      </c>
      <c r="D49" s="41">
        <f>IFERROR(__xludf.DUMMYFUNCTION("""COMPUTED_VALUE"""),108.86)</f>
        <v>108.86</v>
      </c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</row>
    <row r="50">
      <c r="A50" s="121">
        <f>IFERROR(__xludf.DUMMYFUNCTION("""COMPUTED_VALUE"""),44141.66666666667)</f>
        <v>44141.66667</v>
      </c>
      <c r="B50" s="41">
        <f>IFERROR(__xludf.DUMMYFUNCTION("""COMPUTED_VALUE"""),88.09)</f>
        <v>88.09</v>
      </c>
      <c r="C50" s="121">
        <f>IFERROR(__xludf.DUMMYFUNCTION("""COMPUTED_VALUE"""),44141.66666666667)</f>
        <v>44141.66667</v>
      </c>
      <c r="D50" s="41">
        <f>IFERROR(__xludf.DUMMYFUNCTION("""COMPUTED_VALUE"""),118.69)</f>
        <v>118.69</v>
      </c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</row>
    <row r="51">
      <c r="A51" s="121">
        <f>IFERROR(__xludf.DUMMYFUNCTION("""COMPUTED_VALUE"""),44148.66666666667)</f>
        <v>44148.66667</v>
      </c>
      <c r="B51" s="41">
        <f>IFERROR(__xludf.DUMMYFUNCTION("""COMPUTED_VALUE"""),88.85)</f>
        <v>88.85</v>
      </c>
      <c r="C51" s="121">
        <f>IFERROR(__xludf.DUMMYFUNCTION("""COMPUTED_VALUE"""),44148.66666666667)</f>
        <v>44148.66667</v>
      </c>
      <c r="D51" s="41">
        <f>IFERROR(__xludf.DUMMYFUNCTION("""COMPUTED_VALUE"""),119.26)</f>
        <v>119.26</v>
      </c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</row>
    <row r="52">
      <c r="A52" s="121">
        <f>IFERROR(__xludf.DUMMYFUNCTION("""COMPUTED_VALUE"""),44155.66666666667)</f>
        <v>44155.66667</v>
      </c>
      <c r="B52" s="41">
        <f>IFERROR(__xludf.DUMMYFUNCTION("""COMPUTED_VALUE"""),87.11)</f>
        <v>87.11</v>
      </c>
      <c r="C52" s="121">
        <f>IFERROR(__xludf.DUMMYFUNCTION("""COMPUTED_VALUE"""),44155.66666666667)</f>
        <v>44155.66667</v>
      </c>
      <c r="D52" s="41">
        <f>IFERROR(__xludf.DUMMYFUNCTION("""COMPUTED_VALUE"""),117.34)</f>
        <v>117.34</v>
      </c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</row>
    <row r="53">
      <c r="A53" s="121">
        <f>IFERROR(__xludf.DUMMYFUNCTION("""COMPUTED_VALUE"""),44162.54166666667)</f>
        <v>44162.54167</v>
      </c>
      <c r="B53" s="41">
        <f>IFERROR(__xludf.DUMMYFUNCTION("""COMPUTED_VALUE"""),89.66)</f>
        <v>89.66</v>
      </c>
      <c r="C53" s="121">
        <f>IFERROR(__xludf.DUMMYFUNCTION("""COMPUTED_VALUE"""),44162.54166666667)</f>
        <v>44162.54167</v>
      </c>
      <c r="D53" s="41">
        <f>IFERROR(__xludf.DUMMYFUNCTION("""COMPUTED_VALUE"""),116.59)</f>
        <v>116.59</v>
      </c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</row>
    <row r="54">
      <c r="A54" s="121">
        <f>IFERROR(__xludf.DUMMYFUNCTION("""COMPUTED_VALUE"""),44169.66666666667)</f>
        <v>44169.66667</v>
      </c>
      <c r="B54" s="41">
        <f>IFERROR(__xludf.DUMMYFUNCTION("""COMPUTED_VALUE"""),91.4)</f>
        <v>91.4</v>
      </c>
      <c r="C54" s="121">
        <f>IFERROR(__xludf.DUMMYFUNCTION("""COMPUTED_VALUE"""),44169.66666666667)</f>
        <v>44169.66667</v>
      </c>
      <c r="D54" s="41">
        <f>IFERROR(__xludf.DUMMYFUNCTION("""COMPUTED_VALUE"""),122.25)</f>
        <v>122.25</v>
      </c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</row>
    <row r="55">
      <c r="A55" s="121">
        <f>IFERROR(__xludf.DUMMYFUNCTION("""COMPUTED_VALUE"""),44176.66666666667)</f>
        <v>44176.66667</v>
      </c>
      <c r="B55" s="41">
        <f>IFERROR(__xludf.DUMMYFUNCTION("""COMPUTED_VALUE"""),89.09)</f>
        <v>89.09</v>
      </c>
      <c r="C55" s="121">
        <f>IFERROR(__xludf.DUMMYFUNCTION("""COMPUTED_VALUE"""),44176.66666666667)</f>
        <v>44176.66667</v>
      </c>
      <c r="D55" s="41">
        <f>IFERROR(__xludf.DUMMYFUNCTION("""COMPUTED_VALUE"""),122.41)</f>
        <v>122.41</v>
      </c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</row>
    <row r="56">
      <c r="A56" s="121">
        <f>IFERROR(__xludf.DUMMYFUNCTION("""COMPUTED_VALUE"""),44183.66666666667)</f>
        <v>44183.66667</v>
      </c>
      <c r="B56" s="41">
        <f>IFERROR(__xludf.DUMMYFUNCTION("""COMPUTED_VALUE"""),86.55)</f>
        <v>86.55</v>
      </c>
      <c r="C56" s="121">
        <f>IFERROR(__xludf.DUMMYFUNCTION("""COMPUTED_VALUE"""),44183.66666666667)</f>
        <v>44183.66667</v>
      </c>
      <c r="D56" s="41">
        <f>IFERROR(__xludf.DUMMYFUNCTION("""COMPUTED_VALUE"""),126.66)</f>
        <v>126.66</v>
      </c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</row>
    <row r="57">
      <c r="A57" s="121">
        <f>IFERROR(__xludf.DUMMYFUNCTION("""COMPUTED_VALUE"""),44189.54166666667)</f>
        <v>44189.54167</v>
      </c>
      <c r="B57" s="41">
        <f>IFERROR(__xludf.DUMMYFUNCTION("""COMPUTED_VALUE"""),86.94)</f>
        <v>86.94</v>
      </c>
      <c r="C57" s="121">
        <f>IFERROR(__xludf.DUMMYFUNCTION("""COMPUTED_VALUE"""),44189.54166666667)</f>
        <v>44189.54167</v>
      </c>
      <c r="D57" s="41">
        <f>IFERROR(__xludf.DUMMYFUNCTION("""COMPUTED_VALUE"""),131.97)</f>
        <v>131.97</v>
      </c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</row>
    <row r="58">
      <c r="A58" s="121">
        <f>IFERROR(__xludf.DUMMYFUNCTION("""COMPUTED_VALUE"""),44196.66666666667)</f>
        <v>44196.66667</v>
      </c>
      <c r="B58" s="41">
        <f>IFERROR(__xludf.DUMMYFUNCTION("""COMPUTED_VALUE"""),87.59)</f>
        <v>87.59</v>
      </c>
      <c r="C58" s="121">
        <f>IFERROR(__xludf.DUMMYFUNCTION("""COMPUTED_VALUE"""),44196.66666666667)</f>
        <v>44196.66667</v>
      </c>
      <c r="D58" s="41">
        <f>IFERROR(__xludf.DUMMYFUNCTION("""COMPUTED_VALUE"""),132.69)</f>
        <v>132.69</v>
      </c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</row>
    <row r="59">
      <c r="A59" s="121">
        <f>IFERROR(__xludf.DUMMYFUNCTION("""COMPUTED_VALUE"""),44204.66666666667)</f>
        <v>44204.66667</v>
      </c>
      <c r="B59" s="41">
        <f>IFERROR(__xludf.DUMMYFUNCTION("""COMPUTED_VALUE"""),90.36)</f>
        <v>90.36</v>
      </c>
      <c r="C59" s="121">
        <f>IFERROR(__xludf.DUMMYFUNCTION("""COMPUTED_VALUE"""),44204.66666666667)</f>
        <v>44204.66667</v>
      </c>
      <c r="D59" s="41">
        <f>IFERROR(__xludf.DUMMYFUNCTION("""COMPUTED_VALUE"""),132.05)</f>
        <v>132.05</v>
      </c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</row>
    <row r="60">
      <c r="A60" s="121">
        <f>IFERROR(__xludf.DUMMYFUNCTION("""COMPUTED_VALUE"""),44211.66666666667)</f>
        <v>44211.66667</v>
      </c>
      <c r="B60" s="41">
        <f>IFERROR(__xludf.DUMMYFUNCTION("""COMPUTED_VALUE"""),86.81)</f>
        <v>86.81</v>
      </c>
      <c r="C60" s="121">
        <f>IFERROR(__xludf.DUMMYFUNCTION("""COMPUTED_VALUE"""),44211.66666666667)</f>
        <v>44211.66667</v>
      </c>
      <c r="D60" s="41">
        <f>IFERROR(__xludf.DUMMYFUNCTION("""COMPUTED_VALUE"""),127.14)</f>
        <v>127.14</v>
      </c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</row>
    <row r="61">
      <c r="A61" s="121">
        <f>IFERROR(__xludf.DUMMYFUNCTION("""COMPUTED_VALUE"""),44218.66666666667)</f>
        <v>44218.66667</v>
      </c>
      <c r="B61" s="41">
        <f>IFERROR(__xludf.DUMMYFUNCTION("""COMPUTED_VALUE"""),95.05)</f>
        <v>95.05</v>
      </c>
      <c r="C61" s="121">
        <f>IFERROR(__xludf.DUMMYFUNCTION("""COMPUTED_VALUE"""),44218.66666666667)</f>
        <v>44218.66667</v>
      </c>
      <c r="D61" s="41">
        <f>IFERROR(__xludf.DUMMYFUNCTION("""COMPUTED_VALUE"""),139.07)</f>
        <v>139.07</v>
      </c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</row>
    <row r="62">
      <c r="A62" s="121">
        <f>IFERROR(__xludf.DUMMYFUNCTION("""COMPUTED_VALUE"""),44225.66666666667)</f>
        <v>44225.66667</v>
      </c>
      <c r="B62" s="41">
        <f>IFERROR(__xludf.DUMMYFUNCTION("""COMPUTED_VALUE"""),91.79)</f>
        <v>91.79</v>
      </c>
      <c r="C62" s="121">
        <f>IFERROR(__xludf.DUMMYFUNCTION("""COMPUTED_VALUE"""),44225.66666666667)</f>
        <v>44225.66667</v>
      </c>
      <c r="D62" s="41">
        <f>IFERROR(__xludf.DUMMYFUNCTION("""COMPUTED_VALUE"""),131.96)</f>
        <v>131.96</v>
      </c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</row>
    <row r="63">
      <c r="A63" s="121">
        <f>IFERROR(__xludf.DUMMYFUNCTION("""COMPUTED_VALUE"""),44232.66666666667)</f>
        <v>44232.66667</v>
      </c>
      <c r="B63" s="41">
        <f>IFERROR(__xludf.DUMMYFUNCTION("""COMPUTED_VALUE"""),104.9)</f>
        <v>104.9</v>
      </c>
      <c r="C63" s="121">
        <f>IFERROR(__xludf.DUMMYFUNCTION("""COMPUTED_VALUE"""),44232.66666666667)</f>
        <v>44232.66667</v>
      </c>
      <c r="D63" s="41">
        <f>IFERROR(__xludf.DUMMYFUNCTION("""COMPUTED_VALUE"""),136.76)</f>
        <v>136.76</v>
      </c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</row>
    <row r="64">
      <c r="A64" s="121">
        <f>IFERROR(__xludf.DUMMYFUNCTION("""COMPUTED_VALUE"""),44239.66666666667)</f>
        <v>44239.66667</v>
      </c>
      <c r="B64" s="41">
        <f>IFERROR(__xludf.DUMMYFUNCTION("""COMPUTED_VALUE"""),105.21)</f>
        <v>105.21</v>
      </c>
      <c r="C64" s="121">
        <f>IFERROR(__xludf.DUMMYFUNCTION("""COMPUTED_VALUE"""),44239.66666666667)</f>
        <v>44239.66667</v>
      </c>
      <c r="D64" s="41">
        <f>IFERROR(__xludf.DUMMYFUNCTION("""COMPUTED_VALUE"""),135.37)</f>
        <v>135.37</v>
      </c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</row>
    <row r="65">
      <c r="A65" s="121">
        <f>IFERROR(__xludf.DUMMYFUNCTION("""COMPUTED_VALUE"""),44246.66666666667)</f>
        <v>44246.66667</v>
      </c>
      <c r="B65" s="41">
        <f>IFERROR(__xludf.DUMMYFUNCTION("""COMPUTED_VALUE"""),105.06)</f>
        <v>105.06</v>
      </c>
      <c r="C65" s="121">
        <f>IFERROR(__xludf.DUMMYFUNCTION("""COMPUTED_VALUE"""),44246.66666666667)</f>
        <v>44246.66667</v>
      </c>
      <c r="D65" s="41">
        <f>IFERROR(__xludf.DUMMYFUNCTION("""COMPUTED_VALUE"""),129.87)</f>
        <v>129.87</v>
      </c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</row>
    <row r="66">
      <c r="A66" s="121">
        <f>IFERROR(__xludf.DUMMYFUNCTION("""COMPUTED_VALUE"""),44253.66666666667)</f>
        <v>44253.66667</v>
      </c>
      <c r="B66" s="41">
        <f>IFERROR(__xludf.DUMMYFUNCTION("""COMPUTED_VALUE"""),101.84)</f>
        <v>101.84</v>
      </c>
      <c r="C66" s="121">
        <f>IFERROR(__xludf.DUMMYFUNCTION("""COMPUTED_VALUE"""),44253.66666666667)</f>
        <v>44253.66667</v>
      </c>
      <c r="D66" s="41">
        <f>IFERROR(__xludf.DUMMYFUNCTION("""COMPUTED_VALUE"""),121.26)</f>
        <v>121.26</v>
      </c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</row>
    <row r="67">
      <c r="A67" s="121">
        <f>IFERROR(__xludf.DUMMYFUNCTION("""COMPUTED_VALUE"""),44260.66666666667)</f>
        <v>44260.66667</v>
      </c>
      <c r="B67" s="41">
        <f>IFERROR(__xludf.DUMMYFUNCTION("""COMPUTED_VALUE"""),105.43)</f>
        <v>105.43</v>
      </c>
      <c r="C67" s="121">
        <f>IFERROR(__xludf.DUMMYFUNCTION("""COMPUTED_VALUE"""),44260.66666666667)</f>
        <v>44260.66667</v>
      </c>
      <c r="D67" s="41">
        <f>IFERROR(__xludf.DUMMYFUNCTION("""COMPUTED_VALUE"""),121.42)</f>
        <v>121.42</v>
      </c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</row>
    <row r="68">
      <c r="A68" s="121">
        <f>IFERROR(__xludf.DUMMYFUNCTION("""COMPUTED_VALUE"""),44267.66666666667)</f>
        <v>44267.66667</v>
      </c>
      <c r="B68" s="41">
        <f>IFERROR(__xludf.DUMMYFUNCTION("""COMPUTED_VALUE"""),103.1)</f>
        <v>103.1</v>
      </c>
      <c r="C68" s="121">
        <f>IFERROR(__xludf.DUMMYFUNCTION("""COMPUTED_VALUE"""),44267.66666666667)</f>
        <v>44267.66667</v>
      </c>
      <c r="D68" s="41">
        <f>IFERROR(__xludf.DUMMYFUNCTION("""COMPUTED_VALUE"""),121.03)</f>
        <v>121.03</v>
      </c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</row>
    <row r="69">
      <c r="A69" s="121">
        <f>IFERROR(__xludf.DUMMYFUNCTION("""COMPUTED_VALUE"""),44274.66666666667)</f>
        <v>44274.66667</v>
      </c>
      <c r="B69" s="41">
        <f>IFERROR(__xludf.DUMMYFUNCTION("""COMPUTED_VALUE"""),102.16)</f>
        <v>102.16</v>
      </c>
      <c r="C69" s="121">
        <f>IFERROR(__xludf.DUMMYFUNCTION("""COMPUTED_VALUE"""),44274.66666666667)</f>
        <v>44274.66667</v>
      </c>
      <c r="D69" s="41">
        <f>IFERROR(__xludf.DUMMYFUNCTION("""COMPUTED_VALUE"""),119.99)</f>
        <v>119.99</v>
      </c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</row>
    <row r="70">
      <c r="A70" s="121">
        <f>IFERROR(__xludf.DUMMYFUNCTION("""COMPUTED_VALUE"""),44281.66666666667)</f>
        <v>44281.66667</v>
      </c>
      <c r="B70" s="41">
        <f>IFERROR(__xludf.DUMMYFUNCTION("""COMPUTED_VALUE"""),101.78)</f>
        <v>101.78</v>
      </c>
      <c r="C70" s="121">
        <f>IFERROR(__xludf.DUMMYFUNCTION("""COMPUTED_VALUE"""),44281.66666666667)</f>
        <v>44281.66667</v>
      </c>
      <c r="D70" s="41">
        <f>IFERROR(__xludf.DUMMYFUNCTION("""COMPUTED_VALUE"""),121.21)</f>
        <v>121.21</v>
      </c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</row>
    <row r="71">
      <c r="A71" s="121">
        <f>IFERROR(__xludf.DUMMYFUNCTION("""COMPUTED_VALUE"""),44287.66666666667)</f>
        <v>44287.66667</v>
      </c>
      <c r="B71" s="41">
        <f>IFERROR(__xludf.DUMMYFUNCTION("""COMPUTED_VALUE"""),106.89)</f>
        <v>106.89</v>
      </c>
      <c r="C71" s="121">
        <f>IFERROR(__xludf.DUMMYFUNCTION("""COMPUTED_VALUE"""),44287.66666666667)</f>
        <v>44287.66667</v>
      </c>
      <c r="D71" s="41">
        <f>IFERROR(__xludf.DUMMYFUNCTION("""COMPUTED_VALUE"""),123.0)</f>
        <v>123</v>
      </c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</row>
    <row r="72">
      <c r="A72" s="121">
        <f>IFERROR(__xludf.DUMMYFUNCTION("""COMPUTED_VALUE"""),44295.66666666667)</f>
        <v>44295.66667</v>
      </c>
      <c r="B72" s="41">
        <f>IFERROR(__xludf.DUMMYFUNCTION("""COMPUTED_VALUE"""),114.29)</f>
        <v>114.29</v>
      </c>
      <c r="C72" s="121">
        <f>IFERROR(__xludf.DUMMYFUNCTION("""COMPUTED_VALUE"""),44295.66666666667)</f>
        <v>44295.66667</v>
      </c>
      <c r="D72" s="41">
        <f>IFERROR(__xludf.DUMMYFUNCTION("""COMPUTED_VALUE"""),133.0)</f>
        <v>133</v>
      </c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</row>
    <row r="73">
      <c r="A73" s="121">
        <f>IFERROR(__xludf.DUMMYFUNCTION("""COMPUTED_VALUE"""),44302.66666666667)</f>
        <v>44302.66667</v>
      </c>
      <c r="B73" s="41">
        <f>IFERROR(__xludf.DUMMYFUNCTION("""COMPUTED_VALUE"""),114.89)</f>
        <v>114.89</v>
      </c>
      <c r="C73" s="121">
        <f>IFERROR(__xludf.DUMMYFUNCTION("""COMPUTED_VALUE"""),44302.66666666667)</f>
        <v>44302.66667</v>
      </c>
      <c r="D73" s="41">
        <f>IFERROR(__xludf.DUMMYFUNCTION("""COMPUTED_VALUE"""),134.16)</f>
        <v>134.16</v>
      </c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</row>
    <row r="74">
      <c r="A74" s="121">
        <f>IFERROR(__xludf.DUMMYFUNCTION("""COMPUTED_VALUE"""),44309.66666666667)</f>
        <v>44309.66667</v>
      </c>
      <c r="B74" s="41">
        <f>IFERROR(__xludf.DUMMYFUNCTION("""COMPUTED_VALUE"""),115.77)</f>
        <v>115.77</v>
      </c>
      <c r="C74" s="121">
        <f>IFERROR(__xludf.DUMMYFUNCTION("""COMPUTED_VALUE"""),44309.66666666667)</f>
        <v>44309.66667</v>
      </c>
      <c r="D74" s="41">
        <f>IFERROR(__xludf.DUMMYFUNCTION("""COMPUTED_VALUE"""),134.32)</f>
        <v>134.32</v>
      </c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</row>
    <row r="75">
      <c r="A75" s="121">
        <f>IFERROR(__xludf.DUMMYFUNCTION("""COMPUTED_VALUE"""),44316.66666666667)</f>
        <v>44316.66667</v>
      </c>
      <c r="B75" s="41">
        <f>IFERROR(__xludf.DUMMYFUNCTION("""COMPUTED_VALUE"""),120.51)</f>
        <v>120.51</v>
      </c>
      <c r="C75" s="121">
        <f>IFERROR(__xludf.DUMMYFUNCTION("""COMPUTED_VALUE"""),44316.66666666667)</f>
        <v>44316.66667</v>
      </c>
      <c r="D75" s="41">
        <f>IFERROR(__xludf.DUMMYFUNCTION("""COMPUTED_VALUE"""),131.46)</f>
        <v>131.46</v>
      </c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</row>
    <row r="76">
      <c r="A76" s="121">
        <f>IFERROR(__xludf.DUMMYFUNCTION("""COMPUTED_VALUE"""),44323.66666666667)</f>
        <v>44323.66667</v>
      </c>
      <c r="B76" s="41">
        <f>IFERROR(__xludf.DUMMYFUNCTION("""COMPUTED_VALUE"""),119.93)</f>
        <v>119.93</v>
      </c>
      <c r="C76" s="121">
        <f>IFERROR(__xludf.DUMMYFUNCTION("""COMPUTED_VALUE"""),44323.66666666667)</f>
        <v>44323.66667</v>
      </c>
      <c r="D76" s="41">
        <f>IFERROR(__xludf.DUMMYFUNCTION("""COMPUTED_VALUE"""),130.21)</f>
        <v>130.21</v>
      </c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</row>
    <row r="77">
      <c r="A77" s="121">
        <f>IFERROR(__xludf.DUMMYFUNCTION("""COMPUTED_VALUE"""),44330.66666666667)</f>
        <v>44330.66667</v>
      </c>
      <c r="B77" s="41">
        <f>IFERROR(__xludf.DUMMYFUNCTION("""COMPUTED_VALUE"""),115.81)</f>
        <v>115.81</v>
      </c>
      <c r="C77" s="121">
        <f>IFERROR(__xludf.DUMMYFUNCTION("""COMPUTED_VALUE"""),44330.66666666667)</f>
        <v>44330.66667</v>
      </c>
      <c r="D77" s="41">
        <f>IFERROR(__xludf.DUMMYFUNCTION("""COMPUTED_VALUE"""),127.45)</f>
        <v>127.45</v>
      </c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</row>
    <row r="78">
      <c r="A78" s="121">
        <f>IFERROR(__xludf.DUMMYFUNCTION("""COMPUTED_VALUE"""),44337.66666666667)</f>
        <v>44337.66667</v>
      </c>
      <c r="B78" s="41">
        <f>IFERROR(__xludf.DUMMYFUNCTION("""COMPUTED_VALUE"""),117.26)</f>
        <v>117.26</v>
      </c>
      <c r="C78" s="121">
        <f>IFERROR(__xludf.DUMMYFUNCTION("""COMPUTED_VALUE"""),44337.66666666667)</f>
        <v>44337.66667</v>
      </c>
      <c r="D78" s="41">
        <f>IFERROR(__xludf.DUMMYFUNCTION("""COMPUTED_VALUE"""),125.43)</f>
        <v>125.43</v>
      </c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</row>
    <row r="79">
      <c r="A79" s="121">
        <f>IFERROR(__xludf.DUMMYFUNCTION("""COMPUTED_VALUE"""),44344.66666666667)</f>
        <v>44344.66667</v>
      </c>
      <c r="B79" s="41">
        <f>IFERROR(__xludf.DUMMYFUNCTION("""COMPUTED_VALUE"""),120.58)</f>
        <v>120.58</v>
      </c>
      <c r="C79" s="121">
        <f>IFERROR(__xludf.DUMMYFUNCTION("""COMPUTED_VALUE"""),44344.66666666667)</f>
        <v>44344.66667</v>
      </c>
      <c r="D79" s="41">
        <f>IFERROR(__xludf.DUMMYFUNCTION("""COMPUTED_VALUE"""),124.61)</f>
        <v>124.61</v>
      </c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</row>
    <row r="80">
      <c r="A80" s="121">
        <f>IFERROR(__xludf.DUMMYFUNCTION("""COMPUTED_VALUE"""),44351.66666666667)</f>
        <v>44351.66667</v>
      </c>
      <c r="B80" s="41">
        <f>IFERROR(__xludf.DUMMYFUNCTION("""COMPUTED_VALUE"""),122.59)</f>
        <v>122.59</v>
      </c>
      <c r="C80" s="121">
        <f>IFERROR(__xludf.DUMMYFUNCTION("""COMPUTED_VALUE"""),44351.66666666667)</f>
        <v>44351.66667</v>
      </c>
      <c r="D80" s="41">
        <f>IFERROR(__xludf.DUMMYFUNCTION("""COMPUTED_VALUE"""),125.89)</f>
        <v>125.89</v>
      </c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</row>
    <row r="81">
      <c r="A81" s="121">
        <f>IFERROR(__xludf.DUMMYFUNCTION("""COMPUTED_VALUE"""),44358.66666666667)</f>
        <v>44358.66667</v>
      </c>
      <c r="B81" s="41">
        <f>IFERROR(__xludf.DUMMYFUNCTION("""COMPUTED_VALUE"""),125.7)</f>
        <v>125.7</v>
      </c>
      <c r="C81" s="121">
        <f>IFERROR(__xludf.DUMMYFUNCTION("""COMPUTED_VALUE"""),44358.66666666667)</f>
        <v>44358.66667</v>
      </c>
      <c r="D81" s="41">
        <f>IFERROR(__xludf.DUMMYFUNCTION("""COMPUTED_VALUE"""),127.35)</f>
        <v>127.35</v>
      </c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</row>
    <row r="82">
      <c r="A82" s="121">
        <f>IFERROR(__xludf.DUMMYFUNCTION("""COMPUTED_VALUE"""),44365.66666666667)</f>
        <v>44365.66667</v>
      </c>
      <c r="B82" s="41">
        <f>IFERROR(__xludf.DUMMYFUNCTION("""COMPUTED_VALUE"""),125.57)</f>
        <v>125.57</v>
      </c>
      <c r="C82" s="121">
        <f>IFERROR(__xludf.DUMMYFUNCTION("""COMPUTED_VALUE"""),44365.66666666667)</f>
        <v>44365.66667</v>
      </c>
      <c r="D82" s="41">
        <f>IFERROR(__xludf.DUMMYFUNCTION("""COMPUTED_VALUE"""),130.46)</f>
        <v>130.46</v>
      </c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</row>
    <row r="83">
      <c r="A83" s="121">
        <f>IFERROR(__xludf.DUMMYFUNCTION("""COMPUTED_VALUE"""),44372.66666666667)</f>
        <v>44372.66667</v>
      </c>
      <c r="B83" s="41">
        <f>IFERROR(__xludf.DUMMYFUNCTION("""COMPUTED_VALUE"""),127.0)</f>
        <v>127</v>
      </c>
      <c r="C83" s="121">
        <f>IFERROR(__xludf.DUMMYFUNCTION("""COMPUTED_VALUE"""),44372.66666666667)</f>
        <v>44372.66667</v>
      </c>
      <c r="D83" s="41">
        <f>IFERROR(__xludf.DUMMYFUNCTION("""COMPUTED_VALUE"""),133.11)</f>
        <v>133.11</v>
      </c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</row>
    <row r="84">
      <c r="A84" s="121">
        <f>IFERROR(__xludf.DUMMYFUNCTION("""COMPUTED_VALUE"""),44379.66666666667)</f>
        <v>44379.66667</v>
      </c>
      <c r="B84" s="41">
        <f>IFERROR(__xludf.DUMMYFUNCTION("""COMPUTED_VALUE"""),128.72)</f>
        <v>128.72</v>
      </c>
      <c r="C84" s="121">
        <f>IFERROR(__xludf.DUMMYFUNCTION("""COMPUTED_VALUE"""),44379.66666666667)</f>
        <v>44379.66667</v>
      </c>
      <c r="D84" s="41">
        <f>IFERROR(__xludf.DUMMYFUNCTION("""COMPUTED_VALUE"""),139.96)</f>
        <v>139.96</v>
      </c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</row>
    <row r="85">
      <c r="A85" s="121">
        <f>IFERROR(__xludf.DUMMYFUNCTION("""COMPUTED_VALUE"""),44386.66666666667)</f>
        <v>44386.66667</v>
      </c>
      <c r="B85" s="41">
        <f>IFERROR(__xludf.DUMMYFUNCTION("""COMPUTED_VALUE"""),129.57)</f>
        <v>129.57</v>
      </c>
      <c r="C85" s="121">
        <f>IFERROR(__xludf.DUMMYFUNCTION("""COMPUTED_VALUE"""),44386.66666666667)</f>
        <v>44386.66667</v>
      </c>
      <c r="D85" s="41">
        <f>IFERROR(__xludf.DUMMYFUNCTION("""COMPUTED_VALUE"""),145.11)</f>
        <v>145.11</v>
      </c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</row>
    <row r="86">
      <c r="A86" s="121">
        <f>IFERROR(__xludf.DUMMYFUNCTION("""COMPUTED_VALUE"""),44393.66666666667)</f>
        <v>44393.66667</v>
      </c>
      <c r="B86" s="41">
        <f>IFERROR(__xludf.DUMMYFUNCTION("""COMPUTED_VALUE"""),131.85)</f>
        <v>131.85</v>
      </c>
      <c r="C86" s="121">
        <f>IFERROR(__xludf.DUMMYFUNCTION("""COMPUTED_VALUE"""),44393.66666666667)</f>
        <v>44393.66667</v>
      </c>
      <c r="D86" s="41">
        <f>IFERROR(__xludf.DUMMYFUNCTION("""COMPUTED_VALUE"""),146.39)</f>
        <v>146.39</v>
      </c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</row>
    <row r="87">
      <c r="A87" s="121">
        <f>IFERROR(__xludf.DUMMYFUNCTION("""COMPUTED_VALUE"""),44400.66666666667)</f>
        <v>44400.66667</v>
      </c>
      <c r="B87" s="41">
        <f>IFERROR(__xludf.DUMMYFUNCTION("""COMPUTED_VALUE"""),137.82)</f>
        <v>137.82</v>
      </c>
      <c r="C87" s="121">
        <f>IFERROR(__xludf.DUMMYFUNCTION("""COMPUTED_VALUE"""),44400.66666666667)</f>
        <v>44400.66667</v>
      </c>
      <c r="D87" s="41">
        <f>IFERROR(__xludf.DUMMYFUNCTION("""COMPUTED_VALUE"""),148.56)</f>
        <v>148.56</v>
      </c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</row>
    <row r="88">
      <c r="A88" s="121">
        <f>IFERROR(__xludf.DUMMYFUNCTION("""COMPUTED_VALUE"""),44407.66666666667)</f>
        <v>44407.66667</v>
      </c>
      <c r="B88" s="41">
        <f>IFERROR(__xludf.DUMMYFUNCTION("""COMPUTED_VALUE"""),135.22)</f>
        <v>135.22</v>
      </c>
      <c r="C88" s="121">
        <f>IFERROR(__xludf.DUMMYFUNCTION("""COMPUTED_VALUE"""),44407.66666666667)</f>
        <v>44407.66667</v>
      </c>
      <c r="D88" s="41">
        <f>IFERROR(__xludf.DUMMYFUNCTION("""COMPUTED_VALUE"""),145.86)</f>
        <v>145.86</v>
      </c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</row>
    <row r="89">
      <c r="A89" s="121">
        <f>IFERROR(__xludf.DUMMYFUNCTION("""COMPUTED_VALUE"""),44414.66666666667)</f>
        <v>44414.66667</v>
      </c>
      <c r="B89" s="41">
        <f>IFERROR(__xludf.DUMMYFUNCTION("""COMPUTED_VALUE"""),137.04)</f>
        <v>137.04</v>
      </c>
      <c r="C89" s="121">
        <f>IFERROR(__xludf.DUMMYFUNCTION("""COMPUTED_VALUE"""),44414.66666666667)</f>
        <v>44414.66667</v>
      </c>
      <c r="D89" s="41">
        <f>IFERROR(__xludf.DUMMYFUNCTION("""COMPUTED_VALUE"""),146.14)</f>
        <v>146.14</v>
      </c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</row>
    <row r="90">
      <c r="A90" s="121">
        <f>IFERROR(__xludf.DUMMYFUNCTION("""COMPUTED_VALUE"""),44421.66666666667)</f>
        <v>44421.66667</v>
      </c>
      <c r="B90" s="41">
        <f>IFERROR(__xludf.DUMMYFUNCTION("""COMPUTED_VALUE"""),138.41)</f>
        <v>138.41</v>
      </c>
      <c r="C90" s="121">
        <f>IFERROR(__xludf.DUMMYFUNCTION("""COMPUTED_VALUE"""),44421.66666666667)</f>
        <v>44421.66667</v>
      </c>
      <c r="D90" s="41">
        <f>IFERROR(__xludf.DUMMYFUNCTION("""COMPUTED_VALUE"""),149.1)</f>
        <v>149.1</v>
      </c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</row>
    <row r="91">
      <c r="A91" s="121">
        <f>IFERROR(__xludf.DUMMYFUNCTION("""COMPUTED_VALUE"""),44428.66666666667)</f>
        <v>44428.66667</v>
      </c>
      <c r="B91" s="41">
        <f>IFERROR(__xludf.DUMMYFUNCTION("""COMPUTED_VALUE"""),138.44)</f>
        <v>138.44</v>
      </c>
      <c r="C91" s="121">
        <f>IFERROR(__xludf.DUMMYFUNCTION("""COMPUTED_VALUE"""),44428.66666666667)</f>
        <v>44428.66667</v>
      </c>
      <c r="D91" s="41">
        <f>IFERROR(__xludf.DUMMYFUNCTION("""COMPUTED_VALUE"""),148.19)</f>
        <v>148.19</v>
      </c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</row>
    <row r="92">
      <c r="A92" s="121">
        <f>IFERROR(__xludf.DUMMYFUNCTION("""COMPUTED_VALUE"""),44435.66666666667)</f>
        <v>44435.66667</v>
      </c>
      <c r="B92" s="41">
        <f>IFERROR(__xludf.DUMMYFUNCTION("""COMPUTED_VALUE"""),144.55)</f>
        <v>144.55</v>
      </c>
      <c r="C92" s="121">
        <f>IFERROR(__xludf.DUMMYFUNCTION("""COMPUTED_VALUE"""),44435.66666666667)</f>
        <v>44435.66667</v>
      </c>
      <c r="D92" s="41">
        <f>IFERROR(__xludf.DUMMYFUNCTION("""COMPUTED_VALUE"""),148.6)</f>
        <v>148.6</v>
      </c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</row>
    <row r="93">
      <c r="A93" s="121">
        <f>IFERROR(__xludf.DUMMYFUNCTION("""COMPUTED_VALUE"""),44442.66666666667)</f>
        <v>44442.66667</v>
      </c>
      <c r="B93" s="41">
        <f>IFERROR(__xludf.DUMMYFUNCTION("""COMPUTED_VALUE"""),144.78)</f>
        <v>144.78</v>
      </c>
      <c r="C93" s="121">
        <f>IFERROR(__xludf.DUMMYFUNCTION("""COMPUTED_VALUE"""),44442.66666666667)</f>
        <v>44442.66667</v>
      </c>
      <c r="D93" s="41">
        <f>IFERROR(__xludf.DUMMYFUNCTION("""COMPUTED_VALUE"""),154.3)</f>
        <v>154.3</v>
      </c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</row>
    <row r="94">
      <c r="A94" s="121">
        <f>IFERROR(__xludf.DUMMYFUNCTION("""COMPUTED_VALUE"""),44449.66666666667)</f>
        <v>44449.66667</v>
      </c>
      <c r="B94" s="41">
        <f>IFERROR(__xludf.DUMMYFUNCTION("""COMPUTED_VALUE"""),141.92)</f>
        <v>141.92</v>
      </c>
      <c r="C94" s="121">
        <f>IFERROR(__xludf.DUMMYFUNCTION("""COMPUTED_VALUE"""),44449.66666666667)</f>
        <v>44449.66667</v>
      </c>
      <c r="D94" s="41">
        <f>IFERROR(__xludf.DUMMYFUNCTION("""COMPUTED_VALUE"""),148.97)</f>
        <v>148.97</v>
      </c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</row>
    <row r="95">
      <c r="A95" s="121">
        <f>IFERROR(__xludf.DUMMYFUNCTION("""COMPUTED_VALUE"""),44456.66666666667)</f>
        <v>44456.66667</v>
      </c>
      <c r="B95" s="41">
        <f>IFERROR(__xludf.DUMMYFUNCTION("""COMPUTED_VALUE"""),141.46)</f>
        <v>141.46</v>
      </c>
      <c r="C95" s="121">
        <f>IFERROR(__xludf.DUMMYFUNCTION("""COMPUTED_VALUE"""),44456.66666666667)</f>
        <v>44456.66667</v>
      </c>
      <c r="D95" s="41">
        <f>IFERROR(__xludf.DUMMYFUNCTION("""COMPUTED_VALUE"""),146.06)</f>
        <v>146.06</v>
      </c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</row>
    <row r="96">
      <c r="A96" s="121">
        <f>IFERROR(__xludf.DUMMYFUNCTION("""COMPUTED_VALUE"""),44463.66666666667)</f>
        <v>44463.66667</v>
      </c>
      <c r="B96" s="41">
        <f>IFERROR(__xludf.DUMMYFUNCTION("""COMPUTED_VALUE"""),142.63)</f>
        <v>142.63</v>
      </c>
      <c r="C96" s="121">
        <f>IFERROR(__xludf.DUMMYFUNCTION("""COMPUTED_VALUE"""),44463.66666666667)</f>
        <v>44463.66667</v>
      </c>
      <c r="D96" s="41">
        <f>IFERROR(__xludf.DUMMYFUNCTION("""COMPUTED_VALUE"""),146.92)</f>
        <v>146.92</v>
      </c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</row>
    <row r="97">
      <c r="A97" s="121">
        <f>IFERROR(__xludf.DUMMYFUNCTION("""COMPUTED_VALUE"""),44470.66666666667)</f>
        <v>44470.66667</v>
      </c>
      <c r="B97" s="41">
        <f>IFERROR(__xludf.DUMMYFUNCTION("""COMPUTED_VALUE"""),136.46)</f>
        <v>136.46</v>
      </c>
      <c r="C97" s="121">
        <f>IFERROR(__xludf.DUMMYFUNCTION("""COMPUTED_VALUE"""),44470.66666666667)</f>
        <v>44470.66667</v>
      </c>
      <c r="D97" s="41">
        <f>IFERROR(__xludf.DUMMYFUNCTION("""COMPUTED_VALUE"""),142.65)</f>
        <v>142.65</v>
      </c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</row>
    <row r="98">
      <c r="A98" s="121">
        <f>IFERROR(__xludf.DUMMYFUNCTION("""COMPUTED_VALUE"""),44477.66666666667)</f>
        <v>44477.66667</v>
      </c>
      <c r="B98" s="41">
        <f>IFERROR(__xludf.DUMMYFUNCTION("""COMPUTED_VALUE"""),140.06)</f>
        <v>140.06</v>
      </c>
      <c r="C98" s="121">
        <f>IFERROR(__xludf.DUMMYFUNCTION("""COMPUTED_VALUE"""),44477.66666666667)</f>
        <v>44477.66667</v>
      </c>
      <c r="D98" s="41">
        <f>IFERROR(__xludf.DUMMYFUNCTION("""COMPUTED_VALUE"""),142.9)</f>
        <v>142.9</v>
      </c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</row>
    <row r="99">
      <c r="A99" s="121">
        <f>IFERROR(__xludf.DUMMYFUNCTION("""COMPUTED_VALUE"""),44484.66666666667)</f>
        <v>44484.66667</v>
      </c>
      <c r="B99" s="41">
        <f>IFERROR(__xludf.DUMMYFUNCTION("""COMPUTED_VALUE"""),141.68)</f>
        <v>141.68</v>
      </c>
      <c r="C99" s="121">
        <f>IFERROR(__xludf.DUMMYFUNCTION("""COMPUTED_VALUE"""),44484.66666666667)</f>
        <v>44484.66667</v>
      </c>
      <c r="D99" s="41">
        <f>IFERROR(__xludf.DUMMYFUNCTION("""COMPUTED_VALUE"""),144.84)</f>
        <v>144.84</v>
      </c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</row>
    <row r="100">
      <c r="A100" s="121">
        <f>IFERROR(__xludf.DUMMYFUNCTION("""COMPUTED_VALUE"""),44491.66666666667)</f>
        <v>44491.66667</v>
      </c>
      <c r="B100" s="41">
        <f>IFERROR(__xludf.DUMMYFUNCTION("""COMPUTED_VALUE"""),138.63)</f>
        <v>138.63</v>
      </c>
      <c r="C100" s="121">
        <f>IFERROR(__xludf.DUMMYFUNCTION("""COMPUTED_VALUE"""),44491.66666666667)</f>
        <v>44491.66667</v>
      </c>
      <c r="D100" s="41">
        <f>IFERROR(__xludf.DUMMYFUNCTION("""COMPUTED_VALUE"""),148.69)</f>
        <v>148.69</v>
      </c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</row>
    <row r="101">
      <c r="A101" s="121">
        <f>IFERROR(__xludf.DUMMYFUNCTION("""COMPUTED_VALUE"""),44498.66666666667)</f>
        <v>44498.66667</v>
      </c>
      <c r="B101" s="41">
        <f>IFERROR(__xludf.DUMMYFUNCTION("""COMPUTED_VALUE"""),148.27)</f>
        <v>148.27</v>
      </c>
      <c r="C101" s="121">
        <f>IFERROR(__xludf.DUMMYFUNCTION("""COMPUTED_VALUE"""),44498.66666666667)</f>
        <v>44498.66667</v>
      </c>
      <c r="D101" s="41">
        <f>IFERROR(__xludf.DUMMYFUNCTION("""COMPUTED_VALUE"""),149.8)</f>
        <v>149.8</v>
      </c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</row>
    <row r="102">
      <c r="A102" s="121">
        <f>IFERROR(__xludf.DUMMYFUNCTION("""COMPUTED_VALUE"""),44505.66666666667)</f>
        <v>44505.66667</v>
      </c>
      <c r="B102" s="41">
        <f>IFERROR(__xludf.DUMMYFUNCTION("""COMPUTED_VALUE"""),149.24)</f>
        <v>149.24</v>
      </c>
      <c r="C102" s="121">
        <f>IFERROR(__xludf.DUMMYFUNCTION("""COMPUTED_VALUE"""),44505.66666666667)</f>
        <v>44505.66667</v>
      </c>
      <c r="D102" s="41">
        <f>IFERROR(__xludf.DUMMYFUNCTION("""COMPUTED_VALUE"""),151.28)</f>
        <v>151.28</v>
      </c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</row>
    <row r="103">
      <c r="A103" s="121">
        <f>IFERROR(__xludf.DUMMYFUNCTION("""COMPUTED_VALUE"""),44512.66666666667)</f>
        <v>44512.66667</v>
      </c>
      <c r="B103" s="41">
        <f>IFERROR(__xludf.DUMMYFUNCTION("""COMPUTED_VALUE"""),149.65)</f>
        <v>149.65</v>
      </c>
      <c r="C103" s="121">
        <f>IFERROR(__xludf.DUMMYFUNCTION("""COMPUTED_VALUE"""),44512.66666666667)</f>
        <v>44512.66667</v>
      </c>
      <c r="D103" s="41">
        <f>IFERROR(__xludf.DUMMYFUNCTION("""COMPUTED_VALUE"""),149.99)</f>
        <v>149.99</v>
      </c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</row>
    <row r="104">
      <c r="A104" s="121">
        <f>IFERROR(__xludf.DUMMYFUNCTION("""COMPUTED_VALUE"""),44519.66666666667)</f>
        <v>44519.66667</v>
      </c>
      <c r="B104" s="41">
        <f>IFERROR(__xludf.DUMMYFUNCTION("""COMPUTED_VALUE"""),149.95)</f>
        <v>149.95</v>
      </c>
      <c r="C104" s="121">
        <f>IFERROR(__xludf.DUMMYFUNCTION("""COMPUTED_VALUE"""),44519.66666666667)</f>
        <v>44519.66667</v>
      </c>
      <c r="D104" s="41">
        <f>IFERROR(__xludf.DUMMYFUNCTION("""COMPUTED_VALUE"""),160.55)</f>
        <v>160.55</v>
      </c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</row>
    <row r="105">
      <c r="A105" s="121">
        <f>IFERROR(__xludf.DUMMYFUNCTION("""COMPUTED_VALUE"""),44526.54166666667)</f>
        <v>44526.54167</v>
      </c>
      <c r="B105" s="41">
        <f>IFERROR(__xludf.DUMMYFUNCTION("""COMPUTED_VALUE"""),142.81)</f>
        <v>142.81</v>
      </c>
      <c r="C105" s="121">
        <f>IFERROR(__xludf.DUMMYFUNCTION("""COMPUTED_VALUE"""),44526.54166666667)</f>
        <v>44526.54167</v>
      </c>
      <c r="D105" s="41">
        <f>IFERROR(__xludf.DUMMYFUNCTION("""COMPUTED_VALUE"""),156.81)</f>
        <v>156.81</v>
      </c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</row>
    <row r="106">
      <c r="A106" s="121">
        <f>IFERROR(__xludf.DUMMYFUNCTION("""COMPUTED_VALUE"""),44533.66666666667)</f>
        <v>44533.66667</v>
      </c>
      <c r="B106" s="41">
        <f>IFERROR(__xludf.DUMMYFUNCTION("""COMPUTED_VALUE"""),142.52)</f>
        <v>142.52</v>
      </c>
      <c r="C106" s="121">
        <f>IFERROR(__xludf.DUMMYFUNCTION("""COMPUTED_VALUE"""),44533.66666666667)</f>
        <v>44533.66667</v>
      </c>
      <c r="D106" s="41">
        <f>IFERROR(__xludf.DUMMYFUNCTION("""COMPUTED_VALUE"""),161.84)</f>
        <v>161.84</v>
      </c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</row>
    <row r="107">
      <c r="A107" s="121">
        <f>IFERROR(__xludf.DUMMYFUNCTION("""COMPUTED_VALUE"""),44540.66666666667)</f>
        <v>44540.66667</v>
      </c>
      <c r="B107" s="41">
        <f>IFERROR(__xludf.DUMMYFUNCTION("""COMPUTED_VALUE"""),148.68)</f>
        <v>148.68</v>
      </c>
      <c r="C107" s="121">
        <f>IFERROR(__xludf.DUMMYFUNCTION("""COMPUTED_VALUE"""),44540.66666666667)</f>
        <v>44540.66667</v>
      </c>
      <c r="D107" s="41">
        <f>IFERROR(__xludf.DUMMYFUNCTION("""COMPUTED_VALUE"""),179.45)</f>
        <v>179.45</v>
      </c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</row>
    <row r="108">
      <c r="A108" s="121">
        <f>IFERROR(__xludf.DUMMYFUNCTION("""COMPUTED_VALUE"""),44547.66666666667)</f>
        <v>44547.66667</v>
      </c>
      <c r="B108" s="41">
        <f>IFERROR(__xludf.DUMMYFUNCTION("""COMPUTED_VALUE"""),142.8)</f>
        <v>142.8</v>
      </c>
      <c r="C108" s="121">
        <f>IFERROR(__xludf.DUMMYFUNCTION("""COMPUTED_VALUE"""),44547.66666666667)</f>
        <v>44547.66667</v>
      </c>
      <c r="D108" s="41">
        <f>IFERROR(__xludf.DUMMYFUNCTION("""COMPUTED_VALUE"""),171.14)</f>
        <v>171.14</v>
      </c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</row>
    <row r="109">
      <c r="A109" s="121">
        <f>IFERROR(__xludf.DUMMYFUNCTION("""COMPUTED_VALUE"""),44553.66666666667)</f>
        <v>44553.66667</v>
      </c>
      <c r="B109" s="41">
        <f>IFERROR(__xludf.DUMMYFUNCTION("""COMPUTED_VALUE"""),147.14)</f>
        <v>147.14</v>
      </c>
      <c r="C109" s="121">
        <f>IFERROR(__xludf.DUMMYFUNCTION("""COMPUTED_VALUE"""),44553.66666666667)</f>
        <v>44553.66667</v>
      </c>
      <c r="D109" s="41">
        <f>IFERROR(__xludf.DUMMYFUNCTION("""COMPUTED_VALUE"""),176.28)</f>
        <v>176.28</v>
      </c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</row>
    <row r="110">
      <c r="A110" s="121">
        <f>IFERROR(__xludf.DUMMYFUNCTION("""COMPUTED_VALUE"""),44561.66666666667)</f>
        <v>44561.66667</v>
      </c>
      <c r="B110" s="41">
        <f>IFERROR(__xludf.DUMMYFUNCTION("""COMPUTED_VALUE"""),144.68)</f>
        <v>144.68</v>
      </c>
      <c r="C110" s="121">
        <f>IFERROR(__xludf.DUMMYFUNCTION("""COMPUTED_VALUE"""),44561.66666666667)</f>
        <v>44561.66667</v>
      </c>
      <c r="D110" s="41">
        <f>IFERROR(__xludf.DUMMYFUNCTION("""COMPUTED_VALUE"""),177.57)</f>
        <v>177.57</v>
      </c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</row>
    <row r="111">
      <c r="A111" s="121">
        <f>IFERROR(__xludf.DUMMYFUNCTION("""COMPUTED_VALUE"""),44568.66666666667)</f>
        <v>44568.66667</v>
      </c>
      <c r="B111" s="41">
        <f>IFERROR(__xludf.DUMMYFUNCTION("""COMPUTED_VALUE"""),137.0)</f>
        <v>137</v>
      </c>
      <c r="C111" s="121">
        <f>IFERROR(__xludf.DUMMYFUNCTION("""COMPUTED_VALUE"""),44568.66666666667)</f>
        <v>44568.66667</v>
      </c>
      <c r="D111" s="41">
        <f>IFERROR(__xludf.DUMMYFUNCTION("""COMPUTED_VALUE"""),172.17)</f>
        <v>172.17</v>
      </c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</row>
    <row r="112">
      <c r="A112" s="121">
        <f>IFERROR(__xludf.DUMMYFUNCTION("""COMPUTED_VALUE"""),44575.66666666667)</f>
        <v>44575.66667</v>
      </c>
      <c r="B112" s="41">
        <f>IFERROR(__xludf.DUMMYFUNCTION("""COMPUTED_VALUE"""),139.79)</f>
        <v>139.79</v>
      </c>
      <c r="C112" s="121">
        <f>IFERROR(__xludf.DUMMYFUNCTION("""COMPUTED_VALUE"""),44575.66666666667)</f>
        <v>44575.66667</v>
      </c>
      <c r="D112" s="41">
        <f>IFERROR(__xludf.DUMMYFUNCTION("""COMPUTED_VALUE"""),173.07)</f>
        <v>173.07</v>
      </c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</row>
    <row r="113">
      <c r="A113" s="121">
        <f>IFERROR(__xludf.DUMMYFUNCTION("""COMPUTED_VALUE"""),44582.66666666667)</f>
        <v>44582.66667</v>
      </c>
      <c r="B113" s="41">
        <f>IFERROR(__xludf.DUMMYFUNCTION("""COMPUTED_VALUE"""),130.09)</f>
        <v>130.09</v>
      </c>
      <c r="C113" s="121">
        <f>IFERROR(__xludf.DUMMYFUNCTION("""COMPUTED_VALUE"""),44582.66666666667)</f>
        <v>44582.66667</v>
      </c>
      <c r="D113" s="41">
        <f>IFERROR(__xludf.DUMMYFUNCTION("""COMPUTED_VALUE"""),162.41)</f>
        <v>162.41</v>
      </c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</row>
    <row r="114">
      <c r="A114" s="121">
        <f>IFERROR(__xludf.DUMMYFUNCTION("""COMPUTED_VALUE"""),44589.66666666667)</f>
        <v>44589.66667</v>
      </c>
      <c r="B114" s="41">
        <f>IFERROR(__xludf.DUMMYFUNCTION("""COMPUTED_VALUE"""),133.29)</f>
        <v>133.29</v>
      </c>
      <c r="C114" s="121">
        <f>IFERROR(__xludf.DUMMYFUNCTION("""COMPUTED_VALUE"""),44589.66666666667)</f>
        <v>44589.66667</v>
      </c>
      <c r="D114" s="41">
        <f>IFERROR(__xludf.DUMMYFUNCTION("""COMPUTED_VALUE"""),170.33)</f>
        <v>170.33</v>
      </c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</row>
    <row r="115">
      <c r="A115" s="121">
        <f>IFERROR(__xludf.DUMMYFUNCTION("""COMPUTED_VALUE"""),44596.66666666667)</f>
        <v>44596.66667</v>
      </c>
      <c r="B115" s="41">
        <f>IFERROR(__xludf.DUMMYFUNCTION("""COMPUTED_VALUE"""),143.02)</f>
        <v>143.02</v>
      </c>
      <c r="C115" s="121">
        <f>IFERROR(__xludf.DUMMYFUNCTION("""COMPUTED_VALUE"""),44596.66666666667)</f>
        <v>44596.66667</v>
      </c>
      <c r="D115" s="41">
        <f>IFERROR(__xludf.DUMMYFUNCTION("""COMPUTED_VALUE"""),172.39)</f>
        <v>172.39</v>
      </c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</row>
    <row r="116">
      <c r="A116" s="121">
        <f>IFERROR(__xludf.DUMMYFUNCTION("""COMPUTED_VALUE"""),44603.66666666667)</f>
        <v>44603.66667</v>
      </c>
      <c r="B116" s="41">
        <f>IFERROR(__xludf.DUMMYFUNCTION("""COMPUTED_VALUE"""),134.13)</f>
        <v>134.13</v>
      </c>
      <c r="C116" s="121">
        <f>IFERROR(__xludf.DUMMYFUNCTION("""COMPUTED_VALUE"""),44603.66666666667)</f>
        <v>44603.66667</v>
      </c>
      <c r="D116" s="41">
        <f>IFERROR(__xludf.DUMMYFUNCTION("""COMPUTED_VALUE"""),168.64)</f>
        <v>168.64</v>
      </c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</row>
    <row r="117">
      <c r="A117" s="121">
        <f>IFERROR(__xludf.DUMMYFUNCTION("""COMPUTED_VALUE"""),44610.66666666667)</f>
        <v>44610.66667</v>
      </c>
      <c r="B117" s="41">
        <f>IFERROR(__xludf.DUMMYFUNCTION("""COMPUTED_VALUE"""),130.47)</f>
        <v>130.47</v>
      </c>
      <c r="C117" s="121">
        <f>IFERROR(__xludf.DUMMYFUNCTION("""COMPUTED_VALUE"""),44610.66666666667)</f>
        <v>44610.66667</v>
      </c>
      <c r="D117" s="41">
        <f>IFERROR(__xludf.DUMMYFUNCTION("""COMPUTED_VALUE"""),167.3)</f>
        <v>167.3</v>
      </c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</row>
    <row r="118">
      <c r="A118" s="121">
        <f>IFERROR(__xludf.DUMMYFUNCTION("""COMPUTED_VALUE"""),44617.66666666667)</f>
        <v>44617.66667</v>
      </c>
      <c r="B118" s="41">
        <f>IFERROR(__xludf.DUMMYFUNCTION("""COMPUTED_VALUE"""),134.52)</f>
        <v>134.52</v>
      </c>
      <c r="C118" s="121">
        <f>IFERROR(__xludf.DUMMYFUNCTION("""COMPUTED_VALUE"""),44617.66666666667)</f>
        <v>44617.66667</v>
      </c>
      <c r="D118" s="41">
        <f>IFERROR(__xludf.DUMMYFUNCTION("""COMPUTED_VALUE"""),164.85)</f>
        <v>164.85</v>
      </c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</row>
    <row r="119">
      <c r="A119" s="121">
        <f>IFERROR(__xludf.DUMMYFUNCTION("""COMPUTED_VALUE"""),44624.66666666667)</f>
        <v>44624.66667</v>
      </c>
      <c r="B119" s="41">
        <f>IFERROR(__xludf.DUMMYFUNCTION("""COMPUTED_VALUE"""),132.12)</f>
        <v>132.12</v>
      </c>
      <c r="C119" s="121">
        <f>IFERROR(__xludf.DUMMYFUNCTION("""COMPUTED_VALUE"""),44624.66666666667)</f>
        <v>44624.66667</v>
      </c>
      <c r="D119" s="41">
        <f>IFERROR(__xludf.DUMMYFUNCTION("""COMPUTED_VALUE"""),163.17)</f>
        <v>163.17</v>
      </c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</row>
    <row r="120">
      <c r="A120" s="121">
        <f>IFERROR(__xludf.DUMMYFUNCTION("""COMPUTED_VALUE"""),44631.66666666667)</f>
        <v>44631.66667</v>
      </c>
      <c r="B120" s="41">
        <f>IFERROR(__xludf.DUMMYFUNCTION("""COMPUTED_VALUE"""),130.48)</f>
        <v>130.48</v>
      </c>
      <c r="C120" s="121">
        <f>IFERROR(__xludf.DUMMYFUNCTION("""COMPUTED_VALUE"""),44631.66666666667)</f>
        <v>44631.66667</v>
      </c>
      <c r="D120" s="41">
        <f>IFERROR(__xludf.DUMMYFUNCTION("""COMPUTED_VALUE"""),154.73)</f>
        <v>154.73</v>
      </c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</row>
    <row r="121">
      <c r="A121" s="121">
        <f>IFERROR(__xludf.DUMMYFUNCTION("""COMPUTED_VALUE"""),44638.66666666667)</f>
        <v>44638.66667</v>
      </c>
      <c r="B121" s="41">
        <f>IFERROR(__xludf.DUMMYFUNCTION("""COMPUTED_VALUE"""),136.8)</f>
        <v>136.8</v>
      </c>
      <c r="C121" s="121">
        <f>IFERROR(__xludf.DUMMYFUNCTION("""COMPUTED_VALUE"""),44638.66666666667)</f>
        <v>44638.66667</v>
      </c>
      <c r="D121" s="41">
        <f>IFERROR(__xludf.DUMMYFUNCTION("""COMPUTED_VALUE"""),163.98)</f>
        <v>163.98</v>
      </c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</row>
    <row r="122">
      <c r="A122" s="121">
        <f>IFERROR(__xludf.DUMMYFUNCTION("""COMPUTED_VALUE"""),44645.66666666667)</f>
        <v>44645.66667</v>
      </c>
      <c r="B122" s="41">
        <f>IFERROR(__xludf.DUMMYFUNCTION("""COMPUTED_VALUE"""),141.52)</f>
        <v>141.52</v>
      </c>
      <c r="C122" s="121">
        <f>IFERROR(__xludf.DUMMYFUNCTION("""COMPUTED_VALUE"""),44645.66666666667)</f>
        <v>44645.66667</v>
      </c>
      <c r="D122" s="41">
        <f>IFERROR(__xludf.DUMMYFUNCTION("""COMPUTED_VALUE"""),174.72)</f>
        <v>174.72</v>
      </c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</row>
    <row r="123">
      <c r="A123" s="121">
        <f>IFERROR(__xludf.DUMMYFUNCTION("""COMPUTED_VALUE"""),44652.66666666667)</f>
        <v>44652.66667</v>
      </c>
      <c r="B123" s="41">
        <f>IFERROR(__xludf.DUMMYFUNCTION("""COMPUTED_VALUE"""),140.7)</f>
        <v>140.7</v>
      </c>
      <c r="C123" s="121">
        <f>IFERROR(__xludf.DUMMYFUNCTION("""COMPUTED_VALUE"""),44652.66666666667)</f>
        <v>44652.66667</v>
      </c>
      <c r="D123" s="41">
        <f>IFERROR(__xludf.DUMMYFUNCTION("""COMPUTED_VALUE"""),174.31)</f>
        <v>174.31</v>
      </c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</row>
    <row r="124">
      <c r="A124" s="121">
        <f>IFERROR(__xludf.DUMMYFUNCTION("""COMPUTED_VALUE"""),44659.66666666667)</f>
        <v>44659.66667</v>
      </c>
      <c r="B124" s="41">
        <f>IFERROR(__xludf.DUMMYFUNCTION("""COMPUTED_VALUE"""),134.01)</f>
        <v>134.01</v>
      </c>
      <c r="C124" s="121">
        <f>IFERROR(__xludf.DUMMYFUNCTION("""COMPUTED_VALUE"""),44659.66666666667)</f>
        <v>44659.66667</v>
      </c>
      <c r="D124" s="41">
        <f>IFERROR(__xludf.DUMMYFUNCTION("""COMPUTED_VALUE"""),170.09)</f>
        <v>170.09</v>
      </c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</row>
    <row r="125">
      <c r="A125" s="121">
        <f>IFERROR(__xludf.DUMMYFUNCTION("""COMPUTED_VALUE"""),44665.66666666667)</f>
        <v>44665.66667</v>
      </c>
      <c r="B125" s="41">
        <f>IFERROR(__xludf.DUMMYFUNCTION("""COMPUTED_VALUE"""),127.25)</f>
        <v>127.25</v>
      </c>
      <c r="C125" s="121">
        <f>IFERROR(__xludf.DUMMYFUNCTION("""COMPUTED_VALUE"""),44665.66666666667)</f>
        <v>44665.66667</v>
      </c>
      <c r="D125" s="41">
        <f>IFERROR(__xludf.DUMMYFUNCTION("""COMPUTED_VALUE"""),165.29)</f>
        <v>165.29</v>
      </c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</row>
    <row r="126">
      <c r="A126" s="121">
        <f>IFERROR(__xludf.DUMMYFUNCTION("""COMPUTED_VALUE"""),44673.66666666667)</f>
        <v>44673.66667</v>
      </c>
      <c r="B126" s="41">
        <f>IFERROR(__xludf.DUMMYFUNCTION("""COMPUTED_VALUE"""),119.61)</f>
        <v>119.61</v>
      </c>
      <c r="C126" s="121">
        <f>IFERROR(__xludf.DUMMYFUNCTION("""COMPUTED_VALUE"""),44673.66666666667)</f>
        <v>44673.66667</v>
      </c>
      <c r="D126" s="41">
        <f>IFERROR(__xludf.DUMMYFUNCTION("""COMPUTED_VALUE"""),161.79)</f>
        <v>161.79</v>
      </c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</row>
    <row r="127">
      <c r="A127" s="121">
        <f>IFERROR(__xludf.DUMMYFUNCTION("""COMPUTED_VALUE"""),44680.66666666667)</f>
        <v>44680.66667</v>
      </c>
      <c r="B127" s="41">
        <f>IFERROR(__xludf.DUMMYFUNCTION("""COMPUTED_VALUE"""),114.97)</f>
        <v>114.97</v>
      </c>
      <c r="C127" s="121">
        <f>IFERROR(__xludf.DUMMYFUNCTION("""COMPUTED_VALUE"""),44680.66666666667)</f>
        <v>44680.66667</v>
      </c>
      <c r="D127" s="41">
        <f>IFERROR(__xludf.DUMMYFUNCTION("""COMPUTED_VALUE"""),157.65)</f>
        <v>157.65</v>
      </c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</row>
    <row r="128">
      <c r="A128" s="121">
        <f>IFERROR(__xludf.DUMMYFUNCTION("""COMPUTED_VALUE"""),44687.66666666667)</f>
        <v>44687.66667</v>
      </c>
      <c r="B128" s="41">
        <f>IFERROR(__xludf.DUMMYFUNCTION("""COMPUTED_VALUE"""),115.66)</f>
        <v>115.66</v>
      </c>
      <c r="C128" s="121">
        <f>IFERROR(__xludf.DUMMYFUNCTION("""COMPUTED_VALUE"""),44687.66666666667)</f>
        <v>44687.66667</v>
      </c>
      <c r="D128" s="41">
        <f>IFERROR(__xludf.DUMMYFUNCTION("""COMPUTED_VALUE"""),157.28)</f>
        <v>157.28</v>
      </c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</row>
    <row r="129">
      <c r="A129" s="121">
        <f>IFERROR(__xludf.DUMMYFUNCTION("""COMPUTED_VALUE"""),44694.66666666667)</f>
        <v>44694.66667</v>
      </c>
      <c r="B129" s="41">
        <f>IFERROR(__xludf.DUMMYFUNCTION("""COMPUTED_VALUE"""),116.52)</f>
        <v>116.52</v>
      </c>
      <c r="C129" s="121">
        <f>IFERROR(__xludf.DUMMYFUNCTION("""COMPUTED_VALUE"""),44694.66666666667)</f>
        <v>44694.66667</v>
      </c>
      <c r="D129" s="41">
        <f>IFERROR(__xludf.DUMMYFUNCTION("""COMPUTED_VALUE"""),147.11)</f>
        <v>147.11</v>
      </c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</row>
    <row r="130">
      <c r="A130" s="121">
        <f>IFERROR(__xludf.DUMMYFUNCTION("""COMPUTED_VALUE"""),44701.66666666667)</f>
        <v>44701.66667</v>
      </c>
      <c r="B130" s="41">
        <f>IFERROR(__xludf.DUMMYFUNCTION("""COMPUTED_VALUE"""),109.31)</f>
        <v>109.31</v>
      </c>
      <c r="C130" s="121">
        <f>IFERROR(__xludf.DUMMYFUNCTION("""COMPUTED_VALUE"""),44701.66666666667)</f>
        <v>44701.66667</v>
      </c>
      <c r="D130" s="41">
        <f>IFERROR(__xludf.DUMMYFUNCTION("""COMPUTED_VALUE"""),137.59)</f>
        <v>137.59</v>
      </c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</row>
    <row r="131">
      <c r="A131" s="121">
        <f>IFERROR(__xludf.DUMMYFUNCTION("""COMPUTED_VALUE"""),44708.66666666667)</f>
        <v>44708.66667</v>
      </c>
      <c r="B131" s="41">
        <f>IFERROR(__xludf.DUMMYFUNCTION("""COMPUTED_VALUE"""),112.8)</f>
        <v>112.8</v>
      </c>
      <c r="C131" s="121">
        <f>IFERROR(__xludf.DUMMYFUNCTION("""COMPUTED_VALUE"""),44708.66666666667)</f>
        <v>44708.66667</v>
      </c>
      <c r="D131" s="41">
        <f>IFERROR(__xludf.DUMMYFUNCTION("""COMPUTED_VALUE"""),149.64)</f>
        <v>149.64</v>
      </c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</row>
    <row r="132">
      <c r="A132" s="121">
        <f>IFERROR(__xludf.DUMMYFUNCTION("""COMPUTED_VALUE"""),44715.66666666667)</f>
        <v>44715.66667</v>
      </c>
      <c r="B132" s="41">
        <f>IFERROR(__xludf.DUMMYFUNCTION("""COMPUTED_VALUE"""),114.56)</f>
        <v>114.56</v>
      </c>
      <c r="C132" s="121">
        <f>IFERROR(__xludf.DUMMYFUNCTION("""COMPUTED_VALUE"""),44715.66666666667)</f>
        <v>44715.66667</v>
      </c>
      <c r="D132" s="41">
        <f>IFERROR(__xludf.DUMMYFUNCTION("""COMPUTED_VALUE"""),145.38)</f>
        <v>145.38</v>
      </c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</row>
    <row r="133">
      <c r="A133" s="121">
        <f>IFERROR(__xludf.DUMMYFUNCTION("""COMPUTED_VALUE"""),44722.66666666667)</f>
        <v>44722.66667</v>
      </c>
      <c r="B133" s="41">
        <f>IFERROR(__xludf.DUMMYFUNCTION("""COMPUTED_VALUE"""),111.43)</f>
        <v>111.43</v>
      </c>
      <c r="C133" s="121">
        <f>IFERROR(__xludf.DUMMYFUNCTION("""COMPUTED_VALUE"""),44722.66666666667)</f>
        <v>44722.66667</v>
      </c>
      <c r="D133" s="41">
        <f>IFERROR(__xludf.DUMMYFUNCTION("""COMPUTED_VALUE"""),137.13)</f>
        <v>137.13</v>
      </c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</row>
    <row r="134">
      <c r="A134" s="121">
        <f>IFERROR(__xludf.DUMMYFUNCTION("""COMPUTED_VALUE"""),44729.66666666667)</f>
        <v>44729.66667</v>
      </c>
      <c r="B134" s="41">
        <f>IFERROR(__xludf.DUMMYFUNCTION("""COMPUTED_VALUE"""),107.87)</f>
        <v>107.87</v>
      </c>
      <c r="C134" s="121">
        <f>IFERROR(__xludf.DUMMYFUNCTION("""COMPUTED_VALUE"""),44729.66666666667)</f>
        <v>44729.66667</v>
      </c>
      <c r="D134" s="41">
        <f>IFERROR(__xludf.DUMMYFUNCTION("""COMPUTED_VALUE"""),131.56)</f>
        <v>131.56</v>
      </c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</row>
    <row r="135">
      <c r="A135" s="121">
        <f>IFERROR(__xludf.DUMMYFUNCTION("""COMPUTED_VALUE"""),44736.66666666667)</f>
        <v>44736.66667</v>
      </c>
      <c r="B135" s="41">
        <f>IFERROR(__xludf.DUMMYFUNCTION("""COMPUTED_VALUE"""),118.54)</f>
        <v>118.54</v>
      </c>
      <c r="C135" s="121">
        <f>IFERROR(__xludf.DUMMYFUNCTION("""COMPUTED_VALUE"""),44736.66666666667)</f>
        <v>44736.66667</v>
      </c>
      <c r="D135" s="41">
        <f>IFERROR(__xludf.DUMMYFUNCTION("""COMPUTED_VALUE"""),141.66)</f>
        <v>141.66</v>
      </c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</row>
    <row r="136">
      <c r="A136" s="121">
        <f>IFERROR(__xludf.DUMMYFUNCTION("""COMPUTED_VALUE"""),44743.66666666667)</f>
        <v>44743.66667</v>
      </c>
      <c r="B136" s="41">
        <f>IFERROR(__xludf.DUMMYFUNCTION("""COMPUTED_VALUE"""),109.08)</f>
        <v>109.08</v>
      </c>
      <c r="C136" s="121">
        <f>IFERROR(__xludf.DUMMYFUNCTION("""COMPUTED_VALUE"""),44743.66666666667)</f>
        <v>44743.66667</v>
      </c>
      <c r="D136" s="41">
        <f>IFERROR(__xludf.DUMMYFUNCTION("""COMPUTED_VALUE"""),138.93)</f>
        <v>138.93</v>
      </c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</row>
    <row r="137">
      <c r="A137" s="121">
        <f>IFERROR(__xludf.DUMMYFUNCTION("""COMPUTED_VALUE"""),44750.66666666667)</f>
        <v>44750.66667</v>
      </c>
      <c r="B137" s="41">
        <f>IFERROR(__xludf.DUMMYFUNCTION("""COMPUTED_VALUE"""),120.17)</f>
        <v>120.17</v>
      </c>
      <c r="C137" s="121">
        <f>IFERROR(__xludf.DUMMYFUNCTION("""COMPUTED_VALUE"""),44750.66666666667)</f>
        <v>44750.66667</v>
      </c>
      <c r="D137" s="41">
        <f>IFERROR(__xludf.DUMMYFUNCTION("""COMPUTED_VALUE"""),147.04)</f>
        <v>147.04</v>
      </c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</row>
    <row r="138">
      <c r="A138" s="121">
        <f>IFERROR(__xludf.DUMMYFUNCTION("""COMPUTED_VALUE"""),44757.66666666667)</f>
        <v>44757.66667</v>
      </c>
      <c r="B138" s="41">
        <f>IFERROR(__xludf.DUMMYFUNCTION("""COMPUTED_VALUE"""),112.77)</f>
        <v>112.77</v>
      </c>
      <c r="C138" s="121">
        <f>IFERROR(__xludf.DUMMYFUNCTION("""COMPUTED_VALUE"""),44757.66666666667)</f>
        <v>44757.66667</v>
      </c>
      <c r="D138" s="41">
        <f>IFERROR(__xludf.DUMMYFUNCTION("""COMPUTED_VALUE"""),150.17)</f>
        <v>150.17</v>
      </c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</row>
    <row r="139">
      <c r="A139" s="121">
        <f>IFERROR(__xludf.DUMMYFUNCTION("""COMPUTED_VALUE"""),44764.66666666667)</f>
        <v>44764.66667</v>
      </c>
      <c r="B139" s="41">
        <f>IFERROR(__xludf.DUMMYFUNCTION("""COMPUTED_VALUE"""),108.36)</f>
        <v>108.36</v>
      </c>
      <c r="C139" s="121">
        <f>IFERROR(__xludf.DUMMYFUNCTION("""COMPUTED_VALUE"""),44764.66666666667)</f>
        <v>44764.66667</v>
      </c>
      <c r="D139" s="41">
        <f>IFERROR(__xludf.DUMMYFUNCTION("""COMPUTED_VALUE"""),154.09)</f>
        <v>154.09</v>
      </c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</row>
    <row r="140">
      <c r="A140" s="121">
        <f>IFERROR(__xludf.DUMMYFUNCTION("""COMPUTED_VALUE"""),44771.66666666667)</f>
        <v>44771.66667</v>
      </c>
      <c r="B140" s="41">
        <f>IFERROR(__xludf.DUMMYFUNCTION("""COMPUTED_VALUE"""),116.64)</f>
        <v>116.64</v>
      </c>
      <c r="C140" s="121">
        <f>IFERROR(__xludf.DUMMYFUNCTION("""COMPUTED_VALUE"""),44771.66666666667)</f>
        <v>44771.66667</v>
      </c>
      <c r="D140" s="41">
        <f>IFERROR(__xludf.DUMMYFUNCTION("""COMPUTED_VALUE"""),162.51)</f>
        <v>162.51</v>
      </c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</row>
    <row r="141">
      <c r="A141" s="121">
        <f>IFERROR(__xludf.DUMMYFUNCTION("""COMPUTED_VALUE"""),44778.66666666667)</f>
        <v>44778.66667</v>
      </c>
      <c r="B141" s="41">
        <f>IFERROR(__xludf.DUMMYFUNCTION("""COMPUTED_VALUE"""),118.22)</f>
        <v>118.22</v>
      </c>
      <c r="C141" s="121">
        <f>IFERROR(__xludf.DUMMYFUNCTION("""COMPUTED_VALUE"""),44778.66666666667)</f>
        <v>44778.66667</v>
      </c>
      <c r="D141" s="41">
        <f>IFERROR(__xludf.DUMMYFUNCTION("""COMPUTED_VALUE"""),165.35)</f>
        <v>165.35</v>
      </c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</row>
    <row r="142">
      <c r="A142" s="121">
        <f>IFERROR(__xludf.DUMMYFUNCTION("""COMPUTED_VALUE"""),44785.66666666667)</f>
        <v>44785.66667</v>
      </c>
      <c r="B142" s="41">
        <f>IFERROR(__xludf.DUMMYFUNCTION("""COMPUTED_VALUE"""),122.65)</f>
        <v>122.65</v>
      </c>
      <c r="C142" s="121">
        <f>IFERROR(__xludf.DUMMYFUNCTION("""COMPUTED_VALUE"""),44785.66666666667)</f>
        <v>44785.66667</v>
      </c>
      <c r="D142" s="41">
        <f>IFERROR(__xludf.DUMMYFUNCTION("""COMPUTED_VALUE"""),172.1)</f>
        <v>172.1</v>
      </c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</row>
    <row r="143">
      <c r="A143" s="121">
        <f>IFERROR(__xludf.DUMMYFUNCTION("""COMPUTED_VALUE"""),44792.66666666667)</f>
        <v>44792.66667</v>
      </c>
      <c r="B143" s="41">
        <f>IFERROR(__xludf.DUMMYFUNCTION("""COMPUTED_VALUE"""),118.12)</f>
        <v>118.12</v>
      </c>
      <c r="C143" s="121">
        <f>IFERROR(__xludf.DUMMYFUNCTION("""COMPUTED_VALUE"""),44792.66666666667)</f>
        <v>44792.66667</v>
      </c>
      <c r="D143" s="41">
        <f>IFERROR(__xludf.DUMMYFUNCTION("""COMPUTED_VALUE"""),171.52)</f>
        <v>171.52</v>
      </c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</row>
    <row r="144">
      <c r="A144" s="121">
        <f>IFERROR(__xludf.DUMMYFUNCTION("""COMPUTED_VALUE"""),44799.66666666667)</f>
        <v>44799.66667</v>
      </c>
      <c r="B144" s="41">
        <f>IFERROR(__xludf.DUMMYFUNCTION("""COMPUTED_VALUE"""),111.3)</f>
        <v>111.3</v>
      </c>
      <c r="C144" s="121">
        <f>IFERROR(__xludf.DUMMYFUNCTION("""COMPUTED_VALUE"""),44799.66666666667)</f>
        <v>44799.66667</v>
      </c>
      <c r="D144" s="41">
        <f>IFERROR(__xludf.DUMMYFUNCTION("""COMPUTED_VALUE"""),163.62)</f>
        <v>163.62</v>
      </c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</row>
    <row r="145">
      <c r="A145" s="121">
        <f>IFERROR(__xludf.DUMMYFUNCTION("""COMPUTED_VALUE"""),44806.66666666667)</f>
        <v>44806.66667</v>
      </c>
      <c r="B145" s="41">
        <f>IFERROR(__xludf.DUMMYFUNCTION("""COMPUTED_VALUE"""),108.68)</f>
        <v>108.68</v>
      </c>
      <c r="C145" s="121">
        <f>IFERROR(__xludf.DUMMYFUNCTION("""COMPUTED_VALUE"""),44806.66666666667)</f>
        <v>44806.66667</v>
      </c>
      <c r="D145" s="41">
        <f>IFERROR(__xludf.DUMMYFUNCTION("""COMPUTED_VALUE"""),155.81)</f>
        <v>155.81</v>
      </c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</row>
    <row r="146">
      <c r="A146" s="121">
        <f>IFERROR(__xludf.DUMMYFUNCTION("""COMPUTED_VALUE"""),44813.66666666667)</f>
        <v>44813.66667</v>
      </c>
      <c r="B146" s="41">
        <f>IFERROR(__xludf.DUMMYFUNCTION("""COMPUTED_VALUE"""),111.78)</f>
        <v>111.78</v>
      </c>
      <c r="C146" s="121">
        <f>IFERROR(__xludf.DUMMYFUNCTION("""COMPUTED_VALUE"""),44813.66666666667)</f>
        <v>44813.66667</v>
      </c>
      <c r="D146" s="41">
        <f>IFERROR(__xludf.DUMMYFUNCTION("""COMPUTED_VALUE"""),157.37)</f>
        <v>157.37</v>
      </c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</row>
    <row r="147">
      <c r="A147" s="121">
        <f>IFERROR(__xludf.DUMMYFUNCTION("""COMPUTED_VALUE"""),44820.66666666667)</f>
        <v>44820.66667</v>
      </c>
      <c r="B147" s="41">
        <f>IFERROR(__xludf.DUMMYFUNCTION("""COMPUTED_VALUE"""),103.63)</f>
        <v>103.63</v>
      </c>
      <c r="C147" s="121">
        <f>IFERROR(__xludf.DUMMYFUNCTION("""COMPUTED_VALUE"""),44820.66666666667)</f>
        <v>44820.66667</v>
      </c>
      <c r="D147" s="41">
        <f>IFERROR(__xludf.DUMMYFUNCTION("""COMPUTED_VALUE"""),150.7)</f>
        <v>150.7</v>
      </c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</row>
    <row r="148">
      <c r="A148" s="121">
        <f>IFERROR(__xludf.DUMMYFUNCTION("""COMPUTED_VALUE"""),44827.66666666667)</f>
        <v>44827.66667</v>
      </c>
      <c r="B148" s="41">
        <f>IFERROR(__xludf.DUMMYFUNCTION("""COMPUTED_VALUE"""),99.17)</f>
        <v>99.17</v>
      </c>
      <c r="C148" s="121">
        <f>IFERROR(__xludf.DUMMYFUNCTION("""COMPUTED_VALUE"""),44827.66666666667)</f>
        <v>44827.66667</v>
      </c>
      <c r="D148" s="41">
        <f>IFERROR(__xludf.DUMMYFUNCTION("""COMPUTED_VALUE"""),150.43)</f>
        <v>150.43</v>
      </c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</row>
    <row r="149">
      <c r="A149" s="121">
        <f>IFERROR(__xludf.DUMMYFUNCTION("""COMPUTED_VALUE"""),44834.66666666667)</f>
        <v>44834.66667</v>
      </c>
      <c r="B149" s="41">
        <f>IFERROR(__xludf.DUMMYFUNCTION("""COMPUTED_VALUE"""),96.15)</f>
        <v>96.15</v>
      </c>
      <c r="C149" s="121">
        <f>IFERROR(__xludf.DUMMYFUNCTION("""COMPUTED_VALUE"""),44834.66666666667)</f>
        <v>44834.66667</v>
      </c>
      <c r="D149" s="41">
        <f>IFERROR(__xludf.DUMMYFUNCTION("""COMPUTED_VALUE"""),138.2)</f>
        <v>138.2</v>
      </c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</row>
    <row r="150">
      <c r="A150" s="121">
        <f>IFERROR(__xludf.DUMMYFUNCTION("""COMPUTED_VALUE"""),44841.66666666667)</f>
        <v>44841.66667</v>
      </c>
      <c r="B150" s="41">
        <f>IFERROR(__xludf.DUMMYFUNCTION("""COMPUTED_VALUE"""),99.57)</f>
        <v>99.57</v>
      </c>
      <c r="C150" s="121">
        <f>IFERROR(__xludf.DUMMYFUNCTION("""COMPUTED_VALUE"""),44841.66666666667)</f>
        <v>44841.66667</v>
      </c>
      <c r="D150" s="41">
        <f>IFERROR(__xludf.DUMMYFUNCTION("""COMPUTED_VALUE"""),140.09)</f>
        <v>140.09</v>
      </c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</row>
    <row r="151">
      <c r="A151" s="121">
        <f>IFERROR(__xludf.DUMMYFUNCTION("""COMPUTED_VALUE"""),44848.66666666667)</f>
        <v>44848.66667</v>
      </c>
      <c r="B151" s="41">
        <f>IFERROR(__xludf.DUMMYFUNCTION("""COMPUTED_VALUE"""),97.18)</f>
        <v>97.18</v>
      </c>
      <c r="C151" s="121">
        <f>IFERROR(__xludf.DUMMYFUNCTION("""COMPUTED_VALUE"""),44848.66666666667)</f>
        <v>44848.66667</v>
      </c>
      <c r="D151" s="41">
        <f>IFERROR(__xludf.DUMMYFUNCTION("""COMPUTED_VALUE"""),138.38)</f>
        <v>138.38</v>
      </c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</row>
    <row r="152">
      <c r="A152" s="121">
        <f>IFERROR(__xludf.DUMMYFUNCTION("""COMPUTED_VALUE"""),44855.66666666667)</f>
        <v>44855.66667</v>
      </c>
      <c r="B152" s="41">
        <f>IFERROR(__xludf.DUMMYFUNCTION("""COMPUTED_VALUE"""),101.48)</f>
        <v>101.48</v>
      </c>
      <c r="C152" s="121">
        <f>IFERROR(__xludf.DUMMYFUNCTION("""COMPUTED_VALUE"""),44855.66666666667)</f>
        <v>44855.66667</v>
      </c>
      <c r="D152" s="41">
        <f>IFERROR(__xludf.DUMMYFUNCTION("""COMPUTED_VALUE"""),147.27)</f>
        <v>147.27</v>
      </c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</row>
    <row r="153">
      <c r="A153" s="121">
        <f>IFERROR(__xludf.DUMMYFUNCTION("""COMPUTED_VALUE"""),44862.66666666667)</f>
        <v>44862.66667</v>
      </c>
      <c r="B153" s="41">
        <f>IFERROR(__xludf.DUMMYFUNCTION("""COMPUTED_VALUE"""),96.58)</f>
        <v>96.58</v>
      </c>
      <c r="C153" s="121">
        <f>IFERROR(__xludf.DUMMYFUNCTION("""COMPUTED_VALUE"""),44862.66666666667)</f>
        <v>44862.66667</v>
      </c>
      <c r="D153" s="41">
        <f>IFERROR(__xludf.DUMMYFUNCTION("""COMPUTED_VALUE"""),155.74)</f>
        <v>155.74</v>
      </c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</row>
    <row r="154">
      <c r="A154" s="121">
        <f>IFERROR(__xludf.DUMMYFUNCTION("""COMPUTED_VALUE"""),44869.66666666667)</f>
        <v>44869.66667</v>
      </c>
      <c r="B154" s="41">
        <f>IFERROR(__xludf.DUMMYFUNCTION("""COMPUTED_VALUE"""),86.7)</f>
        <v>86.7</v>
      </c>
      <c r="C154" s="121">
        <f>IFERROR(__xludf.DUMMYFUNCTION("""COMPUTED_VALUE"""),44869.66666666667)</f>
        <v>44869.66667</v>
      </c>
      <c r="D154" s="41">
        <f>IFERROR(__xludf.DUMMYFUNCTION("""COMPUTED_VALUE"""),138.38)</f>
        <v>138.38</v>
      </c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</row>
    <row r="155">
      <c r="A155" s="121">
        <f>IFERROR(__xludf.DUMMYFUNCTION("""COMPUTED_VALUE"""),44876.66666666667)</f>
        <v>44876.66667</v>
      </c>
      <c r="B155" s="41">
        <f>IFERROR(__xludf.DUMMYFUNCTION("""COMPUTED_VALUE"""),96.73)</f>
        <v>96.73</v>
      </c>
      <c r="C155" s="121">
        <f>IFERROR(__xludf.DUMMYFUNCTION("""COMPUTED_VALUE"""),44876.66666666667)</f>
        <v>44876.66667</v>
      </c>
      <c r="D155" s="41">
        <f>IFERROR(__xludf.DUMMYFUNCTION("""COMPUTED_VALUE"""),149.7)</f>
        <v>149.7</v>
      </c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</row>
    <row r="156">
      <c r="A156" s="121">
        <f>IFERROR(__xludf.DUMMYFUNCTION("""COMPUTED_VALUE"""),44883.66666666667)</f>
        <v>44883.66667</v>
      </c>
      <c r="B156" s="41">
        <f>IFERROR(__xludf.DUMMYFUNCTION("""COMPUTED_VALUE"""),97.8)</f>
        <v>97.8</v>
      </c>
      <c r="C156" s="121">
        <f>IFERROR(__xludf.DUMMYFUNCTION("""COMPUTED_VALUE"""),44883.66666666667)</f>
        <v>44883.66667</v>
      </c>
      <c r="D156" s="41">
        <f>IFERROR(__xludf.DUMMYFUNCTION("""COMPUTED_VALUE"""),151.29)</f>
        <v>151.29</v>
      </c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</row>
    <row r="157">
      <c r="A157" s="121">
        <f>IFERROR(__xludf.DUMMYFUNCTION("""COMPUTED_VALUE"""),44890.54513888889)</f>
        <v>44890.54514</v>
      </c>
      <c r="B157" s="41">
        <f>IFERROR(__xludf.DUMMYFUNCTION("""COMPUTED_VALUE"""),97.6)</f>
        <v>97.6</v>
      </c>
      <c r="C157" s="121">
        <f>IFERROR(__xludf.DUMMYFUNCTION("""COMPUTED_VALUE"""),44890.54513888889)</f>
        <v>44890.54514</v>
      </c>
      <c r="D157" s="41">
        <f>IFERROR(__xludf.DUMMYFUNCTION("""COMPUTED_VALUE"""),148.11)</f>
        <v>148.11</v>
      </c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</row>
    <row r="158">
      <c r="A158" s="41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</row>
    <row r="159">
      <c r="A159" s="41"/>
      <c r="B159" s="41"/>
      <c r="C159" s="41"/>
      <c r="D159" s="41"/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</row>
    <row r="160">
      <c r="A160" s="41"/>
      <c r="B160" s="41"/>
      <c r="C160" s="41"/>
      <c r="D160" s="41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</row>
    <row r="161">
      <c r="A161" s="41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</row>
    <row r="162">
      <c r="A162" s="41"/>
      <c r="B162" s="41"/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</row>
    <row r="163">
      <c r="A163" s="41"/>
      <c r="B163" s="41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</row>
    <row r="164">
      <c r="A164" s="41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</row>
    <row r="165">
      <c r="A165" s="41"/>
      <c r="B165" s="41"/>
      <c r="C165" s="41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</row>
    <row r="166">
      <c r="A166" s="41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</row>
    <row r="167">
      <c r="A167" s="41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</row>
    <row r="168">
      <c r="A168" s="41"/>
      <c r="B168" s="41"/>
      <c r="C168" s="41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</row>
    <row r="169">
      <c r="A169" s="41"/>
      <c r="B169" s="41"/>
      <c r="C169" s="41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</row>
    <row r="170">
      <c r="A170" s="41"/>
      <c r="B170" s="41"/>
      <c r="C170" s="41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</row>
    <row r="171">
      <c r="A171" s="41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</row>
    <row r="172">
      <c r="A172" s="41"/>
      <c r="B172" s="41"/>
      <c r="C172" s="41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</row>
    <row r="173">
      <c r="A173" s="41"/>
      <c r="B173" s="41"/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</row>
    <row r="174">
      <c r="A174" s="41"/>
      <c r="B174" s="41"/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</row>
    <row r="175">
      <c r="A175" s="41"/>
      <c r="B175" s="41"/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</row>
    <row r="176">
      <c r="A176" s="41"/>
      <c r="B176" s="41"/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</row>
    <row r="177">
      <c r="A177" s="41"/>
      <c r="B177" s="41"/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</row>
    <row r="178">
      <c r="A178" s="41"/>
      <c r="B178" s="41"/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</row>
    <row r="179">
      <c r="A179" s="41"/>
      <c r="B179" s="41"/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</row>
    <row r="180">
      <c r="A180" s="41"/>
      <c r="B180" s="41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</row>
    <row r="181">
      <c r="A181" s="41"/>
      <c r="B181" s="41"/>
      <c r="C181" s="41"/>
      <c r="D181" s="41"/>
      <c r="E181" s="41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</row>
    <row r="182">
      <c r="A182" s="41"/>
      <c r="B182" s="41"/>
      <c r="C182" s="41"/>
      <c r="D182" s="41"/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</row>
    <row r="183">
      <c r="A183" s="41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</row>
    <row r="184">
      <c r="A184" s="41"/>
      <c r="B184" s="41"/>
      <c r="C184" s="41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</row>
    <row r="185">
      <c r="A185" s="41"/>
      <c r="B185" s="41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</row>
    <row r="186">
      <c r="A186" s="41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</row>
    <row r="187">
      <c r="A187" s="41"/>
      <c r="B187" s="41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</row>
    <row r="188">
      <c r="A188" s="41"/>
      <c r="B188" s="41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</row>
    <row r="189">
      <c r="A189" s="41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</row>
    <row r="190">
      <c r="A190" s="41"/>
      <c r="B190" s="41"/>
      <c r="C190" s="41"/>
      <c r="D190" s="41"/>
      <c r="E190" s="41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</row>
    <row r="191">
      <c r="A191" s="41"/>
      <c r="B191" s="41"/>
      <c r="C191" s="41"/>
      <c r="D191" s="41"/>
      <c r="E191" s="41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</row>
    <row r="192">
      <c r="A192" s="41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</row>
    <row r="193">
      <c r="A193" s="41"/>
      <c r="B193" s="41"/>
      <c r="C193" s="41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</row>
    <row r="194">
      <c r="A194" s="41"/>
      <c r="B194" s="41"/>
      <c r="C194" s="41"/>
      <c r="D194" s="41"/>
      <c r="E194" s="41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</row>
    <row r="195">
      <c r="A195" s="41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</row>
    <row r="196">
      <c r="A196" s="41"/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</row>
    <row r="197">
      <c r="A197" s="41"/>
      <c r="B197" s="41"/>
      <c r="C197" s="41"/>
      <c r="D197" s="41"/>
      <c r="E197" s="41"/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</row>
    <row r="198">
      <c r="A198" s="41"/>
      <c r="B198" s="41"/>
      <c r="C198" s="41"/>
      <c r="D198" s="41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</row>
    <row r="199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</row>
    <row r="200">
      <c r="A200" s="41"/>
      <c r="B200" s="41"/>
      <c r="C200" s="41"/>
      <c r="D200" s="41"/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</row>
    <row r="201">
      <c r="A201" s="41"/>
      <c r="B201" s="41"/>
      <c r="C201" s="41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</row>
    <row r="202">
      <c r="A202" s="41"/>
      <c r="B202" s="41"/>
      <c r="C202" s="41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</row>
    <row r="203">
      <c r="A203" s="41"/>
      <c r="B203" s="41"/>
      <c r="C203" s="41"/>
      <c r="D203" s="41"/>
      <c r="E203" s="41"/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</row>
    <row r="204">
      <c r="A204" s="41"/>
      <c r="B204" s="41"/>
      <c r="C204" s="41"/>
      <c r="D204" s="41"/>
      <c r="E204" s="41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</row>
    <row r="205">
      <c r="A205" s="41"/>
      <c r="B205" s="41"/>
      <c r="C205" s="41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</row>
    <row r="206">
      <c r="A206" s="41"/>
      <c r="B206" s="41"/>
      <c r="C206" s="41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</row>
    <row r="207">
      <c r="A207" s="41"/>
      <c r="B207" s="41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</row>
    <row r="208">
      <c r="A208" s="41"/>
      <c r="B208" s="41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</row>
    <row r="209">
      <c r="A209" s="41"/>
      <c r="B209" s="41"/>
      <c r="C209" s="41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</row>
    <row r="210">
      <c r="A210" s="41"/>
      <c r="B210" s="41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</row>
    <row r="211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</row>
    <row r="212">
      <c r="A212" s="41"/>
      <c r="B212" s="41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</row>
    <row r="213">
      <c r="A213" s="41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</row>
    <row r="214">
      <c r="A214" s="41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</row>
    <row r="215">
      <c r="A215" s="41"/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</row>
    <row r="216">
      <c r="A216" s="41"/>
      <c r="B216" s="41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</row>
    <row r="217">
      <c r="A217" s="41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</row>
    <row r="218">
      <c r="A218" s="41"/>
      <c r="B218" s="41"/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</row>
    <row r="219">
      <c r="A219" s="41"/>
      <c r="B219" s="41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</row>
    <row r="220">
      <c r="A220" s="41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</row>
    <row r="221">
      <c r="A221" s="41"/>
      <c r="B221" s="41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</row>
    <row r="222">
      <c r="A222" s="41"/>
      <c r="B222" s="41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</row>
    <row r="223">
      <c r="A223" s="41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</row>
    <row r="224">
      <c r="A224" s="41"/>
      <c r="B224" s="41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</row>
    <row r="225">
      <c r="A225" s="41"/>
      <c r="B225" s="41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</row>
    <row r="226">
      <c r="A226" s="41"/>
      <c r="B226" s="41"/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</row>
    <row r="227">
      <c r="A227" s="41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</row>
    <row r="228">
      <c r="A228" s="41"/>
      <c r="B228" s="41"/>
      <c r="C228" s="41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</row>
    <row r="229">
      <c r="A229" s="41"/>
      <c r="B229" s="41"/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</row>
    <row r="230">
      <c r="A230" s="41"/>
      <c r="B230" s="41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</row>
    <row r="231">
      <c r="A231" s="41"/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</row>
    <row r="232">
      <c r="A232" s="41"/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</row>
    <row r="233">
      <c r="A233" s="41"/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</row>
    <row r="234">
      <c r="A234" s="41"/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</row>
    <row r="235">
      <c r="A235" s="41"/>
      <c r="B235" s="41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</row>
    <row r="236">
      <c r="A236" s="41"/>
      <c r="B236" s="41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</row>
    <row r="237">
      <c r="A237" s="41"/>
      <c r="B237" s="41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</row>
    <row r="238">
      <c r="A238" s="41"/>
      <c r="B238" s="41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</row>
    <row r="239">
      <c r="A239" s="41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</row>
    <row r="240">
      <c r="A240" s="41"/>
      <c r="B240" s="41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</row>
    <row r="241">
      <c r="A241" s="41"/>
      <c r="B241" s="41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</row>
    <row r="242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</row>
    <row r="243">
      <c r="A243" s="41"/>
      <c r="B243" s="41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</row>
    <row r="244">
      <c r="A244" s="41"/>
      <c r="B244" s="41"/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</row>
    <row r="245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</row>
    <row r="246">
      <c r="A246" s="41"/>
      <c r="B246" s="41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</row>
    <row r="247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</row>
    <row r="248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</row>
    <row r="249">
      <c r="A249" s="41"/>
      <c r="B249" s="41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</row>
    <row r="250">
      <c r="A250" s="41"/>
      <c r="B250" s="41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</row>
    <row r="251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</row>
    <row r="252">
      <c r="A252" s="41"/>
      <c r="B252" s="41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</row>
    <row r="253">
      <c r="A253" s="41"/>
      <c r="B253" s="41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</row>
    <row r="254">
      <c r="A254" s="41"/>
      <c r="B254" s="41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</row>
    <row r="255">
      <c r="A255" s="41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</row>
    <row r="256">
      <c r="A256" s="41"/>
      <c r="B256" s="41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</row>
    <row r="257">
      <c r="A257" s="41"/>
      <c r="B257" s="41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</row>
    <row r="258">
      <c r="A258" s="41"/>
      <c r="B258" s="41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</row>
    <row r="259">
      <c r="A259" s="41"/>
      <c r="B259" s="41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</row>
    <row r="260">
      <c r="A260" s="41"/>
      <c r="B260" s="41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</row>
    <row r="261">
      <c r="A261" s="41"/>
      <c r="B261" s="41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</row>
    <row r="262">
      <c r="A262" s="41"/>
      <c r="B262" s="41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</row>
    <row r="263">
      <c r="A263" s="41"/>
      <c r="B263" s="41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</row>
    <row r="264">
      <c r="A264" s="41"/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</row>
    <row r="265">
      <c r="A265" s="41"/>
      <c r="B265" s="41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</row>
    <row r="266">
      <c r="A266" s="41"/>
      <c r="B266" s="41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</row>
    <row r="267">
      <c r="A267" s="41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</row>
    <row r="268">
      <c r="A268" s="41"/>
      <c r="B268" s="41"/>
      <c r="C268" s="41"/>
      <c r="D268" s="41"/>
      <c r="E268" s="41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</row>
    <row r="269">
      <c r="A269" s="41"/>
      <c r="B269" s="41"/>
      <c r="C269" s="41"/>
      <c r="D269" s="41"/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</row>
    <row r="270">
      <c r="A270" s="41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</row>
    <row r="271">
      <c r="A271" s="41"/>
      <c r="B271" s="41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</row>
    <row r="272">
      <c r="A272" s="41"/>
      <c r="B272" s="41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</row>
    <row r="273">
      <c r="A273" s="41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</row>
    <row r="274">
      <c r="A274" s="41"/>
      <c r="B274" s="41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</row>
    <row r="275">
      <c r="A275" s="41"/>
      <c r="B275" s="41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</row>
    <row r="276">
      <c r="A276" s="41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</row>
    <row r="277">
      <c r="A277" s="41"/>
      <c r="B277" s="41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</row>
    <row r="278">
      <c r="A278" s="41"/>
      <c r="B278" s="41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</row>
    <row r="279">
      <c r="A279" s="41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</row>
    <row r="280">
      <c r="A280" s="41"/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</row>
    <row r="281">
      <c r="A281" s="41"/>
      <c r="B281" s="41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</row>
    <row r="282">
      <c r="A282" s="41"/>
      <c r="B282" s="41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</row>
    <row r="283">
      <c r="A283" s="41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</row>
    <row r="284">
      <c r="A284" s="41"/>
      <c r="B284" s="41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</row>
    <row r="285">
      <c r="A285" s="41"/>
      <c r="B285" s="41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</row>
    <row r="286">
      <c r="A286" s="41"/>
      <c r="B286" s="41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</row>
    <row r="287">
      <c r="A287" s="41"/>
      <c r="B287" s="41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</row>
    <row r="288">
      <c r="A288" s="41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</row>
    <row r="289">
      <c r="A289" s="41"/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</row>
    <row r="290">
      <c r="A290" s="41"/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</row>
    <row r="291">
      <c r="A291" s="41"/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</row>
    <row r="292">
      <c r="A292" s="41"/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</row>
    <row r="293">
      <c r="A293" s="41"/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</row>
    <row r="294">
      <c r="A294" s="41"/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</row>
    <row r="295">
      <c r="A295" s="41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</row>
    <row r="296">
      <c r="A296" s="41"/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</row>
    <row r="297">
      <c r="A297" s="41"/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</row>
    <row r="298">
      <c r="A298" s="41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</row>
    <row r="299">
      <c r="A299" s="41"/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</row>
    <row r="300">
      <c r="A300" s="41"/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</row>
    <row r="301">
      <c r="A301" s="41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</row>
    <row r="302">
      <c r="A302" s="41"/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</row>
    <row r="303">
      <c r="A303" s="41"/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</row>
    <row r="304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</row>
    <row r="305">
      <c r="A305" s="41"/>
      <c r="B305" s="41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</row>
    <row r="306">
      <c r="A306" s="41"/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</row>
    <row r="307">
      <c r="A307" s="41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</row>
    <row r="308">
      <c r="A308" s="41"/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</row>
    <row r="309">
      <c r="A309" s="41"/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</row>
    <row r="310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</row>
    <row r="311">
      <c r="A311" s="41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</row>
    <row r="312">
      <c r="A312" s="41"/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</row>
    <row r="313">
      <c r="A313" s="41"/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</row>
    <row r="314">
      <c r="A314" s="41"/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</row>
    <row r="315">
      <c r="A315" s="41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</row>
    <row r="316">
      <c r="A316" s="41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</row>
    <row r="317">
      <c r="A317" s="41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</row>
    <row r="318">
      <c r="A318" s="41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</row>
    <row r="319">
      <c r="A319" s="41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</row>
    <row r="320">
      <c r="A320" s="41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</row>
    <row r="321">
      <c r="A321" s="41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</row>
    <row r="322">
      <c r="A322" s="41"/>
      <c r="B322" s="41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</row>
    <row r="323">
      <c r="A323" s="41"/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</row>
    <row r="324">
      <c r="A324" s="41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</row>
    <row r="325">
      <c r="A325" s="41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</row>
    <row r="326">
      <c r="A326" s="41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</row>
    <row r="327">
      <c r="A327" s="41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</row>
    <row r="328">
      <c r="A328" s="41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</row>
    <row r="329">
      <c r="A329" s="41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</row>
    <row r="330">
      <c r="A330" s="41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</row>
    <row r="331">
      <c r="A331" s="41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</row>
    <row r="332">
      <c r="A332" s="41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</row>
    <row r="333">
      <c r="A333" s="41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</row>
    <row r="334">
      <c r="A334" s="41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</row>
    <row r="335">
      <c r="A335" s="41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</row>
    <row r="336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</row>
    <row r="337">
      <c r="A337" s="41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</row>
    <row r="338">
      <c r="A338" s="41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</row>
    <row r="339">
      <c r="A339" s="41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</row>
    <row r="340">
      <c r="A340" s="41"/>
      <c r="B340" s="41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</row>
    <row r="341">
      <c r="A341" s="41"/>
      <c r="B341" s="41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</row>
    <row r="342">
      <c r="A342" s="41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</row>
    <row r="343">
      <c r="A343" s="41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</row>
    <row r="344">
      <c r="A344" s="41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</row>
    <row r="345">
      <c r="A345" s="41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</row>
    <row r="346">
      <c r="A346" s="41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</row>
    <row r="347">
      <c r="A347" s="41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</row>
    <row r="348">
      <c r="A348" s="41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</row>
    <row r="349">
      <c r="A349" s="41"/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</row>
    <row r="350">
      <c r="A350" s="41"/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</row>
    <row r="351">
      <c r="A351" s="41"/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</row>
    <row r="352">
      <c r="A352" s="41"/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</row>
    <row r="353">
      <c r="A353" s="41"/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</row>
    <row r="354">
      <c r="A354" s="41"/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</row>
    <row r="355">
      <c r="A355" s="41"/>
      <c r="B355" s="41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</row>
    <row r="356">
      <c r="A356" s="41"/>
      <c r="B356" s="41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</row>
    <row r="357">
      <c r="A357" s="41"/>
      <c r="B357" s="41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</row>
    <row r="358">
      <c r="A358" s="41"/>
      <c r="B358" s="41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</row>
    <row r="359">
      <c r="A359" s="41"/>
      <c r="B359" s="41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</row>
    <row r="360">
      <c r="A360" s="41"/>
      <c r="B360" s="41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</row>
    <row r="361">
      <c r="A361" s="41"/>
      <c r="B361" s="41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</row>
    <row r="362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</row>
    <row r="363">
      <c r="A363" s="41"/>
      <c r="B363" s="41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</row>
    <row r="364">
      <c r="A364" s="41"/>
      <c r="B364" s="41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</row>
    <row r="365">
      <c r="A365" s="41"/>
      <c r="B365" s="41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</row>
    <row r="366">
      <c r="A366" s="41"/>
      <c r="B366" s="41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</row>
    <row r="367">
      <c r="A367" s="41"/>
      <c r="B367" s="41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</row>
    <row r="368">
      <c r="A368" s="41"/>
      <c r="B368" s="41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</row>
    <row r="369">
      <c r="A369" s="41"/>
      <c r="B369" s="41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</row>
    <row r="370">
      <c r="A370" s="41"/>
      <c r="B370" s="41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</row>
    <row r="371">
      <c r="A371" s="41"/>
      <c r="B371" s="41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</row>
    <row r="372">
      <c r="A372" s="41"/>
      <c r="B372" s="41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</row>
    <row r="373">
      <c r="A373" s="41"/>
      <c r="B373" s="41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</row>
    <row r="374">
      <c r="A374" s="41"/>
      <c r="B374" s="41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</row>
    <row r="375">
      <c r="A375" s="41"/>
      <c r="B375" s="41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</row>
    <row r="376">
      <c r="A376" s="41"/>
      <c r="B376" s="41"/>
      <c r="C376" s="41"/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</row>
    <row r="377">
      <c r="A377" s="41"/>
      <c r="B377" s="41"/>
      <c r="C377" s="41"/>
      <c r="D377" s="41"/>
      <c r="E377" s="41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</row>
    <row r="378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</row>
    <row r="379">
      <c r="A379" s="41"/>
      <c r="B379" s="41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</row>
    <row r="380">
      <c r="A380" s="41"/>
      <c r="B380" s="41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</row>
    <row r="381">
      <c r="A381" s="41"/>
      <c r="B381" s="41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</row>
    <row r="382">
      <c r="A382" s="41"/>
      <c r="B382" s="41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</row>
    <row r="383">
      <c r="A383" s="41"/>
      <c r="B383" s="41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</row>
    <row r="384">
      <c r="A384" s="41"/>
      <c r="B384" s="41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</row>
    <row r="385">
      <c r="A385" s="41"/>
      <c r="B385" s="41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</row>
    <row r="386">
      <c r="A386" s="41"/>
      <c r="B386" s="41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</row>
    <row r="387">
      <c r="A387" s="41"/>
      <c r="B387" s="41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</row>
    <row r="388">
      <c r="A388" s="41"/>
      <c r="B388" s="41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</row>
    <row r="389">
      <c r="A389" s="41"/>
      <c r="B389" s="41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</row>
    <row r="390">
      <c r="A390" s="41"/>
      <c r="B390" s="41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</row>
    <row r="391">
      <c r="A391" s="41"/>
      <c r="B391" s="41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</row>
    <row r="392">
      <c r="A392" s="41"/>
      <c r="B392" s="41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</row>
    <row r="393">
      <c r="A393" s="41"/>
      <c r="B393" s="41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</row>
    <row r="394">
      <c r="A394" s="41"/>
      <c r="B394" s="41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</row>
    <row r="395">
      <c r="A395" s="41"/>
      <c r="B395" s="41"/>
      <c r="C395" s="41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</row>
    <row r="396">
      <c r="A396" s="41"/>
      <c r="B396" s="41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</row>
    <row r="397">
      <c r="A397" s="41"/>
      <c r="B397" s="41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</row>
    <row r="398">
      <c r="A398" s="41"/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</row>
    <row r="399">
      <c r="A399" s="41"/>
      <c r="B399" s="41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</row>
    <row r="400">
      <c r="A400" s="41"/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</row>
    <row r="401">
      <c r="A401" s="41"/>
      <c r="B401" s="41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</row>
    <row r="402">
      <c r="A402" s="41"/>
      <c r="B402" s="41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</row>
    <row r="403">
      <c r="A403" s="41"/>
      <c r="B403" s="41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</row>
    <row r="404">
      <c r="A404" s="41"/>
      <c r="B404" s="41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</row>
    <row r="405">
      <c r="A405" s="41"/>
      <c r="B405" s="41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</row>
    <row r="406">
      <c r="A406" s="41"/>
      <c r="B406" s="41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</row>
    <row r="407">
      <c r="A407" s="41"/>
      <c r="B407" s="41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</row>
    <row r="408">
      <c r="A408" s="41"/>
      <c r="B408" s="41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</row>
    <row r="409">
      <c r="A409" s="41"/>
      <c r="B409" s="41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</row>
    <row r="410">
      <c r="A410" s="41"/>
      <c r="B410" s="41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</row>
    <row r="411">
      <c r="A411" s="41"/>
      <c r="B411" s="41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</row>
    <row r="412">
      <c r="A412" s="41"/>
      <c r="B412" s="41"/>
      <c r="C412" s="41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</row>
    <row r="413">
      <c r="A413" s="41"/>
      <c r="B413" s="41"/>
      <c r="C413" s="41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</row>
    <row r="414">
      <c r="A414" s="41"/>
      <c r="B414" s="41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</row>
    <row r="415">
      <c r="A415" s="41"/>
      <c r="B415" s="41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</row>
    <row r="416">
      <c r="A416" s="41"/>
      <c r="B416" s="41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</row>
    <row r="417">
      <c r="A417" s="41"/>
      <c r="B417" s="41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</row>
    <row r="418">
      <c r="A418" s="41"/>
      <c r="B418" s="41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</row>
    <row r="419">
      <c r="A419" s="41"/>
      <c r="B419" s="41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</row>
    <row r="420">
      <c r="A420" s="41"/>
      <c r="B420" s="41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</row>
    <row r="421">
      <c r="A421" s="41"/>
      <c r="B421" s="41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</row>
    <row r="422">
      <c r="A422" s="41"/>
      <c r="B422" s="41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</row>
    <row r="423">
      <c r="A423" s="41"/>
      <c r="B423" s="41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</row>
    <row r="424">
      <c r="A424" s="41"/>
      <c r="B424" s="41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</row>
    <row r="425">
      <c r="A425" s="41"/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</row>
    <row r="426">
      <c r="A426" s="41"/>
      <c r="B426" s="41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</row>
    <row r="427">
      <c r="A427" s="41"/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</row>
    <row r="428">
      <c r="A428" s="41"/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</row>
    <row r="429">
      <c r="A429" s="41"/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</row>
    <row r="430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</row>
    <row r="431">
      <c r="A431" s="41"/>
      <c r="B431" s="41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</row>
    <row r="432">
      <c r="A432" s="41"/>
      <c r="B432" s="41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</row>
    <row r="433">
      <c r="A433" s="41"/>
      <c r="B433" s="41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</row>
    <row r="434">
      <c r="A434" s="41"/>
      <c r="B434" s="41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</row>
    <row r="435">
      <c r="A435" s="41"/>
      <c r="B435" s="41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</row>
    <row r="436">
      <c r="A436" s="41"/>
      <c r="B436" s="41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</row>
    <row r="437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</row>
    <row r="438">
      <c r="A438" s="41"/>
      <c r="B438" s="41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</row>
    <row r="439">
      <c r="A439" s="41"/>
      <c r="B439" s="41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</row>
    <row r="440">
      <c r="A440" s="41"/>
      <c r="B440" s="41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</row>
    <row r="441">
      <c r="A441" s="41"/>
      <c r="B441" s="41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</row>
    <row r="442">
      <c r="A442" s="41"/>
      <c r="B442" s="41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</row>
    <row r="443">
      <c r="A443" s="41"/>
      <c r="B443" s="41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</row>
    <row r="444">
      <c r="A444" s="41"/>
      <c r="B444" s="41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</row>
    <row r="445">
      <c r="A445" s="41"/>
      <c r="B445" s="41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</row>
    <row r="446">
      <c r="A446" s="41"/>
      <c r="B446" s="41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</row>
    <row r="447">
      <c r="A447" s="41"/>
      <c r="B447" s="41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</row>
    <row r="448">
      <c r="A448" s="41"/>
      <c r="B448" s="41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</row>
    <row r="449">
      <c r="A449" s="41"/>
      <c r="B449" s="41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</row>
    <row r="450">
      <c r="A450" s="41"/>
      <c r="B450" s="41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</row>
    <row r="451">
      <c r="A451" s="41"/>
      <c r="B451" s="41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</row>
    <row r="452">
      <c r="A452" s="41"/>
      <c r="B452" s="41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</row>
    <row r="453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</row>
    <row r="454">
      <c r="A454" s="41"/>
      <c r="B454" s="41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</row>
    <row r="455">
      <c r="A455" s="41"/>
      <c r="B455" s="41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</row>
    <row r="456">
      <c r="A456" s="41"/>
      <c r="B456" s="41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</row>
    <row r="457">
      <c r="A457" s="41"/>
      <c r="B457" s="41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</row>
    <row r="458">
      <c r="A458" s="41"/>
      <c r="B458" s="41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</row>
    <row r="459">
      <c r="A459" s="41"/>
      <c r="B459" s="41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</row>
    <row r="460">
      <c r="A460" s="41"/>
      <c r="B460" s="41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</row>
    <row r="461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</row>
    <row r="462">
      <c r="A462" s="41"/>
      <c r="B462" s="41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</row>
    <row r="463">
      <c r="A463" s="41"/>
      <c r="B463" s="41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</row>
    <row r="464">
      <c r="A464" s="41"/>
      <c r="B464" s="41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</row>
    <row r="465">
      <c r="A465" s="41"/>
      <c r="B465" s="41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</row>
    <row r="466">
      <c r="A466" s="41"/>
      <c r="B466" s="41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</row>
    <row r="467">
      <c r="A467" s="41"/>
      <c r="B467" s="41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</row>
    <row r="468">
      <c r="A468" s="41"/>
      <c r="B468" s="41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</row>
    <row r="469">
      <c r="A469" s="41"/>
      <c r="B469" s="41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</row>
    <row r="470">
      <c r="A470" s="41"/>
      <c r="B470" s="41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</row>
    <row r="471">
      <c r="A471" s="41"/>
      <c r="B471" s="41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</row>
    <row r="472">
      <c r="A472" s="41"/>
      <c r="B472" s="41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</row>
    <row r="473">
      <c r="A473" s="41"/>
      <c r="B473" s="41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</row>
    <row r="474">
      <c r="A474" s="41"/>
      <c r="B474" s="41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</row>
    <row r="475">
      <c r="A475" s="41"/>
      <c r="B475" s="41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</row>
    <row r="476">
      <c r="A476" s="41"/>
      <c r="B476" s="41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</row>
    <row r="477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</row>
    <row r="478">
      <c r="A478" s="41"/>
      <c r="B478" s="41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</row>
    <row r="479">
      <c r="A479" s="41"/>
      <c r="B479" s="41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</row>
    <row r="480">
      <c r="A480" s="41"/>
      <c r="B480" s="41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</row>
    <row r="481">
      <c r="A481" s="41"/>
      <c r="B481" s="41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</row>
    <row r="482">
      <c r="A482" s="41"/>
      <c r="B482" s="41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</row>
    <row r="483">
      <c r="A483" s="41"/>
      <c r="B483" s="41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</row>
    <row r="484">
      <c r="A484" s="41"/>
      <c r="B484" s="41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</row>
    <row r="485">
      <c r="A485" s="41"/>
      <c r="B485" s="41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</row>
    <row r="486">
      <c r="A486" s="41"/>
      <c r="B486" s="41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</row>
    <row r="487">
      <c r="A487" s="41"/>
      <c r="B487" s="41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</row>
    <row r="488">
      <c r="A488" s="41"/>
      <c r="B488" s="41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</row>
    <row r="489">
      <c r="A489" s="41"/>
      <c r="B489" s="41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</row>
    <row r="490">
      <c r="A490" s="41"/>
      <c r="B490" s="41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</row>
    <row r="491">
      <c r="A491" s="41"/>
      <c r="B491" s="41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</row>
    <row r="492">
      <c r="A492" s="41"/>
      <c r="B492" s="41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</row>
    <row r="493">
      <c r="A493" s="41"/>
      <c r="B493" s="41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</row>
    <row r="494">
      <c r="A494" s="41"/>
      <c r="B494" s="41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</row>
    <row r="495">
      <c r="A495" s="41"/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</row>
    <row r="496">
      <c r="A496" s="41"/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</row>
    <row r="497">
      <c r="A497" s="41"/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</row>
    <row r="498">
      <c r="A498" s="41"/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</row>
    <row r="499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</row>
    <row r="500">
      <c r="A500" s="41"/>
      <c r="B500" s="41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</row>
    <row r="501">
      <c r="A501" s="41"/>
      <c r="B501" s="41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</row>
    <row r="502">
      <c r="A502" s="41"/>
      <c r="B502" s="41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</row>
    <row r="503">
      <c r="A503" s="41"/>
      <c r="B503" s="41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</row>
    <row r="504">
      <c r="A504" s="41"/>
      <c r="B504" s="41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</row>
    <row r="505">
      <c r="A505" s="41"/>
      <c r="B505" s="41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</row>
    <row r="506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</row>
    <row r="507">
      <c r="A507" s="41"/>
      <c r="B507" s="41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</row>
    <row r="508">
      <c r="A508" s="41"/>
      <c r="B508" s="41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</row>
    <row r="509">
      <c r="A509" s="41"/>
      <c r="B509" s="41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</row>
    <row r="510">
      <c r="A510" s="41"/>
      <c r="B510" s="41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</row>
    <row r="511">
      <c r="A511" s="41"/>
      <c r="B511" s="41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</row>
    <row r="512">
      <c r="A512" s="41"/>
      <c r="B512" s="41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</row>
    <row r="513">
      <c r="A513" s="41"/>
      <c r="B513" s="41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</row>
    <row r="514">
      <c r="A514" s="41"/>
      <c r="B514" s="41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</row>
    <row r="515">
      <c r="A515" s="41"/>
      <c r="B515" s="41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</row>
    <row r="516">
      <c r="A516" s="41"/>
      <c r="B516" s="41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</row>
    <row r="517">
      <c r="A517" s="41"/>
      <c r="B517" s="41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</row>
    <row r="518">
      <c r="A518" s="41"/>
      <c r="B518" s="41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</row>
    <row r="519">
      <c r="A519" s="41"/>
      <c r="B519" s="41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</row>
    <row r="520">
      <c r="A520" s="41"/>
      <c r="B520" s="41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</row>
    <row r="521">
      <c r="A521" s="41"/>
      <c r="B521" s="41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</row>
    <row r="522">
      <c r="A522" s="41"/>
      <c r="B522" s="41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</row>
    <row r="523">
      <c r="A523" s="41"/>
      <c r="B523" s="41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</row>
    <row r="524">
      <c r="A524" s="41"/>
      <c r="B524" s="41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</row>
    <row r="525">
      <c r="A525" s="41"/>
      <c r="B525" s="41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</row>
    <row r="526">
      <c r="A526" s="41"/>
      <c r="B526" s="41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</row>
    <row r="527">
      <c r="A527" s="41"/>
      <c r="B527" s="41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</row>
    <row r="528">
      <c r="A528" s="41"/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</row>
    <row r="529">
      <c r="A529" s="41"/>
      <c r="B529" s="41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</row>
    <row r="530">
      <c r="A530" s="41"/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</row>
    <row r="531">
      <c r="A531" s="41"/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</row>
    <row r="532">
      <c r="A532" s="41"/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</row>
    <row r="533">
      <c r="A533" s="41"/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</row>
    <row r="534">
      <c r="A534" s="41"/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</row>
    <row r="535">
      <c r="A535" s="41"/>
      <c r="B535" s="41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</row>
    <row r="536">
      <c r="A536" s="41"/>
      <c r="B536" s="41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</row>
    <row r="537">
      <c r="A537" s="41"/>
      <c r="B537" s="41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</row>
    <row r="538">
      <c r="A538" s="41"/>
      <c r="B538" s="41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</row>
    <row r="539">
      <c r="A539" s="41"/>
      <c r="B539" s="41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</row>
    <row r="540">
      <c r="A540" s="41"/>
      <c r="B540" s="41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</row>
    <row r="541">
      <c r="A541" s="41"/>
      <c r="B541" s="41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</row>
    <row r="542">
      <c r="A542" s="41"/>
      <c r="B542" s="41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</row>
    <row r="543">
      <c r="A543" s="41"/>
      <c r="B543" s="41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</row>
    <row r="544">
      <c r="A544" s="41"/>
      <c r="B544" s="41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</row>
    <row r="545">
      <c r="A545" s="41"/>
      <c r="B545" s="41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</row>
    <row r="546">
      <c r="A546" s="41"/>
      <c r="B546" s="41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</row>
    <row r="547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</row>
    <row r="548">
      <c r="A548" s="41"/>
      <c r="B548" s="41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</row>
    <row r="549">
      <c r="A549" s="41"/>
      <c r="B549" s="41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</row>
    <row r="550">
      <c r="A550" s="41"/>
      <c r="B550" s="41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</row>
    <row r="551">
      <c r="A551" s="41"/>
      <c r="B551" s="41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</row>
    <row r="552">
      <c r="A552" s="41"/>
      <c r="B552" s="41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</row>
    <row r="553">
      <c r="A553" s="41"/>
      <c r="B553" s="41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</row>
    <row r="554">
      <c r="A554" s="41"/>
      <c r="B554" s="41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</row>
    <row r="555">
      <c r="A555" s="41"/>
      <c r="B555" s="41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</row>
    <row r="556">
      <c r="A556" s="41"/>
      <c r="B556" s="41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</row>
    <row r="557">
      <c r="A557" s="41"/>
      <c r="B557" s="41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</row>
    <row r="558">
      <c r="A558" s="41"/>
      <c r="B558" s="41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</row>
    <row r="559">
      <c r="A559" s="41"/>
      <c r="B559" s="41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</row>
    <row r="560">
      <c r="A560" s="41"/>
      <c r="B560" s="41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</row>
    <row r="561">
      <c r="A561" s="41"/>
      <c r="B561" s="41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</row>
    <row r="562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</row>
    <row r="563">
      <c r="A563" s="41"/>
      <c r="B563" s="41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</row>
    <row r="564">
      <c r="A564" s="41"/>
      <c r="B564" s="41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</row>
    <row r="565">
      <c r="A565" s="41"/>
      <c r="B565" s="41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</row>
    <row r="566">
      <c r="A566" s="41"/>
      <c r="B566" s="41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</row>
    <row r="567">
      <c r="A567" s="41"/>
      <c r="B567" s="41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</row>
    <row r="568">
      <c r="A568" s="41"/>
      <c r="B568" s="41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</row>
    <row r="569">
      <c r="A569" s="41"/>
      <c r="B569" s="41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</row>
    <row r="570">
      <c r="A570" s="41"/>
      <c r="B570" s="41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</row>
    <row r="571">
      <c r="A571" s="41"/>
      <c r="B571" s="41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</row>
    <row r="572">
      <c r="A572" s="41"/>
      <c r="B572" s="41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</row>
    <row r="573">
      <c r="A573" s="41"/>
      <c r="B573" s="41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</row>
    <row r="574">
      <c r="A574" s="41"/>
      <c r="B574" s="41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</row>
    <row r="575">
      <c r="A575" s="41"/>
      <c r="B575" s="41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</row>
    <row r="576">
      <c r="A576" s="41"/>
      <c r="B576" s="41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</row>
    <row r="577">
      <c r="A577" s="41"/>
      <c r="B577" s="41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</row>
    <row r="578">
      <c r="A578" s="41"/>
      <c r="B578" s="41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</row>
    <row r="579">
      <c r="A579" s="41"/>
      <c r="B579" s="41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</row>
    <row r="580">
      <c r="A580" s="41"/>
      <c r="B580" s="41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</row>
    <row r="581">
      <c r="A581" s="41"/>
      <c r="B581" s="41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</row>
    <row r="582">
      <c r="A582" s="41"/>
      <c r="B582" s="41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</row>
    <row r="583">
      <c r="A583" s="41"/>
      <c r="B583" s="41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</row>
    <row r="584">
      <c r="A584" s="41"/>
      <c r="B584" s="41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</row>
    <row r="585">
      <c r="A585" s="41"/>
      <c r="B585" s="41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</row>
    <row r="586">
      <c r="A586" s="41"/>
      <c r="B586" s="41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</row>
    <row r="587">
      <c r="A587" s="41"/>
      <c r="B587" s="41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</row>
    <row r="588">
      <c r="A588" s="41"/>
      <c r="B588" s="41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</row>
    <row r="589">
      <c r="A589" s="41"/>
      <c r="B589" s="41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</row>
    <row r="590">
      <c r="A590" s="41"/>
      <c r="B590" s="41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</row>
    <row r="591">
      <c r="A591" s="41"/>
      <c r="B591" s="41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</row>
    <row r="592">
      <c r="A592" s="41"/>
      <c r="B592" s="41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</row>
    <row r="593">
      <c r="A593" s="41"/>
      <c r="B593" s="41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</row>
    <row r="594">
      <c r="A594" s="41"/>
      <c r="B594" s="41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</row>
    <row r="595">
      <c r="A595" s="41"/>
      <c r="B595" s="41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</row>
    <row r="596">
      <c r="A596" s="41"/>
      <c r="B596" s="41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</row>
    <row r="597">
      <c r="A597" s="41"/>
      <c r="B597" s="41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</row>
    <row r="598">
      <c r="A598" s="41"/>
      <c r="B598" s="41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</row>
    <row r="599">
      <c r="A599" s="41"/>
      <c r="B599" s="41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</row>
    <row r="600">
      <c r="A600" s="41"/>
      <c r="B600" s="41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</row>
    <row r="601">
      <c r="A601" s="41"/>
      <c r="B601" s="41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</row>
    <row r="602">
      <c r="A602" s="41"/>
      <c r="B602" s="41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</row>
    <row r="603">
      <c r="A603" s="41"/>
      <c r="B603" s="41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</row>
    <row r="604">
      <c r="A604" s="41"/>
      <c r="B604" s="41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</row>
    <row r="605">
      <c r="A605" s="41"/>
      <c r="B605" s="41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</row>
    <row r="606">
      <c r="A606" s="41"/>
      <c r="B606" s="41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</row>
    <row r="607">
      <c r="A607" s="41"/>
      <c r="B607" s="41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</row>
    <row r="608">
      <c r="A608" s="41"/>
      <c r="B608" s="41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</row>
    <row r="609">
      <c r="A609" s="41"/>
      <c r="B609" s="41"/>
      <c r="C609" s="41"/>
      <c r="D609" s="41"/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</row>
    <row r="610">
      <c r="A610" s="41"/>
      <c r="B610" s="41"/>
      <c r="C610" s="41"/>
      <c r="D610" s="41"/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</row>
    <row r="611">
      <c r="A611" s="41"/>
      <c r="B611" s="41"/>
      <c r="C611" s="41"/>
      <c r="D611" s="41"/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</row>
    <row r="612">
      <c r="A612" s="41"/>
      <c r="B612" s="41"/>
      <c r="C612" s="41"/>
      <c r="D612" s="41"/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</row>
    <row r="613">
      <c r="A613" s="41"/>
      <c r="B613" s="41"/>
      <c r="C613" s="41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</row>
    <row r="614">
      <c r="A614" s="41"/>
      <c r="B614" s="41"/>
      <c r="C614" s="41"/>
      <c r="D614" s="41"/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</row>
    <row r="615">
      <c r="A615" s="41"/>
      <c r="B615" s="41"/>
      <c r="C615" s="41"/>
      <c r="D615" s="41"/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</row>
    <row r="616">
      <c r="A616" s="41"/>
      <c r="B616" s="41"/>
      <c r="C616" s="41"/>
      <c r="D616" s="41"/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</row>
    <row r="617">
      <c r="A617" s="41"/>
      <c r="B617" s="41"/>
      <c r="C617" s="41"/>
      <c r="D617" s="41"/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</row>
    <row r="618">
      <c r="A618" s="41"/>
      <c r="B618" s="41"/>
      <c r="C618" s="41"/>
      <c r="D618" s="41"/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</row>
    <row r="619">
      <c r="A619" s="41"/>
      <c r="B619" s="41"/>
      <c r="C619" s="41"/>
      <c r="D619" s="41"/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</row>
    <row r="620">
      <c r="A620" s="41"/>
      <c r="B620" s="41"/>
      <c r="C620" s="41"/>
      <c r="D620" s="41"/>
      <c r="E620" s="41"/>
      <c r="F620" s="41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</row>
    <row r="621">
      <c r="A621" s="41"/>
      <c r="B621" s="41"/>
      <c r="C621" s="41"/>
      <c r="D621" s="41"/>
      <c r="E621" s="41"/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</row>
    <row r="622">
      <c r="A622" s="41"/>
      <c r="B622" s="41"/>
      <c r="C622" s="41"/>
      <c r="D622" s="41"/>
      <c r="E622" s="41"/>
      <c r="F622" s="41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</row>
    <row r="623">
      <c r="A623" s="41"/>
      <c r="B623" s="41"/>
      <c r="C623" s="41"/>
      <c r="D623" s="41"/>
      <c r="E623" s="41"/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</row>
    <row r="624">
      <c r="A624" s="41"/>
      <c r="B624" s="41"/>
      <c r="C624" s="41"/>
      <c r="D624" s="41"/>
      <c r="E624" s="41"/>
      <c r="F624" s="41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</row>
    <row r="625">
      <c r="A625" s="41"/>
      <c r="B625" s="41"/>
      <c r="C625" s="41"/>
      <c r="D625" s="41"/>
      <c r="E625" s="41"/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</row>
    <row r="626">
      <c r="A626" s="41"/>
      <c r="B626" s="41"/>
      <c r="C626" s="41"/>
      <c r="D626" s="41"/>
      <c r="E626" s="41"/>
      <c r="F626" s="41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</row>
    <row r="627">
      <c r="A627" s="41"/>
      <c r="B627" s="41"/>
      <c r="C627" s="41"/>
      <c r="D627" s="41"/>
      <c r="E627" s="41"/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</row>
    <row r="628">
      <c r="A628" s="41"/>
      <c r="B628" s="41"/>
      <c r="C628" s="41"/>
      <c r="D628" s="41"/>
      <c r="E628" s="41"/>
      <c r="F628" s="41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</row>
    <row r="629">
      <c r="A629" s="41"/>
      <c r="B629" s="41"/>
      <c r="C629" s="41"/>
      <c r="D629" s="41"/>
      <c r="E629" s="41"/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</row>
    <row r="630">
      <c r="A630" s="41"/>
      <c r="B630" s="41"/>
      <c r="C630" s="41"/>
      <c r="D630" s="41"/>
      <c r="E630" s="41"/>
      <c r="F630" s="41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</row>
    <row r="631">
      <c r="A631" s="41"/>
      <c r="B631" s="41"/>
      <c r="C631" s="41"/>
      <c r="D631" s="41"/>
      <c r="E631" s="41"/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</row>
    <row r="632">
      <c r="A632" s="41"/>
      <c r="B632" s="41"/>
      <c r="C632" s="41"/>
      <c r="D632" s="41"/>
      <c r="E632" s="41"/>
      <c r="F632" s="41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</row>
    <row r="633">
      <c r="A633" s="41"/>
      <c r="B633" s="41"/>
      <c r="C633" s="41"/>
      <c r="D633" s="41"/>
      <c r="E633" s="41"/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</row>
    <row r="634">
      <c r="A634" s="41"/>
      <c r="B634" s="41"/>
      <c r="C634" s="41"/>
      <c r="D634" s="41"/>
      <c r="E634" s="41"/>
      <c r="F634" s="41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</row>
    <row r="635">
      <c r="A635" s="41"/>
      <c r="B635" s="41"/>
      <c r="C635" s="41"/>
      <c r="D635" s="41"/>
      <c r="E635" s="41"/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</row>
    <row r="636">
      <c r="A636" s="41"/>
      <c r="B636" s="41"/>
      <c r="C636" s="41"/>
      <c r="D636" s="41"/>
      <c r="E636" s="41"/>
      <c r="F636" s="41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</row>
    <row r="637">
      <c r="A637" s="41"/>
      <c r="B637" s="41"/>
      <c r="C637" s="41"/>
      <c r="D637" s="41"/>
      <c r="E637" s="41"/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</row>
    <row r="638">
      <c r="A638" s="41"/>
      <c r="B638" s="41"/>
      <c r="C638" s="41"/>
      <c r="D638" s="41"/>
      <c r="E638" s="41"/>
      <c r="F638" s="41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</row>
    <row r="639">
      <c r="A639" s="41"/>
      <c r="B639" s="41"/>
      <c r="C639" s="41"/>
      <c r="D639" s="41"/>
      <c r="E639" s="41"/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</row>
    <row r="640">
      <c r="A640" s="41"/>
      <c r="B640" s="41"/>
      <c r="C640" s="41"/>
      <c r="D640" s="41"/>
      <c r="E640" s="41"/>
      <c r="F640" s="41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</row>
    <row r="641">
      <c r="A641" s="41"/>
      <c r="B641" s="41"/>
      <c r="C641" s="41"/>
      <c r="D641" s="41"/>
      <c r="E641" s="41"/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</row>
    <row r="642">
      <c r="A642" s="41"/>
      <c r="B642" s="41"/>
      <c r="C642" s="41"/>
      <c r="D642" s="41"/>
      <c r="E642" s="41"/>
      <c r="F642" s="41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</row>
    <row r="643">
      <c r="A643" s="41"/>
      <c r="B643" s="41"/>
      <c r="C643" s="41"/>
      <c r="D643" s="41"/>
      <c r="E643" s="41"/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</row>
    <row r="644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</row>
    <row r="645">
      <c r="A645" s="41"/>
      <c r="B645" s="41"/>
      <c r="C645" s="41"/>
      <c r="D645" s="41"/>
      <c r="E645" s="41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</row>
    <row r="646">
      <c r="A646" s="41"/>
      <c r="B646" s="41"/>
      <c r="C646" s="41"/>
      <c r="D646" s="41"/>
      <c r="E646" s="41"/>
      <c r="F646" s="41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</row>
    <row r="647">
      <c r="A647" s="41"/>
      <c r="B647" s="41"/>
      <c r="C647" s="41"/>
      <c r="D647" s="41"/>
      <c r="E647" s="41"/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</row>
    <row r="648">
      <c r="A648" s="41"/>
      <c r="B648" s="41"/>
      <c r="C648" s="41"/>
      <c r="D648" s="41"/>
      <c r="E648" s="41"/>
      <c r="F648" s="41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</row>
    <row r="649">
      <c r="A649" s="41"/>
      <c r="B649" s="41"/>
      <c r="C649" s="41"/>
      <c r="D649" s="41"/>
      <c r="E649" s="41"/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</row>
    <row r="650">
      <c r="A650" s="41"/>
      <c r="B650" s="41"/>
      <c r="C650" s="41"/>
      <c r="D650" s="41"/>
      <c r="E650" s="41"/>
      <c r="F650" s="41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</row>
    <row r="651">
      <c r="A651" s="41"/>
      <c r="B651" s="41"/>
      <c r="C651" s="41"/>
      <c r="D651" s="41"/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</row>
    <row r="652">
      <c r="A652" s="41"/>
      <c r="B652" s="41"/>
      <c r="C652" s="41"/>
      <c r="D652" s="41"/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</row>
    <row r="653">
      <c r="A653" s="41"/>
      <c r="B653" s="41"/>
      <c r="C653" s="41"/>
      <c r="D653" s="41"/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</row>
    <row r="654">
      <c r="A654" s="41"/>
      <c r="B654" s="41"/>
      <c r="C654" s="41"/>
      <c r="D654" s="41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</row>
    <row r="655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</row>
    <row r="656">
      <c r="A656" s="41"/>
      <c r="B656" s="41"/>
      <c r="C656" s="41"/>
      <c r="D656" s="41"/>
      <c r="E656" s="41"/>
      <c r="F656" s="41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</row>
    <row r="657">
      <c r="A657" s="41"/>
      <c r="B657" s="41"/>
      <c r="C657" s="41"/>
      <c r="D657" s="41"/>
      <c r="E657" s="41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</row>
    <row r="658">
      <c r="A658" s="41"/>
      <c r="B658" s="41"/>
      <c r="C658" s="41"/>
      <c r="D658" s="41"/>
      <c r="E658" s="41"/>
      <c r="F658" s="41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</row>
    <row r="659">
      <c r="A659" s="41"/>
      <c r="B659" s="41"/>
      <c r="C659" s="41"/>
      <c r="D659" s="41"/>
      <c r="E659" s="41"/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</row>
    <row r="660">
      <c r="A660" s="41"/>
      <c r="B660" s="41"/>
      <c r="C660" s="41"/>
      <c r="D660" s="41"/>
      <c r="E660" s="41"/>
      <c r="F660" s="41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</row>
    <row r="661">
      <c r="A661" s="41"/>
      <c r="B661" s="41"/>
      <c r="C661" s="41"/>
      <c r="D661" s="41"/>
      <c r="E661" s="41"/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</row>
    <row r="662">
      <c r="A662" s="41"/>
      <c r="B662" s="41"/>
      <c r="C662" s="41"/>
      <c r="D662" s="41"/>
      <c r="E662" s="41"/>
      <c r="F662" s="41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</row>
    <row r="663">
      <c r="A663" s="41"/>
      <c r="B663" s="41"/>
      <c r="C663" s="41"/>
      <c r="D663" s="41"/>
      <c r="E663" s="41"/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</row>
    <row r="664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</row>
    <row r="665">
      <c r="A665" s="41"/>
      <c r="B665" s="41"/>
      <c r="C665" s="41"/>
      <c r="D665" s="41"/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</row>
    <row r="666">
      <c r="A666" s="41"/>
      <c r="B666" s="41"/>
      <c r="C666" s="41"/>
      <c r="D666" s="41"/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</row>
    <row r="667">
      <c r="A667" s="41"/>
      <c r="B667" s="41"/>
      <c r="C667" s="41"/>
      <c r="D667" s="41"/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</row>
    <row r="668">
      <c r="A668" s="41"/>
      <c r="B668" s="41"/>
      <c r="C668" s="41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</row>
    <row r="669">
      <c r="A669" s="41"/>
      <c r="B669" s="41"/>
      <c r="C669" s="41"/>
      <c r="D669" s="41"/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</row>
    <row r="670">
      <c r="A670" s="41"/>
      <c r="B670" s="41"/>
      <c r="C670" s="41"/>
      <c r="D670" s="41"/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</row>
    <row r="671">
      <c r="A671" s="41"/>
      <c r="B671" s="41"/>
      <c r="C671" s="41"/>
      <c r="D671" s="41"/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</row>
    <row r="672">
      <c r="A672" s="41"/>
      <c r="B672" s="41"/>
      <c r="C672" s="41"/>
      <c r="D672" s="41"/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</row>
    <row r="673">
      <c r="A673" s="41"/>
      <c r="B673" s="41"/>
      <c r="C673" s="41"/>
      <c r="D673" s="41"/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</row>
    <row r="674">
      <c r="A674" s="41"/>
      <c r="B674" s="41"/>
      <c r="C674" s="41"/>
      <c r="D674" s="41"/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</row>
    <row r="675">
      <c r="A675" s="41"/>
      <c r="B675" s="41"/>
      <c r="C675" s="41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</row>
    <row r="676">
      <c r="A676" s="41"/>
      <c r="B676" s="41"/>
      <c r="C676" s="41"/>
      <c r="D676" s="41"/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</row>
    <row r="677">
      <c r="A677" s="41"/>
      <c r="B677" s="41"/>
      <c r="C677" s="41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</row>
    <row r="678">
      <c r="A678" s="41"/>
      <c r="B678" s="41"/>
      <c r="C678" s="41"/>
      <c r="D678" s="41"/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</row>
    <row r="679">
      <c r="A679" s="41"/>
      <c r="B679" s="41"/>
      <c r="C679" s="41"/>
      <c r="D679" s="41"/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</row>
    <row r="680">
      <c r="A680" s="41"/>
      <c r="B680" s="41"/>
      <c r="C680" s="41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</row>
    <row r="681">
      <c r="A681" s="41"/>
      <c r="B681" s="41"/>
      <c r="C681" s="41"/>
      <c r="D681" s="41"/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</row>
    <row r="682">
      <c r="A682" s="41"/>
      <c r="B682" s="41"/>
      <c r="C682" s="41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</row>
    <row r="683">
      <c r="A683" s="41"/>
      <c r="B683" s="41"/>
      <c r="C683" s="41"/>
      <c r="D683" s="41"/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</row>
    <row r="684">
      <c r="A684" s="41"/>
      <c r="B684" s="41"/>
      <c r="C684" s="41"/>
      <c r="D684" s="41"/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</row>
    <row r="685">
      <c r="A685" s="41"/>
      <c r="B685" s="41"/>
      <c r="C685" s="41"/>
      <c r="D685" s="41"/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</row>
    <row r="686">
      <c r="A686" s="41"/>
      <c r="B686" s="41"/>
      <c r="C686" s="41"/>
      <c r="D686" s="41"/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</row>
    <row r="687">
      <c r="A687" s="41"/>
      <c r="B687" s="41"/>
      <c r="C687" s="41"/>
      <c r="D687" s="41"/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</row>
    <row r="688">
      <c r="A688" s="41"/>
      <c r="B688" s="41"/>
      <c r="C688" s="41"/>
      <c r="D688" s="41"/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</row>
    <row r="689">
      <c r="A689" s="41"/>
      <c r="B689" s="41"/>
      <c r="C689" s="41"/>
      <c r="D689" s="41"/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</row>
    <row r="690">
      <c r="A690" s="41"/>
      <c r="B690" s="41"/>
      <c r="C690" s="41"/>
      <c r="D690" s="41"/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</row>
    <row r="691">
      <c r="A691" s="41"/>
      <c r="B691" s="41"/>
      <c r="C691" s="41"/>
      <c r="D691" s="41"/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</row>
    <row r="692">
      <c r="A692" s="41"/>
      <c r="B692" s="41"/>
      <c r="C692" s="41"/>
      <c r="D692" s="41"/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</row>
    <row r="693">
      <c r="A693" s="41"/>
      <c r="B693" s="41"/>
      <c r="C693" s="41"/>
      <c r="D693" s="41"/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</row>
    <row r="694">
      <c r="A694" s="41"/>
      <c r="B694" s="41"/>
      <c r="C694" s="41"/>
      <c r="D694" s="41"/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</row>
    <row r="695">
      <c r="A695" s="41"/>
      <c r="B695" s="41"/>
      <c r="C695" s="41"/>
      <c r="D695" s="41"/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</row>
    <row r="696">
      <c r="A696" s="41"/>
      <c r="B696" s="41"/>
      <c r="C696" s="41"/>
      <c r="D696" s="41"/>
      <c r="E696" s="41"/>
      <c r="F696" s="41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</row>
    <row r="697">
      <c r="A697" s="41"/>
      <c r="B697" s="41"/>
      <c r="C697" s="41"/>
      <c r="D697" s="41"/>
      <c r="E697" s="41"/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</row>
    <row r="698">
      <c r="A698" s="41"/>
      <c r="B698" s="41"/>
      <c r="C698" s="41"/>
      <c r="D698" s="41"/>
      <c r="E698" s="41"/>
      <c r="F698" s="41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</row>
    <row r="699">
      <c r="A699" s="41"/>
      <c r="B699" s="41"/>
      <c r="C699" s="41"/>
      <c r="D699" s="41"/>
      <c r="E699" s="41"/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</row>
    <row r="700">
      <c r="A700" s="41"/>
      <c r="B700" s="41"/>
      <c r="C700" s="41"/>
      <c r="D700" s="41"/>
      <c r="E700" s="41"/>
      <c r="F700" s="41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</row>
    <row r="701">
      <c r="A701" s="41"/>
      <c r="B701" s="41"/>
      <c r="C701" s="41"/>
      <c r="D701" s="41"/>
      <c r="E701" s="41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</row>
    <row r="702">
      <c r="A702" s="41"/>
      <c r="B702" s="41"/>
      <c r="C702" s="41"/>
      <c r="D702" s="41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</row>
    <row r="703">
      <c r="A703" s="41"/>
      <c r="B703" s="41"/>
      <c r="C703" s="41"/>
      <c r="D703" s="41"/>
      <c r="E703" s="41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</row>
    <row r="704">
      <c r="A704" s="41"/>
      <c r="B704" s="41"/>
      <c r="C704" s="41"/>
      <c r="D704" s="41"/>
      <c r="E704" s="41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</row>
    <row r="705">
      <c r="A705" s="41"/>
      <c r="B705" s="41"/>
      <c r="C705" s="41"/>
      <c r="D705" s="41"/>
      <c r="E705" s="41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</row>
    <row r="706">
      <c r="A706" s="41"/>
      <c r="B706" s="41"/>
      <c r="C706" s="41"/>
      <c r="D706" s="41"/>
      <c r="E706" s="41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</row>
    <row r="707">
      <c r="A707" s="41"/>
      <c r="B707" s="41"/>
      <c r="C707" s="41"/>
      <c r="D707" s="41"/>
      <c r="E707" s="41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</row>
    <row r="708">
      <c r="A708" s="41"/>
      <c r="B708" s="41"/>
      <c r="C708" s="41"/>
      <c r="D708" s="41"/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</row>
    <row r="709">
      <c r="A709" s="41"/>
      <c r="B709" s="41"/>
      <c r="C709" s="41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</row>
    <row r="710">
      <c r="A710" s="41"/>
      <c r="B710" s="41"/>
      <c r="C710" s="41"/>
      <c r="D710" s="41"/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</row>
    <row r="711">
      <c r="A711" s="41"/>
      <c r="B711" s="41"/>
      <c r="C711" s="41"/>
      <c r="D711" s="41"/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</row>
    <row r="712">
      <c r="A712" s="41"/>
      <c r="B712" s="41"/>
      <c r="C712" s="41"/>
      <c r="D712" s="41"/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</row>
    <row r="713">
      <c r="A713" s="41"/>
      <c r="B713" s="41"/>
      <c r="C713" s="41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</row>
    <row r="714">
      <c r="A714" s="41"/>
      <c r="B714" s="41"/>
      <c r="C714" s="41"/>
      <c r="D714" s="41"/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</row>
    <row r="715">
      <c r="A715" s="41"/>
      <c r="B715" s="41"/>
      <c r="C715" s="41"/>
      <c r="D715" s="41"/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</row>
    <row r="716">
      <c r="A716" s="41"/>
      <c r="B716" s="41"/>
      <c r="C716" s="41"/>
      <c r="D716" s="41"/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</row>
    <row r="717">
      <c r="A717" s="41"/>
      <c r="B717" s="41"/>
      <c r="C717" s="41"/>
      <c r="D717" s="41"/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</row>
    <row r="718">
      <c r="A718" s="41"/>
      <c r="B718" s="41"/>
      <c r="C718" s="41"/>
      <c r="D718" s="41"/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</row>
    <row r="719">
      <c r="A719" s="41"/>
      <c r="B719" s="41"/>
      <c r="C719" s="41"/>
      <c r="D719" s="41"/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</row>
    <row r="720">
      <c r="A720" s="41"/>
      <c r="B720" s="41"/>
      <c r="C720" s="41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</row>
    <row r="721">
      <c r="A721" s="41"/>
      <c r="B721" s="41"/>
      <c r="C721" s="41"/>
      <c r="D721" s="41"/>
      <c r="E721" s="41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</row>
    <row r="722">
      <c r="A722" s="41"/>
      <c r="B722" s="41"/>
      <c r="C722" s="41"/>
      <c r="D722" s="41"/>
      <c r="E722" s="41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</row>
    <row r="723">
      <c r="A723" s="41"/>
      <c r="B723" s="41"/>
      <c r="C723" s="41"/>
      <c r="D723" s="41"/>
      <c r="E723" s="41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</row>
    <row r="724">
      <c r="A724" s="41"/>
      <c r="B724" s="41"/>
      <c r="C724" s="41"/>
      <c r="D724" s="41"/>
      <c r="E724" s="41"/>
      <c r="F724" s="41"/>
      <c r="G724" s="41"/>
      <c r="H724" s="41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</row>
    <row r="725">
      <c r="A725" s="41"/>
      <c r="B725" s="41"/>
      <c r="C725" s="41"/>
      <c r="D725" s="41"/>
      <c r="E725" s="41"/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</row>
    <row r="726">
      <c r="A726" s="41"/>
      <c r="B726" s="41"/>
      <c r="C726" s="41"/>
      <c r="D726" s="41"/>
      <c r="E726" s="41"/>
      <c r="F726" s="41"/>
      <c r="G726" s="41"/>
      <c r="H726" s="41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</row>
    <row r="727">
      <c r="A727" s="41"/>
      <c r="B727" s="41"/>
      <c r="C727" s="41"/>
      <c r="D727" s="41"/>
      <c r="E727" s="41"/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</row>
    <row r="728">
      <c r="A728" s="41"/>
      <c r="B728" s="41"/>
      <c r="C728" s="41"/>
      <c r="D728" s="41"/>
      <c r="E728" s="41"/>
      <c r="F728" s="41"/>
      <c r="G728" s="41"/>
      <c r="H728" s="41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</row>
    <row r="729">
      <c r="A729" s="41"/>
      <c r="B729" s="41"/>
      <c r="C729" s="41"/>
      <c r="D729" s="41"/>
      <c r="E729" s="41"/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</row>
    <row r="730">
      <c r="A730" s="41"/>
      <c r="B730" s="41"/>
      <c r="C730" s="41"/>
      <c r="D730" s="41"/>
      <c r="E730" s="41"/>
      <c r="F730" s="41"/>
      <c r="G730" s="41"/>
      <c r="H730" s="41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</row>
    <row r="731">
      <c r="A731" s="41"/>
      <c r="B731" s="41"/>
      <c r="C731" s="41"/>
      <c r="D731" s="41"/>
      <c r="E731" s="41"/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</row>
    <row r="732">
      <c r="A732" s="41"/>
      <c r="B732" s="41"/>
      <c r="C732" s="41"/>
      <c r="D732" s="41"/>
      <c r="E732" s="41"/>
      <c r="F732" s="41"/>
      <c r="G732" s="41"/>
      <c r="H732" s="41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</row>
    <row r="733">
      <c r="A733" s="41"/>
      <c r="B733" s="41"/>
      <c r="C733" s="41"/>
      <c r="D733" s="41"/>
      <c r="E733" s="41"/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</row>
    <row r="734">
      <c r="A734" s="41"/>
      <c r="B734" s="41"/>
      <c r="C734" s="41"/>
      <c r="D734" s="41"/>
      <c r="E734" s="41"/>
      <c r="F734" s="41"/>
      <c r="G734" s="41"/>
      <c r="H734" s="41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</row>
    <row r="735">
      <c r="A735" s="41"/>
      <c r="B735" s="41"/>
      <c r="C735" s="41"/>
      <c r="D735" s="41"/>
      <c r="E735" s="41"/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</row>
    <row r="736">
      <c r="A736" s="41"/>
      <c r="B736" s="41"/>
      <c r="C736" s="41"/>
      <c r="D736" s="41"/>
      <c r="E736" s="41"/>
      <c r="F736" s="41"/>
      <c r="G736" s="41"/>
      <c r="H736" s="41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</row>
    <row r="737">
      <c r="A737" s="41"/>
      <c r="B737" s="41"/>
      <c r="C737" s="41"/>
      <c r="D737" s="41"/>
      <c r="E737" s="41"/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</row>
    <row r="738">
      <c r="A738" s="41"/>
      <c r="B738" s="41"/>
      <c r="C738" s="41"/>
      <c r="D738" s="41"/>
      <c r="E738" s="41"/>
      <c r="F738" s="41"/>
      <c r="G738" s="41"/>
      <c r="H738" s="41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</row>
    <row r="739">
      <c r="A739" s="41"/>
      <c r="B739" s="41"/>
      <c r="C739" s="41"/>
      <c r="D739" s="41"/>
      <c r="E739" s="41"/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</row>
    <row r="740">
      <c r="A740" s="41"/>
      <c r="B740" s="41"/>
      <c r="C740" s="41"/>
      <c r="D740" s="41"/>
      <c r="E740" s="41"/>
      <c r="F740" s="41"/>
      <c r="G740" s="41"/>
      <c r="H740" s="41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</row>
    <row r="741">
      <c r="A741" s="41"/>
      <c r="B741" s="41"/>
      <c r="C741" s="41"/>
      <c r="D741" s="41"/>
      <c r="E741" s="41"/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</row>
    <row r="742">
      <c r="A742" s="41"/>
      <c r="B742" s="41"/>
      <c r="C742" s="41"/>
      <c r="D742" s="41"/>
      <c r="E742" s="41"/>
      <c r="F742" s="41"/>
      <c r="G742" s="41"/>
      <c r="H742" s="41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</row>
    <row r="743">
      <c r="A743" s="41"/>
      <c r="B743" s="41"/>
      <c r="C743" s="41"/>
      <c r="D743" s="41"/>
      <c r="E743" s="41"/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</row>
    <row r="744">
      <c r="A744" s="41"/>
      <c r="B744" s="41"/>
      <c r="C744" s="41"/>
      <c r="D744" s="41"/>
      <c r="E744" s="41"/>
      <c r="F744" s="41"/>
      <c r="G744" s="41"/>
      <c r="H744" s="41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</row>
    <row r="745">
      <c r="A745" s="41"/>
      <c r="B745" s="41"/>
      <c r="C745" s="41"/>
      <c r="D745" s="41"/>
      <c r="E745" s="41"/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</row>
    <row r="746">
      <c r="A746" s="41"/>
      <c r="B746" s="41"/>
      <c r="C746" s="41"/>
      <c r="D746" s="41"/>
      <c r="E746" s="41"/>
      <c r="F746" s="41"/>
      <c r="G746" s="41"/>
      <c r="H746" s="41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</row>
    <row r="747">
      <c r="A747" s="41"/>
      <c r="B747" s="41"/>
      <c r="C747" s="41"/>
      <c r="D747" s="41"/>
      <c r="E747" s="41"/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</row>
    <row r="748">
      <c r="A748" s="41"/>
      <c r="B748" s="41"/>
      <c r="C748" s="41"/>
      <c r="D748" s="41"/>
      <c r="E748" s="41"/>
      <c r="F748" s="41"/>
      <c r="G748" s="41"/>
      <c r="H748" s="41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</row>
    <row r="749">
      <c r="A749" s="41"/>
      <c r="B749" s="41"/>
      <c r="C749" s="41"/>
      <c r="D749" s="41"/>
      <c r="E749" s="41"/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</row>
    <row r="750">
      <c r="A750" s="41"/>
      <c r="B750" s="41"/>
      <c r="C750" s="41"/>
      <c r="D750" s="41"/>
      <c r="E750" s="41"/>
      <c r="F750" s="41"/>
      <c r="G750" s="41"/>
      <c r="H750" s="41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</row>
    <row r="751">
      <c r="A751" s="41"/>
      <c r="B751" s="41"/>
      <c r="C751" s="41"/>
      <c r="D751" s="41"/>
      <c r="E751" s="41"/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</row>
    <row r="752">
      <c r="A752" s="41"/>
      <c r="B752" s="41"/>
      <c r="C752" s="41"/>
      <c r="D752" s="41"/>
      <c r="E752" s="41"/>
      <c r="F752" s="41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</row>
    <row r="753">
      <c r="A753" s="41"/>
      <c r="B753" s="41"/>
      <c r="C753" s="41"/>
      <c r="D753" s="41"/>
      <c r="E753" s="41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</row>
    <row r="754">
      <c r="A754" s="41"/>
      <c r="B754" s="41"/>
      <c r="C754" s="41"/>
      <c r="D754" s="41"/>
      <c r="E754" s="41"/>
      <c r="F754" s="41"/>
      <c r="G754" s="41"/>
      <c r="H754" s="41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</row>
    <row r="755">
      <c r="A755" s="41"/>
      <c r="B755" s="41"/>
      <c r="C755" s="41"/>
      <c r="D755" s="41"/>
      <c r="E755" s="41"/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</row>
    <row r="756">
      <c r="A756" s="41"/>
      <c r="B756" s="41"/>
      <c r="C756" s="41"/>
      <c r="D756" s="41"/>
      <c r="E756" s="41"/>
      <c r="F756" s="41"/>
      <c r="G756" s="41"/>
      <c r="H756" s="41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</row>
    <row r="757">
      <c r="A757" s="41"/>
      <c r="B757" s="41"/>
      <c r="C757" s="41"/>
      <c r="D757" s="41"/>
      <c r="E757" s="41"/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</row>
    <row r="758">
      <c r="A758" s="41"/>
      <c r="B758" s="41"/>
      <c r="C758" s="41"/>
      <c r="D758" s="41"/>
      <c r="E758" s="41"/>
      <c r="F758" s="41"/>
      <c r="G758" s="41"/>
      <c r="H758" s="41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</row>
    <row r="759">
      <c r="A759" s="41"/>
      <c r="B759" s="41"/>
      <c r="C759" s="41"/>
      <c r="D759" s="41"/>
      <c r="E759" s="41"/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</row>
    <row r="760">
      <c r="A760" s="41"/>
      <c r="B760" s="41"/>
      <c r="C760" s="41"/>
      <c r="D760" s="41"/>
      <c r="E760" s="41"/>
      <c r="F760" s="41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</row>
    <row r="761">
      <c r="A761" s="41"/>
      <c r="B761" s="41"/>
      <c r="C761" s="41"/>
      <c r="D761" s="41"/>
      <c r="E761" s="41"/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</row>
    <row r="762">
      <c r="A762" s="41"/>
      <c r="B762" s="41"/>
      <c r="C762" s="41"/>
      <c r="D762" s="41"/>
      <c r="E762" s="41"/>
      <c r="F762" s="41"/>
      <c r="G762" s="41"/>
      <c r="H762" s="41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</row>
    <row r="763">
      <c r="A763" s="41"/>
      <c r="B763" s="41"/>
      <c r="C763" s="41"/>
      <c r="D763" s="41"/>
      <c r="E763" s="41"/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</row>
    <row r="764">
      <c r="A764" s="41"/>
      <c r="B764" s="41"/>
      <c r="C764" s="41"/>
      <c r="D764" s="41"/>
      <c r="E764" s="41"/>
      <c r="F764" s="41"/>
      <c r="G764" s="41"/>
      <c r="H764" s="41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</row>
    <row r="765">
      <c r="A765" s="41"/>
      <c r="B765" s="41"/>
      <c r="C765" s="41"/>
      <c r="D765" s="41"/>
      <c r="E765" s="41"/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</row>
    <row r="766">
      <c r="A766" s="41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</row>
    <row r="767">
      <c r="A767" s="41"/>
      <c r="B767" s="41"/>
      <c r="C767" s="41"/>
      <c r="D767" s="41"/>
      <c r="E767" s="41"/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</row>
    <row r="768">
      <c r="A768" s="41"/>
      <c r="B768" s="41"/>
      <c r="C768" s="41"/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</row>
    <row r="769">
      <c r="A769" s="41"/>
      <c r="B769" s="41"/>
      <c r="C769" s="41"/>
      <c r="D769" s="41"/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</row>
    <row r="770">
      <c r="A770" s="41"/>
      <c r="B770" s="41"/>
      <c r="C770" s="41"/>
      <c r="D770" s="41"/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</row>
    <row r="771">
      <c r="A771" s="41"/>
      <c r="B771" s="41"/>
      <c r="C771" s="41"/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</row>
    <row r="772">
      <c r="A772" s="41"/>
      <c r="B772" s="41"/>
      <c r="C772" s="41"/>
      <c r="D772" s="41"/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</row>
    <row r="773">
      <c r="A773" s="41"/>
      <c r="B773" s="41"/>
      <c r="C773" s="41"/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</row>
    <row r="774">
      <c r="A774" s="41"/>
      <c r="B774" s="41"/>
      <c r="C774" s="41"/>
      <c r="D774" s="41"/>
      <c r="E774" s="41"/>
      <c r="F774" s="41"/>
      <c r="G774" s="41"/>
      <c r="H774" s="41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</row>
    <row r="775">
      <c r="A775" s="41"/>
      <c r="B775" s="41"/>
      <c r="C775" s="41"/>
      <c r="D775" s="41"/>
      <c r="E775" s="41"/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</row>
    <row r="776">
      <c r="A776" s="41"/>
      <c r="B776" s="41"/>
      <c r="C776" s="41"/>
      <c r="D776" s="41"/>
      <c r="E776" s="41"/>
      <c r="F776" s="41"/>
      <c r="G776" s="41"/>
      <c r="H776" s="41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</row>
    <row r="777">
      <c r="A777" s="41"/>
      <c r="B777" s="41"/>
      <c r="C777" s="41"/>
      <c r="D777" s="41"/>
      <c r="E777" s="41"/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</row>
    <row r="778">
      <c r="A778" s="41"/>
      <c r="B778" s="41"/>
      <c r="C778" s="41"/>
      <c r="D778" s="41"/>
      <c r="E778" s="41"/>
      <c r="F778" s="41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</row>
    <row r="779">
      <c r="A779" s="41"/>
      <c r="B779" s="41"/>
      <c r="C779" s="41"/>
      <c r="D779" s="41"/>
      <c r="E779" s="41"/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</row>
    <row r="780">
      <c r="A780" s="41"/>
      <c r="B780" s="41"/>
      <c r="C780" s="41"/>
      <c r="D780" s="41"/>
      <c r="E780" s="41"/>
      <c r="F780" s="41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</row>
    <row r="781">
      <c r="A781" s="41"/>
      <c r="B781" s="41"/>
      <c r="C781" s="41"/>
      <c r="D781" s="41"/>
      <c r="E781" s="41"/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</row>
    <row r="782">
      <c r="A782" s="41"/>
      <c r="B782" s="41"/>
      <c r="C782" s="41"/>
      <c r="D782" s="41"/>
      <c r="E782" s="41"/>
      <c r="F782" s="41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</row>
    <row r="783">
      <c r="A783" s="41"/>
      <c r="B783" s="41"/>
      <c r="C783" s="41"/>
      <c r="D783" s="41"/>
      <c r="E783" s="41"/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</row>
    <row r="784">
      <c r="A784" s="41"/>
      <c r="B784" s="41"/>
      <c r="C784" s="41"/>
      <c r="D784" s="41"/>
      <c r="E784" s="41"/>
      <c r="F784" s="41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</row>
    <row r="785">
      <c r="A785" s="41"/>
      <c r="B785" s="41"/>
      <c r="C785" s="41"/>
      <c r="D785" s="41"/>
      <c r="E785" s="41"/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</row>
    <row r="786">
      <c r="A786" s="41"/>
      <c r="B786" s="41"/>
      <c r="C786" s="41"/>
      <c r="D786" s="41"/>
      <c r="E786" s="41"/>
      <c r="F786" s="41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</row>
    <row r="787">
      <c r="A787" s="41"/>
      <c r="B787" s="41"/>
      <c r="C787" s="41"/>
      <c r="D787" s="41"/>
      <c r="E787" s="41"/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</row>
    <row r="788">
      <c r="A788" s="41"/>
      <c r="B788" s="41"/>
      <c r="C788" s="41"/>
      <c r="D788" s="41"/>
      <c r="E788" s="41"/>
      <c r="F788" s="41"/>
      <c r="G788" s="41"/>
      <c r="H788" s="41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</row>
    <row r="789">
      <c r="A789" s="41"/>
      <c r="B789" s="41"/>
      <c r="C789" s="41"/>
      <c r="D789" s="41"/>
      <c r="E789" s="41"/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</row>
    <row r="790">
      <c r="A790" s="41"/>
      <c r="B790" s="41"/>
      <c r="C790" s="41"/>
      <c r="D790" s="41"/>
      <c r="E790" s="41"/>
      <c r="F790" s="41"/>
      <c r="G790" s="41"/>
      <c r="H790" s="41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</row>
    <row r="791">
      <c r="A791" s="41"/>
      <c r="B791" s="41"/>
      <c r="C791" s="41"/>
      <c r="D791" s="41"/>
      <c r="E791" s="41"/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</row>
    <row r="792">
      <c r="A792" s="41"/>
      <c r="B792" s="41"/>
      <c r="C792" s="41"/>
      <c r="D792" s="41"/>
      <c r="E792" s="41"/>
      <c r="F792" s="41"/>
      <c r="G792" s="41"/>
      <c r="H792" s="41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</row>
    <row r="793">
      <c r="A793" s="41"/>
      <c r="B793" s="41"/>
      <c r="C793" s="41"/>
      <c r="D793" s="41"/>
      <c r="E793" s="41"/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</row>
    <row r="794">
      <c r="A794" s="41"/>
      <c r="B794" s="41"/>
      <c r="C794" s="41"/>
      <c r="D794" s="41"/>
      <c r="E794" s="41"/>
      <c r="F794" s="41"/>
      <c r="G794" s="41"/>
      <c r="H794" s="41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</row>
    <row r="795">
      <c r="A795" s="41"/>
      <c r="B795" s="41"/>
      <c r="C795" s="41"/>
      <c r="D795" s="41"/>
      <c r="E795" s="41"/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</row>
    <row r="796">
      <c r="A796" s="41"/>
      <c r="B796" s="41"/>
      <c r="C796" s="41"/>
      <c r="D796" s="41"/>
      <c r="E796" s="41"/>
      <c r="F796" s="41"/>
      <c r="G796" s="41"/>
      <c r="H796" s="41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</row>
    <row r="797">
      <c r="A797" s="41"/>
      <c r="B797" s="41"/>
      <c r="C797" s="41"/>
      <c r="D797" s="41"/>
      <c r="E797" s="41"/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</row>
    <row r="798">
      <c r="A798" s="41"/>
      <c r="B798" s="41"/>
      <c r="C798" s="41"/>
      <c r="D798" s="41"/>
      <c r="E798" s="41"/>
      <c r="F798" s="41"/>
      <c r="G798" s="41"/>
      <c r="H798" s="41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</row>
    <row r="799">
      <c r="A799" s="41"/>
      <c r="B799" s="41"/>
      <c r="C799" s="41"/>
      <c r="D799" s="41"/>
      <c r="E799" s="41"/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</row>
    <row r="800">
      <c r="A800" s="41"/>
      <c r="B800" s="41"/>
      <c r="C800" s="41"/>
      <c r="D800" s="41"/>
      <c r="E800" s="41"/>
      <c r="F800" s="41"/>
      <c r="G800" s="41"/>
      <c r="H800" s="41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</row>
    <row r="801">
      <c r="A801" s="41"/>
      <c r="B801" s="41"/>
      <c r="C801" s="41"/>
      <c r="D801" s="41"/>
      <c r="E801" s="41"/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</row>
    <row r="802">
      <c r="A802" s="41"/>
      <c r="B802" s="41"/>
      <c r="C802" s="41"/>
      <c r="D802" s="41"/>
      <c r="E802" s="41"/>
      <c r="F802" s="41"/>
      <c r="G802" s="41"/>
      <c r="H802" s="41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</row>
    <row r="803">
      <c r="A803" s="41"/>
      <c r="B803" s="41"/>
      <c r="C803" s="41"/>
      <c r="D803" s="41"/>
      <c r="E803" s="41"/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</row>
    <row r="804">
      <c r="A804" s="41"/>
      <c r="B804" s="41"/>
      <c r="C804" s="41"/>
      <c r="D804" s="41"/>
      <c r="E804" s="41"/>
      <c r="F804" s="41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</row>
    <row r="805">
      <c r="A805" s="41"/>
      <c r="B805" s="41"/>
      <c r="C805" s="41"/>
      <c r="D805" s="41"/>
      <c r="E805" s="41"/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</row>
    <row r="806">
      <c r="A806" s="41"/>
      <c r="B806" s="41"/>
      <c r="C806" s="41"/>
      <c r="D806" s="41"/>
      <c r="E806" s="41"/>
      <c r="F806" s="41"/>
      <c r="G806" s="41"/>
      <c r="H806" s="41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</row>
    <row r="807">
      <c r="A807" s="41"/>
      <c r="B807" s="41"/>
      <c r="C807" s="41"/>
      <c r="D807" s="41"/>
      <c r="E807" s="41"/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</row>
    <row r="808">
      <c r="A808" s="41"/>
      <c r="B808" s="41"/>
      <c r="C808" s="41"/>
      <c r="D808" s="41"/>
      <c r="E808" s="41"/>
      <c r="F808" s="41"/>
      <c r="G808" s="41"/>
      <c r="H808" s="41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</row>
    <row r="809">
      <c r="A809" s="41"/>
      <c r="B809" s="41"/>
      <c r="C809" s="41"/>
      <c r="D809" s="41"/>
      <c r="E809" s="41"/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</row>
    <row r="810">
      <c r="A810" s="41"/>
      <c r="B810" s="41"/>
      <c r="C810" s="41"/>
      <c r="D810" s="41"/>
      <c r="E810" s="41"/>
      <c r="F810" s="41"/>
      <c r="G810" s="41"/>
      <c r="H810" s="41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</row>
    <row r="811">
      <c r="A811" s="41"/>
      <c r="B811" s="41"/>
      <c r="C811" s="41"/>
      <c r="D811" s="41"/>
      <c r="E811" s="41"/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</row>
    <row r="812">
      <c r="A812" s="41"/>
      <c r="B812" s="41"/>
      <c r="C812" s="41"/>
      <c r="D812" s="41"/>
      <c r="E812" s="41"/>
      <c r="F812" s="41"/>
      <c r="G812" s="41"/>
      <c r="H812" s="41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</row>
    <row r="813">
      <c r="A813" s="41"/>
      <c r="B813" s="41"/>
      <c r="C813" s="41"/>
      <c r="D813" s="41"/>
      <c r="E813" s="41"/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</row>
    <row r="814">
      <c r="A814" s="41"/>
      <c r="B814" s="41"/>
      <c r="C814" s="41"/>
      <c r="D814" s="41"/>
      <c r="E814" s="41"/>
      <c r="F814" s="41"/>
      <c r="G814" s="41"/>
      <c r="H814" s="41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</row>
    <row r="815">
      <c r="A815" s="41"/>
      <c r="B815" s="41"/>
      <c r="C815" s="41"/>
      <c r="D815" s="41"/>
      <c r="E815" s="41"/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</row>
    <row r="816">
      <c r="A816" s="41"/>
      <c r="B816" s="41"/>
      <c r="C816" s="41"/>
      <c r="D816" s="41"/>
      <c r="E816" s="41"/>
      <c r="F816" s="41"/>
      <c r="G816" s="41"/>
      <c r="H816" s="41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</row>
    <row r="817">
      <c r="A817" s="41"/>
      <c r="B817" s="41"/>
      <c r="C817" s="41"/>
      <c r="D817" s="41"/>
      <c r="E817" s="41"/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</row>
    <row r="818">
      <c r="A818" s="41"/>
      <c r="B818" s="41"/>
      <c r="C818" s="41"/>
      <c r="D818" s="41"/>
      <c r="E818" s="41"/>
      <c r="F818" s="41"/>
      <c r="G818" s="41"/>
      <c r="H818" s="41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</row>
    <row r="819">
      <c r="A819" s="41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</row>
    <row r="820">
      <c r="A820" s="41"/>
      <c r="B820" s="41"/>
      <c r="C820" s="41"/>
      <c r="D820" s="41"/>
      <c r="E820" s="41"/>
      <c r="F820" s="41"/>
      <c r="G820" s="41"/>
      <c r="H820" s="41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</row>
    <row r="821">
      <c r="A821" s="41"/>
      <c r="B821" s="41"/>
      <c r="C821" s="41"/>
      <c r="D821" s="41"/>
      <c r="E821" s="41"/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</row>
    <row r="822">
      <c r="A822" s="41"/>
      <c r="B822" s="41"/>
      <c r="C822" s="41"/>
      <c r="D822" s="41"/>
      <c r="E822" s="41"/>
      <c r="F822" s="41"/>
      <c r="G822" s="41"/>
      <c r="H822" s="41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</row>
    <row r="823">
      <c r="A823" s="41"/>
      <c r="B823" s="41"/>
      <c r="C823" s="41"/>
      <c r="D823" s="41"/>
      <c r="E823" s="41"/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</row>
    <row r="824">
      <c r="A824" s="41"/>
      <c r="B824" s="41"/>
      <c r="C824" s="41"/>
      <c r="D824" s="41"/>
      <c r="E824" s="41"/>
      <c r="F824" s="41"/>
      <c r="G824" s="41"/>
      <c r="H824" s="41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</row>
    <row r="825">
      <c r="A825" s="41"/>
      <c r="B825" s="41"/>
      <c r="C825" s="41"/>
      <c r="D825" s="41"/>
      <c r="E825" s="41"/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</row>
    <row r="826">
      <c r="A826" s="41"/>
      <c r="B826" s="41"/>
      <c r="C826" s="41"/>
      <c r="D826" s="41"/>
      <c r="E826" s="41"/>
      <c r="F826" s="41"/>
      <c r="G826" s="41"/>
      <c r="H826" s="41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</row>
    <row r="827">
      <c r="A827" s="41"/>
      <c r="B827" s="41"/>
      <c r="C827" s="41"/>
      <c r="D827" s="41"/>
      <c r="E827" s="41"/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</row>
    <row r="828">
      <c r="A828" s="41"/>
      <c r="B828" s="41"/>
      <c r="C828" s="41"/>
      <c r="D828" s="41"/>
      <c r="E828" s="41"/>
      <c r="F828" s="41"/>
      <c r="G828" s="41"/>
      <c r="H828" s="41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</row>
    <row r="829">
      <c r="A829" s="41"/>
      <c r="B829" s="41"/>
      <c r="C829" s="41"/>
      <c r="D829" s="41"/>
      <c r="E829" s="41"/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</row>
    <row r="830">
      <c r="A830" s="41"/>
      <c r="B830" s="41"/>
      <c r="C830" s="41"/>
      <c r="D830" s="41"/>
      <c r="E830" s="41"/>
      <c r="F830" s="41"/>
      <c r="G830" s="41"/>
      <c r="H830" s="41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</row>
    <row r="831">
      <c r="A831" s="41"/>
      <c r="B831" s="41"/>
      <c r="C831" s="41"/>
      <c r="D831" s="41"/>
      <c r="E831" s="41"/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</row>
    <row r="832">
      <c r="A832" s="41"/>
      <c r="B832" s="41"/>
      <c r="C832" s="41"/>
      <c r="D832" s="41"/>
      <c r="E832" s="41"/>
      <c r="F832" s="41"/>
      <c r="G832" s="41"/>
      <c r="H832" s="41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</row>
    <row r="833">
      <c r="A833" s="41"/>
      <c r="B833" s="41"/>
      <c r="C833" s="41"/>
      <c r="D833" s="41"/>
      <c r="E833" s="41"/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</row>
    <row r="834">
      <c r="A834" s="41"/>
      <c r="B834" s="41"/>
      <c r="C834" s="41"/>
      <c r="D834" s="41"/>
      <c r="E834" s="41"/>
      <c r="F834" s="41"/>
      <c r="G834" s="41"/>
      <c r="H834" s="41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</row>
    <row r="835">
      <c r="A835" s="41"/>
      <c r="B835" s="41"/>
      <c r="C835" s="41"/>
      <c r="D835" s="41"/>
      <c r="E835" s="41"/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</row>
    <row r="836">
      <c r="A836" s="41"/>
      <c r="B836" s="41"/>
      <c r="C836" s="41"/>
      <c r="D836" s="41"/>
      <c r="E836" s="41"/>
      <c r="F836" s="41"/>
      <c r="G836" s="41"/>
      <c r="H836" s="41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</row>
    <row r="837">
      <c r="A837" s="41"/>
      <c r="B837" s="41"/>
      <c r="C837" s="41"/>
      <c r="D837" s="41"/>
      <c r="E837" s="41"/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</row>
    <row r="838">
      <c r="A838" s="41"/>
      <c r="B838" s="41"/>
      <c r="C838" s="41"/>
      <c r="D838" s="41"/>
      <c r="E838" s="41"/>
      <c r="F838" s="41"/>
      <c r="G838" s="41"/>
      <c r="H838" s="41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</row>
    <row r="839">
      <c r="A839" s="41"/>
      <c r="B839" s="41"/>
      <c r="C839" s="41"/>
      <c r="D839" s="41"/>
      <c r="E839" s="41"/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</row>
    <row r="840">
      <c r="A840" s="41"/>
      <c r="B840" s="41"/>
      <c r="C840" s="41"/>
      <c r="D840" s="41"/>
      <c r="E840" s="41"/>
      <c r="F840" s="41"/>
      <c r="G840" s="41"/>
      <c r="H840" s="41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</row>
    <row r="841">
      <c r="A841" s="41"/>
      <c r="B841" s="41"/>
      <c r="C841" s="41"/>
      <c r="D841" s="41"/>
      <c r="E841" s="41"/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</row>
    <row r="842">
      <c r="A842" s="41"/>
      <c r="B842" s="41"/>
      <c r="C842" s="41"/>
      <c r="D842" s="41"/>
      <c r="E842" s="41"/>
      <c r="F842" s="41"/>
      <c r="G842" s="41"/>
      <c r="H842" s="41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</row>
    <row r="843">
      <c r="A843" s="41"/>
      <c r="B843" s="41"/>
      <c r="C843" s="41"/>
      <c r="D843" s="41"/>
      <c r="E843" s="41"/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</row>
    <row r="844">
      <c r="A844" s="41"/>
      <c r="B844" s="41"/>
      <c r="C844" s="41"/>
      <c r="D844" s="41"/>
      <c r="E844" s="41"/>
      <c r="F844" s="41"/>
      <c r="G844" s="41"/>
      <c r="H844" s="41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</row>
    <row r="845">
      <c r="A845" s="41"/>
      <c r="B845" s="41"/>
      <c r="C845" s="41"/>
      <c r="D845" s="41"/>
      <c r="E845" s="41"/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</row>
    <row r="846">
      <c r="A846" s="41"/>
      <c r="B846" s="41"/>
      <c r="C846" s="41"/>
      <c r="D846" s="41"/>
      <c r="E846" s="41"/>
      <c r="F846" s="41"/>
      <c r="G846" s="41"/>
      <c r="H846" s="41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</row>
    <row r="847">
      <c r="A847" s="41"/>
      <c r="B847" s="41"/>
      <c r="C847" s="41"/>
      <c r="D847" s="41"/>
      <c r="E847" s="41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</row>
    <row r="848">
      <c r="A848" s="41"/>
      <c r="B848" s="41"/>
      <c r="C848" s="41"/>
      <c r="D848" s="41"/>
      <c r="E848" s="41"/>
      <c r="F848" s="41"/>
      <c r="G848" s="41"/>
      <c r="H848" s="41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</row>
    <row r="849">
      <c r="A849" s="41"/>
      <c r="B849" s="41"/>
      <c r="C849" s="41"/>
      <c r="D849" s="41"/>
      <c r="E849" s="41"/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</row>
    <row r="850">
      <c r="A850" s="41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</row>
    <row r="851">
      <c r="A851" s="41"/>
      <c r="B851" s="41"/>
      <c r="C851" s="41"/>
      <c r="D851" s="41"/>
      <c r="E851" s="41"/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</row>
    <row r="852">
      <c r="A852" s="41"/>
      <c r="B852" s="41"/>
      <c r="C852" s="41"/>
      <c r="D852" s="41"/>
      <c r="E852" s="41"/>
      <c r="F852" s="41"/>
      <c r="G852" s="41"/>
      <c r="H852" s="41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</row>
    <row r="853">
      <c r="A853" s="41"/>
      <c r="B853" s="41"/>
      <c r="C853" s="41"/>
      <c r="D853" s="41"/>
      <c r="E853" s="41"/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</row>
    <row r="854">
      <c r="A854" s="41"/>
      <c r="B854" s="41"/>
      <c r="C854" s="41"/>
      <c r="D854" s="41"/>
      <c r="E854" s="41"/>
      <c r="F854" s="41"/>
      <c r="G854" s="41"/>
      <c r="H854" s="41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</row>
    <row r="855">
      <c r="A855" s="41"/>
      <c r="B855" s="41"/>
      <c r="C855" s="41"/>
      <c r="D855" s="41"/>
      <c r="E855" s="41"/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</row>
    <row r="856">
      <c r="A856" s="41"/>
      <c r="B856" s="41"/>
      <c r="C856" s="41"/>
      <c r="D856" s="41"/>
      <c r="E856" s="41"/>
      <c r="F856" s="41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</row>
    <row r="857">
      <c r="A857" s="41"/>
      <c r="B857" s="41"/>
      <c r="C857" s="41"/>
      <c r="D857" s="41"/>
      <c r="E857" s="41"/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</row>
    <row r="858">
      <c r="A858" s="41"/>
      <c r="B858" s="41"/>
      <c r="C858" s="41"/>
      <c r="D858" s="41"/>
      <c r="E858" s="41"/>
      <c r="F858" s="41"/>
      <c r="G858" s="41"/>
      <c r="H858" s="41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</row>
    <row r="859">
      <c r="A859" s="41"/>
      <c r="B859" s="41"/>
      <c r="C859" s="41"/>
      <c r="D859" s="41"/>
      <c r="E859" s="41"/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</row>
    <row r="860">
      <c r="A860" s="41"/>
      <c r="B860" s="41"/>
      <c r="C860" s="41"/>
      <c r="D860" s="41"/>
      <c r="E860" s="41"/>
      <c r="F860" s="41"/>
      <c r="G860" s="41"/>
      <c r="H860" s="41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</row>
    <row r="861">
      <c r="A861" s="41"/>
      <c r="B861" s="41"/>
      <c r="C861" s="41"/>
      <c r="D861" s="41"/>
      <c r="E861" s="41"/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</row>
    <row r="862">
      <c r="A862" s="41"/>
      <c r="B862" s="41"/>
      <c r="C862" s="41"/>
      <c r="D862" s="41"/>
      <c r="E862" s="41"/>
      <c r="F862" s="41"/>
      <c r="G862" s="41"/>
      <c r="H862" s="41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</row>
    <row r="863">
      <c r="A863" s="41"/>
      <c r="B863" s="41"/>
      <c r="C863" s="41"/>
      <c r="D863" s="41"/>
      <c r="E863" s="41"/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</row>
    <row r="864">
      <c r="A864" s="41"/>
      <c r="B864" s="41"/>
      <c r="C864" s="41"/>
      <c r="D864" s="41"/>
      <c r="E864" s="41"/>
      <c r="F864" s="41"/>
      <c r="G864" s="41"/>
      <c r="H864" s="41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</row>
    <row r="865">
      <c r="A865" s="41"/>
      <c r="B865" s="41"/>
      <c r="C865" s="41"/>
      <c r="D865" s="41"/>
      <c r="E865" s="41"/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</row>
    <row r="866">
      <c r="A866" s="41"/>
      <c r="B866" s="41"/>
      <c r="C866" s="41"/>
      <c r="D866" s="41"/>
      <c r="E866" s="41"/>
      <c r="F866" s="41"/>
      <c r="G866" s="41"/>
      <c r="H866" s="41"/>
      <c r="I866" s="41"/>
      <c r="J866" s="41"/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</row>
    <row r="867">
      <c r="A867" s="41"/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</row>
    <row r="868">
      <c r="A868" s="41"/>
      <c r="B868" s="41"/>
      <c r="C868" s="41"/>
      <c r="D868" s="41"/>
      <c r="E868" s="41"/>
      <c r="F868" s="41"/>
      <c r="G868" s="41"/>
      <c r="H868" s="41"/>
      <c r="I868" s="41"/>
      <c r="J868" s="41"/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</row>
    <row r="869">
      <c r="A869" s="41"/>
      <c r="B869" s="41"/>
      <c r="C869" s="41"/>
      <c r="D869" s="41"/>
      <c r="E869" s="41"/>
      <c r="F869" s="41"/>
      <c r="G869" s="41"/>
      <c r="H869" s="41"/>
      <c r="I869" s="41"/>
      <c r="J869" s="4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</row>
    <row r="870">
      <c r="A870" s="41"/>
      <c r="B870" s="41"/>
      <c r="C870" s="41"/>
      <c r="D870" s="41"/>
      <c r="E870" s="41"/>
      <c r="F870" s="41"/>
      <c r="G870" s="41"/>
      <c r="H870" s="41"/>
      <c r="I870" s="41"/>
      <c r="J870" s="41"/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</row>
    <row r="871">
      <c r="A871" s="41"/>
      <c r="B871" s="41"/>
      <c r="C871" s="41"/>
      <c r="D871" s="41"/>
      <c r="E871" s="41"/>
      <c r="F871" s="41"/>
      <c r="G871" s="41"/>
      <c r="H871" s="41"/>
      <c r="I871" s="41"/>
      <c r="J871" s="4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</row>
    <row r="872">
      <c r="A872" s="41"/>
      <c r="B872" s="41"/>
      <c r="C872" s="41"/>
      <c r="D872" s="41"/>
      <c r="E872" s="41"/>
      <c r="F872" s="41"/>
      <c r="G872" s="41"/>
      <c r="H872" s="41"/>
      <c r="I872" s="41"/>
      <c r="J872" s="41"/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</row>
    <row r="873">
      <c r="A873" s="41"/>
      <c r="B873" s="41"/>
      <c r="C873" s="41"/>
      <c r="D873" s="41"/>
      <c r="E873" s="41"/>
      <c r="F873" s="41"/>
      <c r="G873" s="41"/>
      <c r="H873" s="41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</row>
    <row r="874">
      <c r="A874" s="41"/>
      <c r="B874" s="41"/>
      <c r="C874" s="41"/>
      <c r="D874" s="41"/>
      <c r="E874" s="41"/>
      <c r="F874" s="41"/>
      <c r="G874" s="41"/>
      <c r="H874" s="41"/>
      <c r="I874" s="41"/>
      <c r="J874" s="41"/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</row>
    <row r="875">
      <c r="A875" s="41"/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</row>
    <row r="876">
      <c r="A876" s="41"/>
      <c r="B876" s="41"/>
      <c r="C876" s="41"/>
      <c r="D876" s="41"/>
      <c r="E876" s="41"/>
      <c r="F876" s="41"/>
      <c r="G876" s="41"/>
      <c r="H876" s="41"/>
      <c r="I876" s="41"/>
      <c r="J876" s="41"/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</row>
    <row r="877">
      <c r="A877" s="41"/>
      <c r="B877" s="41"/>
      <c r="C877" s="41"/>
      <c r="D877" s="41"/>
      <c r="E877" s="41"/>
      <c r="F877" s="41"/>
      <c r="G877" s="41"/>
      <c r="H877" s="41"/>
      <c r="I877" s="41"/>
      <c r="J877" s="4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</row>
    <row r="878">
      <c r="A878" s="41"/>
      <c r="B878" s="41"/>
      <c r="C878" s="41"/>
      <c r="D878" s="41"/>
      <c r="E878" s="41"/>
      <c r="F878" s="41"/>
      <c r="G878" s="41"/>
      <c r="H878" s="41"/>
      <c r="I878" s="41"/>
      <c r="J878" s="41"/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</row>
    <row r="879">
      <c r="A879" s="41"/>
      <c r="B879" s="41"/>
      <c r="C879" s="41"/>
      <c r="D879" s="41"/>
      <c r="E879" s="41"/>
      <c r="F879" s="41"/>
      <c r="G879" s="41"/>
      <c r="H879" s="41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</row>
    <row r="880">
      <c r="A880" s="41"/>
      <c r="B880" s="41"/>
      <c r="C880" s="41"/>
      <c r="D880" s="41"/>
      <c r="E880" s="41"/>
      <c r="F880" s="41"/>
      <c r="G880" s="41"/>
      <c r="H880" s="41"/>
      <c r="I880" s="41"/>
      <c r="J880" s="41"/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</row>
    <row r="881">
      <c r="A881" s="41"/>
      <c r="B881" s="41"/>
      <c r="C881" s="41"/>
      <c r="D881" s="41"/>
      <c r="E881" s="41"/>
      <c r="F881" s="41"/>
      <c r="G881" s="41"/>
      <c r="H881" s="41"/>
      <c r="I881" s="41"/>
      <c r="J881" s="4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</row>
    <row r="882">
      <c r="A882" s="41"/>
      <c r="B882" s="41"/>
      <c r="C882" s="41"/>
      <c r="D882" s="41"/>
      <c r="E882" s="41"/>
      <c r="F882" s="41"/>
      <c r="G882" s="41"/>
      <c r="H882" s="41"/>
      <c r="I882" s="41"/>
      <c r="J882" s="41"/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</row>
    <row r="883">
      <c r="A883" s="41"/>
      <c r="B883" s="41"/>
      <c r="C883" s="41"/>
      <c r="D883" s="41"/>
      <c r="E883" s="41"/>
      <c r="F883" s="41"/>
      <c r="G883" s="41"/>
      <c r="H883" s="41"/>
      <c r="I883" s="41"/>
      <c r="J883" s="41"/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</row>
    <row r="884">
      <c r="A884" s="41"/>
      <c r="B884" s="41"/>
      <c r="C884" s="41"/>
      <c r="D884" s="41"/>
      <c r="E884" s="41"/>
      <c r="F884" s="41"/>
      <c r="G884" s="41"/>
      <c r="H884" s="41"/>
      <c r="I884" s="41"/>
      <c r="J884" s="41"/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</row>
    <row r="885">
      <c r="A885" s="41"/>
      <c r="B885" s="41"/>
      <c r="C885" s="41"/>
      <c r="D885" s="41"/>
      <c r="E885" s="41"/>
      <c r="F885" s="41"/>
      <c r="G885" s="41"/>
      <c r="H885" s="41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</row>
    <row r="886">
      <c r="A886" s="41"/>
      <c r="B886" s="41"/>
      <c r="C886" s="41"/>
      <c r="D886" s="41"/>
      <c r="E886" s="41"/>
      <c r="F886" s="41"/>
      <c r="G886" s="41"/>
      <c r="H886" s="41"/>
      <c r="I886" s="41"/>
      <c r="J886" s="41"/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</row>
    <row r="887">
      <c r="A887" s="41"/>
      <c r="B887" s="41"/>
      <c r="C887" s="41"/>
      <c r="D887" s="41"/>
      <c r="E887" s="41"/>
      <c r="F887" s="41"/>
      <c r="G887" s="41"/>
      <c r="H887" s="41"/>
      <c r="I887" s="41"/>
      <c r="J887" s="41"/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</row>
    <row r="888">
      <c r="A888" s="41"/>
      <c r="B888" s="41"/>
      <c r="C888" s="41"/>
      <c r="D888" s="41"/>
      <c r="E888" s="41"/>
      <c r="F888" s="41"/>
      <c r="G888" s="41"/>
      <c r="H888" s="41"/>
      <c r="I888" s="41"/>
      <c r="J888" s="41"/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</row>
    <row r="889">
      <c r="A889" s="41"/>
      <c r="B889" s="41"/>
      <c r="C889" s="41"/>
      <c r="D889" s="41"/>
      <c r="E889" s="41"/>
      <c r="F889" s="41"/>
      <c r="G889" s="41"/>
      <c r="H889" s="41"/>
      <c r="I889" s="41"/>
      <c r="J889" s="41"/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</row>
    <row r="890">
      <c r="A890" s="41"/>
      <c r="B890" s="41"/>
      <c r="C890" s="41"/>
      <c r="D890" s="41"/>
      <c r="E890" s="41"/>
      <c r="F890" s="41"/>
      <c r="G890" s="41"/>
      <c r="H890" s="41"/>
      <c r="I890" s="41"/>
      <c r="J890" s="41"/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</row>
    <row r="891">
      <c r="A891" s="41"/>
      <c r="B891" s="41"/>
      <c r="C891" s="41"/>
      <c r="D891" s="41"/>
      <c r="E891" s="41"/>
      <c r="F891" s="41"/>
      <c r="G891" s="41"/>
      <c r="H891" s="41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</row>
    <row r="892">
      <c r="A892" s="41"/>
      <c r="B892" s="41"/>
      <c r="C892" s="41"/>
      <c r="D892" s="41"/>
      <c r="E892" s="41"/>
      <c r="F892" s="41"/>
      <c r="G892" s="41"/>
      <c r="H892" s="41"/>
      <c r="I892" s="41"/>
      <c r="J892" s="41"/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</row>
    <row r="893">
      <c r="A893" s="41"/>
      <c r="B893" s="41"/>
      <c r="C893" s="41"/>
      <c r="D893" s="41"/>
      <c r="E893" s="41"/>
      <c r="F893" s="41"/>
      <c r="G893" s="41"/>
      <c r="H893" s="41"/>
      <c r="I893" s="41"/>
      <c r="J893" s="41"/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</row>
    <row r="894">
      <c r="A894" s="41"/>
      <c r="B894" s="41"/>
      <c r="C894" s="41"/>
      <c r="D894" s="41"/>
      <c r="E894" s="41"/>
      <c r="F894" s="41"/>
      <c r="G894" s="41"/>
      <c r="H894" s="41"/>
      <c r="I894" s="41"/>
      <c r="J894" s="41"/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</row>
    <row r="895">
      <c r="A895" s="41"/>
      <c r="B895" s="41"/>
      <c r="C895" s="41"/>
      <c r="D895" s="41"/>
      <c r="E895" s="41"/>
      <c r="F895" s="41"/>
      <c r="G895" s="41"/>
      <c r="H895" s="41"/>
      <c r="I895" s="41"/>
      <c r="J895" s="41"/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</row>
    <row r="896">
      <c r="A896" s="41"/>
      <c r="B896" s="41"/>
      <c r="C896" s="41"/>
      <c r="D896" s="41"/>
      <c r="E896" s="41"/>
      <c r="F896" s="41"/>
      <c r="G896" s="41"/>
      <c r="H896" s="41"/>
      <c r="I896" s="41"/>
      <c r="J896" s="41"/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</row>
    <row r="897">
      <c r="A897" s="41"/>
      <c r="B897" s="41"/>
      <c r="C897" s="41"/>
      <c r="D897" s="41"/>
      <c r="E897" s="41"/>
      <c r="F897" s="41"/>
      <c r="G897" s="41"/>
      <c r="H897" s="41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</row>
    <row r="898">
      <c r="A898" s="41"/>
      <c r="B898" s="41"/>
      <c r="C898" s="41"/>
      <c r="D898" s="41"/>
      <c r="E898" s="41"/>
      <c r="F898" s="41"/>
      <c r="G898" s="41"/>
      <c r="H898" s="41"/>
      <c r="I898" s="41"/>
      <c r="J898" s="41"/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</row>
    <row r="899">
      <c r="A899" s="41"/>
      <c r="B899" s="41"/>
      <c r="C899" s="41"/>
      <c r="D899" s="41"/>
      <c r="E899" s="41"/>
      <c r="F899" s="41"/>
      <c r="G899" s="41"/>
      <c r="H899" s="41"/>
      <c r="I899" s="41"/>
      <c r="J899" s="41"/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</row>
    <row r="900">
      <c r="A900" s="41"/>
      <c r="B900" s="41"/>
      <c r="C900" s="41"/>
      <c r="D900" s="41"/>
      <c r="E900" s="41"/>
      <c r="F900" s="41"/>
      <c r="G900" s="41"/>
      <c r="H900" s="41"/>
      <c r="I900" s="41"/>
      <c r="J900" s="41"/>
      <c r="K900" s="41"/>
      <c r="L900" s="41"/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</row>
    <row r="901">
      <c r="A901" s="41"/>
      <c r="B901" s="41"/>
      <c r="C901" s="41"/>
      <c r="D901" s="41"/>
      <c r="E901" s="41"/>
      <c r="F901" s="41"/>
      <c r="G901" s="41"/>
      <c r="H901" s="41"/>
      <c r="I901" s="41"/>
      <c r="J901" s="41"/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</row>
    <row r="902">
      <c r="A902" s="41"/>
      <c r="B902" s="41"/>
      <c r="C902" s="41"/>
      <c r="D902" s="41"/>
      <c r="E902" s="41"/>
      <c r="F902" s="41"/>
      <c r="G902" s="41"/>
      <c r="H902" s="41"/>
      <c r="I902" s="41"/>
      <c r="J902" s="41"/>
      <c r="K902" s="41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</row>
    <row r="903">
      <c r="A903" s="41"/>
      <c r="B903" s="41"/>
      <c r="C903" s="41"/>
      <c r="D903" s="41"/>
      <c r="E903" s="41"/>
      <c r="F903" s="41"/>
      <c r="G903" s="41"/>
      <c r="H903" s="41"/>
      <c r="I903" s="41"/>
      <c r="J903" s="4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</row>
    <row r="904">
      <c r="A904" s="41"/>
      <c r="B904" s="41"/>
      <c r="C904" s="41"/>
      <c r="D904" s="41"/>
      <c r="E904" s="41"/>
      <c r="F904" s="41"/>
      <c r="G904" s="41"/>
      <c r="H904" s="41"/>
      <c r="I904" s="41"/>
      <c r="J904" s="41"/>
      <c r="K904" s="41"/>
      <c r="L904" s="41"/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</row>
    <row r="905">
      <c r="A905" s="41"/>
      <c r="B905" s="41"/>
      <c r="C905" s="41"/>
      <c r="D905" s="41"/>
      <c r="E905" s="41"/>
      <c r="F905" s="41"/>
      <c r="G905" s="41"/>
      <c r="H905" s="41"/>
      <c r="I905" s="41"/>
      <c r="J905" s="41"/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</row>
    <row r="906">
      <c r="A906" s="41"/>
      <c r="B906" s="41"/>
      <c r="C906" s="41"/>
      <c r="D906" s="41"/>
      <c r="E906" s="41"/>
      <c r="F906" s="41"/>
      <c r="G906" s="41"/>
      <c r="H906" s="41"/>
      <c r="I906" s="41"/>
      <c r="J906" s="41"/>
      <c r="K906" s="41"/>
      <c r="L906" s="41"/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</row>
    <row r="907">
      <c r="A907" s="41"/>
      <c r="B907" s="41"/>
      <c r="C907" s="41"/>
      <c r="D907" s="41"/>
      <c r="E907" s="41"/>
      <c r="F907" s="41"/>
      <c r="G907" s="41"/>
      <c r="H907" s="41"/>
      <c r="I907" s="41"/>
      <c r="J907" s="41"/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</row>
    <row r="908">
      <c r="A908" s="41"/>
      <c r="B908" s="41"/>
      <c r="C908" s="41"/>
      <c r="D908" s="41"/>
      <c r="E908" s="41"/>
      <c r="F908" s="41"/>
      <c r="G908" s="41"/>
      <c r="H908" s="41"/>
      <c r="I908" s="41"/>
      <c r="J908" s="41"/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</row>
    <row r="909">
      <c r="A909" s="41"/>
      <c r="B909" s="41"/>
      <c r="C909" s="41"/>
      <c r="D909" s="41"/>
      <c r="E909" s="41"/>
      <c r="F909" s="41"/>
      <c r="G909" s="41"/>
      <c r="H909" s="41"/>
      <c r="I909" s="41"/>
      <c r="J909" s="4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</row>
    <row r="910">
      <c r="A910" s="41"/>
      <c r="B910" s="41"/>
      <c r="C910" s="41"/>
      <c r="D910" s="41"/>
      <c r="E910" s="41"/>
      <c r="F910" s="41"/>
      <c r="G910" s="41"/>
      <c r="H910" s="41"/>
      <c r="I910" s="41"/>
      <c r="J910" s="41"/>
      <c r="K910" s="41"/>
      <c r="L910" s="41"/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</row>
    <row r="911">
      <c r="A911" s="41"/>
      <c r="B911" s="41"/>
      <c r="C911" s="41"/>
      <c r="D911" s="41"/>
      <c r="E911" s="41"/>
      <c r="F911" s="41"/>
      <c r="G911" s="41"/>
      <c r="H911" s="41"/>
      <c r="I911" s="41"/>
      <c r="J911" s="41"/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</row>
    <row r="912">
      <c r="A912" s="41"/>
      <c r="B912" s="41"/>
      <c r="C912" s="41"/>
      <c r="D912" s="41"/>
      <c r="E912" s="41"/>
      <c r="F912" s="41"/>
      <c r="G912" s="41"/>
      <c r="H912" s="41"/>
      <c r="I912" s="41"/>
      <c r="J912" s="41"/>
      <c r="K912" s="41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</row>
    <row r="913">
      <c r="A913" s="41"/>
      <c r="B913" s="41"/>
      <c r="C913" s="41"/>
      <c r="D913" s="41"/>
      <c r="E913" s="41"/>
      <c r="F913" s="41"/>
      <c r="G913" s="41"/>
      <c r="H913" s="41"/>
      <c r="I913" s="41"/>
      <c r="J913" s="41"/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</row>
    <row r="914">
      <c r="A914" s="41"/>
      <c r="B914" s="41"/>
      <c r="C914" s="41"/>
      <c r="D914" s="41"/>
      <c r="E914" s="41"/>
      <c r="F914" s="41"/>
      <c r="G914" s="41"/>
      <c r="H914" s="41"/>
      <c r="I914" s="41"/>
      <c r="J914" s="41"/>
      <c r="K914" s="41"/>
      <c r="L914" s="41"/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</row>
    <row r="915">
      <c r="A915" s="41"/>
      <c r="B915" s="41"/>
      <c r="C915" s="41"/>
      <c r="D915" s="41"/>
      <c r="E915" s="41"/>
      <c r="F915" s="41"/>
      <c r="G915" s="41"/>
      <c r="H915" s="41"/>
      <c r="I915" s="41"/>
      <c r="J915" s="4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</row>
    <row r="916">
      <c r="A916" s="41"/>
      <c r="B916" s="41"/>
      <c r="C916" s="41"/>
      <c r="D916" s="41"/>
      <c r="E916" s="41"/>
      <c r="F916" s="41"/>
      <c r="G916" s="41"/>
      <c r="H916" s="41"/>
      <c r="I916" s="41"/>
      <c r="J916" s="41"/>
      <c r="K916" s="41"/>
      <c r="L916" s="41"/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</row>
    <row r="917">
      <c r="A917" s="41"/>
      <c r="B917" s="41"/>
      <c r="C917" s="41"/>
      <c r="D917" s="41"/>
      <c r="E917" s="41"/>
      <c r="F917" s="41"/>
      <c r="G917" s="41"/>
      <c r="H917" s="41"/>
      <c r="I917" s="41"/>
      <c r="J917" s="41"/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</row>
    <row r="918">
      <c r="A918" s="41"/>
      <c r="B918" s="41"/>
      <c r="C918" s="41"/>
      <c r="D918" s="41"/>
      <c r="E918" s="41"/>
      <c r="F918" s="41"/>
      <c r="G918" s="41"/>
      <c r="H918" s="41"/>
      <c r="I918" s="41"/>
      <c r="J918" s="41"/>
      <c r="K918" s="41"/>
      <c r="L918" s="41"/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</row>
    <row r="919">
      <c r="A919" s="41"/>
      <c r="B919" s="41"/>
      <c r="C919" s="41"/>
      <c r="D919" s="41"/>
      <c r="E919" s="41"/>
      <c r="F919" s="41"/>
      <c r="G919" s="41"/>
      <c r="H919" s="41"/>
      <c r="I919" s="41"/>
      <c r="J919" s="41"/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</row>
    <row r="920">
      <c r="A920" s="41"/>
      <c r="B920" s="41"/>
      <c r="C920" s="41"/>
      <c r="D920" s="41"/>
      <c r="E920" s="41"/>
      <c r="F920" s="41"/>
      <c r="G920" s="41"/>
      <c r="H920" s="41"/>
      <c r="I920" s="41"/>
      <c r="J920" s="41"/>
      <c r="K920" s="41"/>
      <c r="L920" s="41"/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</row>
    <row r="921">
      <c r="A921" s="41"/>
      <c r="B921" s="41"/>
      <c r="C921" s="41"/>
      <c r="D921" s="41"/>
      <c r="E921" s="41"/>
      <c r="F921" s="41"/>
      <c r="G921" s="41"/>
      <c r="H921" s="41"/>
      <c r="I921" s="41"/>
      <c r="J921" s="4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</row>
    <row r="922">
      <c r="A922" s="41"/>
      <c r="B922" s="41"/>
      <c r="C922" s="41"/>
      <c r="D922" s="41"/>
      <c r="E922" s="41"/>
      <c r="F922" s="41"/>
      <c r="G922" s="41"/>
      <c r="H922" s="41"/>
      <c r="I922" s="41"/>
      <c r="J922" s="41"/>
      <c r="K922" s="41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</row>
    <row r="923">
      <c r="A923" s="41"/>
      <c r="B923" s="41"/>
      <c r="C923" s="41"/>
      <c r="D923" s="41"/>
      <c r="E923" s="41"/>
      <c r="F923" s="41"/>
      <c r="G923" s="41"/>
      <c r="H923" s="41"/>
      <c r="I923" s="41"/>
      <c r="J923" s="41"/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</row>
    <row r="924">
      <c r="A924" s="41"/>
      <c r="B924" s="41"/>
      <c r="C924" s="41"/>
      <c r="D924" s="41"/>
      <c r="E924" s="41"/>
      <c r="F924" s="41"/>
      <c r="G924" s="41"/>
      <c r="H924" s="41"/>
      <c r="I924" s="41"/>
      <c r="J924" s="41"/>
      <c r="K924" s="41"/>
      <c r="L924" s="41"/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</row>
    <row r="925">
      <c r="A925" s="41"/>
      <c r="B925" s="41"/>
      <c r="C925" s="41"/>
      <c r="D925" s="41"/>
      <c r="E925" s="41"/>
      <c r="F925" s="41"/>
      <c r="G925" s="41"/>
      <c r="H925" s="41"/>
      <c r="I925" s="41"/>
      <c r="J925" s="41"/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</row>
    <row r="926">
      <c r="A926" s="41"/>
      <c r="B926" s="41"/>
      <c r="C926" s="41"/>
      <c r="D926" s="41"/>
      <c r="E926" s="41"/>
      <c r="F926" s="41"/>
      <c r="G926" s="41"/>
      <c r="H926" s="41"/>
      <c r="I926" s="41"/>
      <c r="J926" s="41"/>
      <c r="K926" s="41"/>
      <c r="L926" s="41"/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</row>
    <row r="927">
      <c r="A927" s="41"/>
      <c r="B927" s="41"/>
      <c r="C927" s="41"/>
      <c r="D927" s="41"/>
      <c r="E927" s="41"/>
      <c r="F927" s="41"/>
      <c r="G927" s="41"/>
      <c r="H927" s="41"/>
      <c r="I927" s="41"/>
      <c r="J927" s="41"/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</row>
    <row r="928">
      <c r="A928" s="41"/>
      <c r="B928" s="41"/>
      <c r="C928" s="41"/>
      <c r="D928" s="41"/>
      <c r="E928" s="41"/>
      <c r="F928" s="41"/>
      <c r="G928" s="41"/>
      <c r="H928" s="41"/>
      <c r="I928" s="41"/>
      <c r="J928" s="41"/>
      <c r="K928" s="41"/>
      <c r="L928" s="41"/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</row>
    <row r="929">
      <c r="A929" s="41"/>
      <c r="B929" s="41"/>
      <c r="C929" s="41"/>
      <c r="D929" s="41"/>
      <c r="E929" s="41"/>
      <c r="F929" s="41"/>
      <c r="G929" s="41"/>
      <c r="H929" s="41"/>
      <c r="I929" s="41"/>
      <c r="J929" s="41"/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</row>
    <row r="930">
      <c r="A930" s="41"/>
      <c r="B930" s="41"/>
      <c r="C930" s="41"/>
      <c r="D930" s="41"/>
      <c r="E930" s="41"/>
      <c r="F930" s="41"/>
      <c r="G930" s="41"/>
      <c r="H930" s="41"/>
      <c r="I930" s="41"/>
      <c r="J930" s="41"/>
      <c r="K930" s="41"/>
      <c r="L930" s="41"/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</row>
    <row r="931">
      <c r="A931" s="41"/>
      <c r="B931" s="41"/>
      <c r="C931" s="41"/>
      <c r="D931" s="41"/>
      <c r="E931" s="41"/>
      <c r="F931" s="41"/>
      <c r="G931" s="41"/>
      <c r="H931" s="41"/>
      <c r="I931" s="41"/>
      <c r="J931" s="41"/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</row>
    <row r="932">
      <c r="A932" s="41"/>
      <c r="B932" s="41"/>
      <c r="C932" s="41"/>
      <c r="D932" s="41"/>
      <c r="E932" s="41"/>
      <c r="F932" s="41"/>
      <c r="G932" s="41"/>
      <c r="H932" s="41"/>
      <c r="I932" s="41"/>
      <c r="J932" s="41"/>
      <c r="K932" s="41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</row>
    <row r="933">
      <c r="A933" s="41"/>
      <c r="B933" s="41"/>
      <c r="C933" s="41"/>
      <c r="D933" s="41"/>
      <c r="E933" s="41"/>
      <c r="F933" s="41"/>
      <c r="G933" s="41"/>
      <c r="H933" s="41"/>
      <c r="I933" s="41"/>
      <c r="J933" s="41"/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</row>
    <row r="934">
      <c r="A934" s="41"/>
      <c r="B934" s="41"/>
      <c r="C934" s="41"/>
      <c r="D934" s="41"/>
      <c r="E934" s="41"/>
      <c r="F934" s="41"/>
      <c r="G934" s="41"/>
      <c r="H934" s="41"/>
      <c r="I934" s="41"/>
      <c r="J934" s="41"/>
      <c r="K934" s="41"/>
      <c r="L934" s="41"/>
      <c r="M934" s="41"/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</row>
    <row r="935">
      <c r="A935" s="41"/>
      <c r="B935" s="41"/>
      <c r="C935" s="41"/>
      <c r="D935" s="41"/>
      <c r="E935" s="41"/>
      <c r="F935" s="41"/>
      <c r="G935" s="41"/>
      <c r="H935" s="41"/>
      <c r="I935" s="41"/>
      <c r="J935" s="41"/>
      <c r="K935" s="41"/>
      <c r="L935" s="41"/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</row>
    <row r="936">
      <c r="A936" s="41"/>
      <c r="B936" s="41"/>
      <c r="C936" s="41"/>
      <c r="D936" s="41"/>
      <c r="E936" s="41"/>
      <c r="F936" s="41"/>
      <c r="G936" s="41"/>
      <c r="H936" s="41"/>
      <c r="I936" s="41"/>
      <c r="J936" s="41"/>
      <c r="K936" s="41"/>
      <c r="L936" s="41"/>
      <c r="M936" s="41"/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</row>
    <row r="937">
      <c r="A937" s="41"/>
      <c r="B937" s="41"/>
      <c r="C937" s="41"/>
      <c r="D937" s="41"/>
      <c r="E937" s="41"/>
      <c r="F937" s="41"/>
      <c r="G937" s="41"/>
      <c r="H937" s="41"/>
      <c r="I937" s="41"/>
      <c r="J937" s="41"/>
      <c r="K937" s="41"/>
      <c r="L937" s="41"/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</row>
    <row r="938">
      <c r="A938" s="41"/>
      <c r="B938" s="41"/>
      <c r="C938" s="41"/>
      <c r="D938" s="41"/>
      <c r="E938" s="41"/>
      <c r="F938" s="41"/>
      <c r="G938" s="41"/>
      <c r="H938" s="41"/>
      <c r="I938" s="41"/>
      <c r="J938" s="41"/>
      <c r="K938" s="41"/>
      <c r="L938" s="41"/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</row>
    <row r="939">
      <c r="A939" s="41"/>
      <c r="B939" s="41"/>
      <c r="C939" s="41"/>
      <c r="D939" s="41"/>
      <c r="E939" s="41"/>
      <c r="F939" s="41"/>
      <c r="G939" s="41"/>
      <c r="H939" s="41"/>
      <c r="I939" s="41"/>
      <c r="J939" s="41"/>
      <c r="K939" s="41"/>
      <c r="L939" s="41"/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</row>
    <row r="940">
      <c r="A940" s="41"/>
      <c r="B940" s="41"/>
      <c r="C940" s="41"/>
      <c r="D940" s="41"/>
      <c r="E940" s="41"/>
      <c r="F940" s="41"/>
      <c r="G940" s="41"/>
      <c r="H940" s="41"/>
      <c r="I940" s="41"/>
      <c r="J940" s="41"/>
      <c r="K940" s="41"/>
      <c r="L940" s="41"/>
      <c r="M940" s="41"/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</row>
    <row r="941">
      <c r="A941" s="41"/>
      <c r="B941" s="41"/>
      <c r="C941" s="41"/>
      <c r="D941" s="41"/>
      <c r="E941" s="41"/>
      <c r="F941" s="41"/>
      <c r="G941" s="41"/>
      <c r="H941" s="41"/>
      <c r="I941" s="41"/>
      <c r="J941" s="41"/>
      <c r="K941" s="41"/>
      <c r="L941" s="41"/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</row>
    <row r="942">
      <c r="A942" s="41"/>
      <c r="B942" s="41"/>
      <c r="C942" s="41"/>
      <c r="D942" s="41"/>
      <c r="E942" s="41"/>
      <c r="F942" s="41"/>
      <c r="G942" s="41"/>
      <c r="H942" s="41"/>
      <c r="I942" s="41"/>
      <c r="J942" s="41"/>
      <c r="K942" s="41"/>
      <c r="L942" s="41"/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</row>
    <row r="943">
      <c r="A943" s="41"/>
      <c r="B943" s="41"/>
      <c r="C943" s="41"/>
      <c r="D943" s="41"/>
      <c r="E943" s="41"/>
      <c r="F943" s="41"/>
      <c r="G943" s="41"/>
      <c r="H943" s="41"/>
      <c r="I943" s="41"/>
      <c r="J943" s="41"/>
      <c r="K943" s="41"/>
      <c r="L943" s="41"/>
      <c r="M943" s="41"/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</row>
    <row r="944">
      <c r="A944" s="41"/>
      <c r="B944" s="41"/>
      <c r="C944" s="41"/>
      <c r="D944" s="41"/>
      <c r="E944" s="41"/>
      <c r="F944" s="41"/>
      <c r="G944" s="41"/>
      <c r="H944" s="41"/>
      <c r="I944" s="41"/>
      <c r="J944" s="41"/>
      <c r="K944" s="41"/>
      <c r="L944" s="41"/>
      <c r="M944" s="41"/>
      <c r="N944" s="41"/>
      <c r="O944" s="41"/>
      <c r="P944" s="41"/>
      <c r="Q944" s="41"/>
      <c r="R944" s="41"/>
      <c r="S944" s="41"/>
      <c r="T944" s="41"/>
      <c r="U944" s="41"/>
      <c r="V944" s="41"/>
      <c r="W944" s="41"/>
      <c r="X944" s="41"/>
      <c r="Y944" s="41"/>
      <c r="Z944" s="41"/>
    </row>
    <row r="945">
      <c r="A945" s="41"/>
      <c r="B945" s="41"/>
      <c r="C945" s="41"/>
      <c r="D945" s="41"/>
      <c r="E945" s="41"/>
      <c r="F945" s="41"/>
      <c r="G945" s="41"/>
      <c r="H945" s="41"/>
      <c r="I945" s="41"/>
      <c r="J945" s="41"/>
      <c r="K945" s="41"/>
      <c r="L945" s="41"/>
      <c r="M945" s="41"/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</row>
    <row r="946">
      <c r="A946" s="41"/>
      <c r="B946" s="41"/>
      <c r="C946" s="41"/>
      <c r="D946" s="41"/>
      <c r="E946" s="41"/>
      <c r="F946" s="41"/>
      <c r="G946" s="41"/>
      <c r="H946" s="41"/>
      <c r="I946" s="41"/>
      <c r="J946" s="41"/>
      <c r="K946" s="41"/>
      <c r="L946" s="41"/>
      <c r="M946" s="41"/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</row>
    <row r="947">
      <c r="A947" s="41"/>
      <c r="B947" s="41"/>
      <c r="C947" s="41"/>
      <c r="D947" s="41"/>
      <c r="E947" s="41"/>
      <c r="F947" s="41"/>
      <c r="G947" s="41"/>
      <c r="H947" s="41"/>
      <c r="I947" s="41"/>
      <c r="J947" s="41"/>
      <c r="K947" s="41"/>
      <c r="L947" s="41"/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</row>
    <row r="948">
      <c r="A948" s="41"/>
      <c r="B948" s="41"/>
      <c r="C948" s="41"/>
      <c r="D948" s="41"/>
      <c r="E948" s="41"/>
      <c r="F948" s="41"/>
      <c r="G948" s="41"/>
      <c r="H948" s="41"/>
      <c r="I948" s="41"/>
      <c r="J948" s="41"/>
      <c r="K948" s="41"/>
      <c r="L948" s="41"/>
      <c r="M948" s="41"/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</row>
    <row r="949">
      <c r="A949" s="41"/>
      <c r="B949" s="41"/>
      <c r="C949" s="41"/>
      <c r="D949" s="41"/>
      <c r="E949" s="41"/>
      <c r="F949" s="41"/>
      <c r="G949" s="41"/>
      <c r="H949" s="41"/>
      <c r="I949" s="41"/>
      <c r="J949" s="41"/>
      <c r="K949" s="41"/>
      <c r="L949" s="41"/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</row>
    <row r="950">
      <c r="A950" s="41"/>
      <c r="B950" s="41"/>
      <c r="C950" s="41"/>
      <c r="D950" s="41"/>
      <c r="E950" s="41"/>
      <c r="F950" s="41"/>
      <c r="G950" s="41"/>
      <c r="H950" s="41"/>
      <c r="I950" s="41"/>
      <c r="J950" s="41"/>
      <c r="K950" s="41"/>
      <c r="L950" s="41"/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</row>
    <row r="951">
      <c r="A951" s="41"/>
      <c r="B951" s="41"/>
      <c r="C951" s="41"/>
      <c r="D951" s="41"/>
      <c r="E951" s="41"/>
      <c r="F951" s="41"/>
      <c r="G951" s="41"/>
      <c r="H951" s="41"/>
      <c r="I951" s="41"/>
      <c r="J951" s="41"/>
      <c r="K951" s="41"/>
      <c r="L951" s="41"/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</row>
    <row r="952">
      <c r="A952" s="41"/>
      <c r="B952" s="41"/>
      <c r="C952" s="41"/>
      <c r="D952" s="41"/>
      <c r="E952" s="41"/>
      <c r="F952" s="41"/>
      <c r="G952" s="41"/>
      <c r="H952" s="41"/>
      <c r="I952" s="41"/>
      <c r="J952" s="41"/>
      <c r="K952" s="41"/>
      <c r="L952" s="41"/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</row>
    <row r="953">
      <c r="A953" s="41"/>
      <c r="B953" s="41"/>
      <c r="C953" s="41"/>
      <c r="D953" s="41"/>
      <c r="E953" s="41"/>
      <c r="F953" s="41"/>
      <c r="G953" s="41"/>
      <c r="H953" s="41"/>
      <c r="I953" s="41"/>
      <c r="J953" s="41"/>
      <c r="K953" s="41"/>
      <c r="L953" s="41"/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</row>
    <row r="954">
      <c r="A954" s="41"/>
      <c r="B954" s="41"/>
      <c r="C954" s="41"/>
      <c r="D954" s="41"/>
      <c r="E954" s="41"/>
      <c r="F954" s="41"/>
      <c r="G954" s="41"/>
      <c r="H954" s="41"/>
      <c r="I954" s="41"/>
      <c r="J954" s="41"/>
      <c r="K954" s="41"/>
      <c r="L954" s="41"/>
      <c r="M954" s="41"/>
      <c r="N954" s="41"/>
      <c r="O954" s="41"/>
      <c r="P954" s="41"/>
      <c r="Q954" s="41"/>
      <c r="R954" s="41"/>
      <c r="S954" s="41"/>
      <c r="T954" s="41"/>
      <c r="U954" s="41"/>
      <c r="V954" s="41"/>
      <c r="W954" s="41"/>
      <c r="X954" s="41"/>
      <c r="Y954" s="41"/>
      <c r="Z954" s="41"/>
    </row>
    <row r="955">
      <c r="A955" s="41"/>
      <c r="B955" s="41"/>
      <c r="C955" s="41"/>
      <c r="D955" s="41"/>
      <c r="E955" s="41"/>
      <c r="F955" s="41"/>
      <c r="G955" s="41"/>
      <c r="H955" s="41"/>
      <c r="I955" s="41"/>
      <c r="J955" s="41"/>
      <c r="K955" s="41"/>
      <c r="L955" s="41"/>
      <c r="M955" s="41"/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</row>
    <row r="956">
      <c r="A956" s="41"/>
      <c r="B956" s="41"/>
      <c r="C956" s="41"/>
      <c r="D956" s="41"/>
      <c r="E956" s="41"/>
      <c r="F956" s="41"/>
      <c r="G956" s="41"/>
      <c r="H956" s="41"/>
      <c r="I956" s="41"/>
      <c r="J956" s="41"/>
      <c r="K956" s="41"/>
      <c r="L956" s="41"/>
      <c r="M956" s="41"/>
      <c r="N956" s="41"/>
      <c r="O956" s="41"/>
      <c r="P956" s="41"/>
      <c r="Q956" s="41"/>
      <c r="R956" s="41"/>
      <c r="S956" s="41"/>
      <c r="T956" s="41"/>
      <c r="U956" s="41"/>
      <c r="V956" s="41"/>
      <c r="W956" s="41"/>
      <c r="X956" s="41"/>
      <c r="Y956" s="41"/>
      <c r="Z956" s="41"/>
    </row>
    <row r="957">
      <c r="A957" s="41"/>
      <c r="B957" s="41"/>
      <c r="C957" s="41"/>
      <c r="D957" s="41"/>
      <c r="E957" s="41"/>
      <c r="F957" s="41"/>
      <c r="G957" s="41"/>
      <c r="H957" s="41"/>
      <c r="I957" s="41"/>
      <c r="J957" s="41"/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</row>
    <row r="958">
      <c r="A958" s="41"/>
      <c r="B958" s="41"/>
      <c r="C958" s="41"/>
      <c r="D958" s="41"/>
      <c r="E958" s="41"/>
      <c r="F958" s="41"/>
      <c r="G958" s="41"/>
      <c r="H958" s="41"/>
      <c r="I958" s="41"/>
      <c r="J958" s="41"/>
      <c r="K958" s="41"/>
      <c r="L958" s="41"/>
      <c r="M958" s="41"/>
      <c r="N958" s="41"/>
      <c r="O958" s="41"/>
      <c r="P958" s="41"/>
      <c r="Q958" s="41"/>
      <c r="R958" s="41"/>
      <c r="S958" s="41"/>
      <c r="T958" s="41"/>
      <c r="U958" s="41"/>
      <c r="V958" s="41"/>
      <c r="W958" s="41"/>
      <c r="X958" s="41"/>
      <c r="Y958" s="41"/>
      <c r="Z958" s="41"/>
    </row>
    <row r="959">
      <c r="A959" s="41"/>
      <c r="B959" s="41"/>
      <c r="C959" s="41"/>
      <c r="D959" s="41"/>
      <c r="E959" s="41"/>
      <c r="F959" s="41"/>
      <c r="G959" s="41"/>
      <c r="H959" s="41"/>
      <c r="I959" s="41"/>
      <c r="J959" s="41"/>
      <c r="K959" s="41"/>
      <c r="L959" s="41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41"/>
      <c r="Y959" s="41"/>
      <c r="Z959" s="41"/>
    </row>
    <row r="960">
      <c r="A960" s="41"/>
      <c r="B960" s="41"/>
      <c r="C960" s="41"/>
      <c r="D960" s="41"/>
      <c r="E960" s="41"/>
      <c r="F960" s="41"/>
      <c r="G960" s="41"/>
      <c r="H960" s="41"/>
      <c r="I960" s="41"/>
      <c r="J960" s="41"/>
      <c r="K960" s="41"/>
      <c r="L960" s="41"/>
      <c r="M960" s="41"/>
      <c r="N960" s="41"/>
      <c r="O960" s="41"/>
      <c r="P960" s="41"/>
      <c r="Q960" s="41"/>
      <c r="R960" s="41"/>
      <c r="S960" s="41"/>
      <c r="T960" s="41"/>
      <c r="U960" s="41"/>
      <c r="V960" s="41"/>
      <c r="W960" s="41"/>
      <c r="X960" s="41"/>
      <c r="Y960" s="41"/>
      <c r="Z960" s="41"/>
    </row>
    <row r="961">
      <c r="A961" s="41"/>
      <c r="B961" s="41"/>
      <c r="C961" s="41"/>
      <c r="D961" s="41"/>
      <c r="E961" s="41"/>
      <c r="F961" s="41"/>
      <c r="G961" s="41"/>
      <c r="H961" s="41"/>
      <c r="I961" s="41"/>
      <c r="J961" s="41"/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</row>
    <row r="962">
      <c r="A962" s="41"/>
      <c r="B962" s="41"/>
      <c r="C962" s="41"/>
      <c r="D962" s="41"/>
      <c r="E962" s="41"/>
      <c r="F962" s="41"/>
      <c r="G962" s="41"/>
      <c r="H962" s="41"/>
      <c r="I962" s="41"/>
      <c r="J962" s="41"/>
      <c r="K962" s="41"/>
      <c r="L962" s="41"/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1"/>
    </row>
    <row r="963">
      <c r="A963" s="41"/>
      <c r="B963" s="41"/>
      <c r="C963" s="41"/>
      <c r="D963" s="41"/>
      <c r="E963" s="41"/>
      <c r="F963" s="41"/>
      <c r="G963" s="41"/>
      <c r="H963" s="41"/>
      <c r="I963" s="41"/>
      <c r="J963" s="41"/>
      <c r="K963" s="41"/>
      <c r="L963" s="41"/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</row>
    <row r="964">
      <c r="A964" s="41"/>
      <c r="B964" s="41"/>
      <c r="C964" s="41"/>
      <c r="D964" s="41"/>
      <c r="E964" s="41"/>
      <c r="F964" s="41"/>
      <c r="G964" s="41"/>
      <c r="H964" s="41"/>
      <c r="I964" s="41"/>
      <c r="J964" s="41"/>
      <c r="K964" s="41"/>
      <c r="L964" s="41"/>
      <c r="M964" s="41"/>
      <c r="N964" s="41"/>
      <c r="O964" s="41"/>
      <c r="P964" s="41"/>
      <c r="Q964" s="41"/>
      <c r="R964" s="41"/>
      <c r="S964" s="41"/>
      <c r="T964" s="41"/>
      <c r="U964" s="41"/>
      <c r="V964" s="41"/>
      <c r="W964" s="41"/>
      <c r="X964" s="41"/>
      <c r="Y964" s="41"/>
      <c r="Z964" s="41"/>
    </row>
    <row r="965">
      <c r="A965" s="41"/>
      <c r="B965" s="41"/>
      <c r="C965" s="41"/>
      <c r="D965" s="41"/>
      <c r="E965" s="41"/>
      <c r="F965" s="41"/>
      <c r="G965" s="41"/>
      <c r="H965" s="41"/>
      <c r="I965" s="41"/>
      <c r="J965" s="41"/>
      <c r="K965" s="41"/>
      <c r="L965" s="41"/>
      <c r="M965" s="41"/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</row>
    <row r="966">
      <c r="A966" s="41"/>
      <c r="B966" s="41"/>
      <c r="C966" s="41"/>
      <c r="D966" s="41"/>
      <c r="E966" s="41"/>
      <c r="F966" s="41"/>
      <c r="G966" s="41"/>
      <c r="H966" s="41"/>
      <c r="I966" s="41"/>
      <c r="J966" s="41"/>
      <c r="K966" s="41"/>
      <c r="L966" s="41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41"/>
      <c r="Y966" s="41"/>
      <c r="Z966" s="41"/>
    </row>
    <row r="967">
      <c r="A967" s="41"/>
      <c r="B967" s="41"/>
      <c r="C967" s="41"/>
      <c r="D967" s="41"/>
      <c r="E967" s="41"/>
      <c r="F967" s="41"/>
      <c r="G967" s="41"/>
      <c r="H967" s="41"/>
      <c r="I967" s="41"/>
      <c r="J967" s="41"/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</row>
    <row r="968">
      <c r="A968" s="41"/>
      <c r="B968" s="41"/>
      <c r="C968" s="41"/>
      <c r="D968" s="41"/>
      <c r="E968" s="41"/>
      <c r="F968" s="41"/>
      <c r="G968" s="41"/>
      <c r="H968" s="41"/>
      <c r="I968" s="41"/>
      <c r="J968" s="41"/>
      <c r="K968" s="41"/>
      <c r="L968" s="41"/>
      <c r="M968" s="41"/>
      <c r="N968" s="41"/>
      <c r="O968" s="41"/>
      <c r="P968" s="41"/>
      <c r="Q968" s="41"/>
      <c r="R968" s="41"/>
      <c r="S968" s="41"/>
      <c r="T968" s="41"/>
      <c r="U968" s="41"/>
      <c r="V968" s="41"/>
      <c r="W968" s="41"/>
      <c r="X968" s="41"/>
      <c r="Y968" s="41"/>
      <c r="Z968" s="41"/>
    </row>
    <row r="969">
      <c r="A969" s="41"/>
      <c r="B969" s="41"/>
      <c r="C969" s="41"/>
      <c r="D969" s="41"/>
      <c r="E969" s="41"/>
      <c r="F969" s="41"/>
      <c r="G969" s="41"/>
      <c r="H969" s="41"/>
      <c r="I969" s="41"/>
      <c r="J969" s="41"/>
      <c r="K969" s="41"/>
      <c r="L969" s="41"/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</row>
    <row r="970">
      <c r="A970" s="41"/>
      <c r="B970" s="41"/>
      <c r="C970" s="41"/>
      <c r="D970" s="41"/>
      <c r="E970" s="41"/>
      <c r="F970" s="41"/>
      <c r="G970" s="41"/>
      <c r="H970" s="41"/>
      <c r="I970" s="41"/>
      <c r="J970" s="41"/>
      <c r="K970" s="41"/>
      <c r="L970" s="41"/>
      <c r="M970" s="41"/>
      <c r="N970" s="41"/>
      <c r="O970" s="41"/>
      <c r="P970" s="41"/>
      <c r="Q970" s="41"/>
      <c r="R970" s="41"/>
      <c r="S970" s="41"/>
      <c r="T970" s="41"/>
      <c r="U970" s="41"/>
      <c r="V970" s="41"/>
      <c r="W970" s="41"/>
      <c r="X970" s="41"/>
      <c r="Y970" s="41"/>
      <c r="Z970" s="41"/>
    </row>
    <row r="971">
      <c r="A971" s="41"/>
      <c r="B971" s="41"/>
      <c r="C971" s="41"/>
      <c r="D971" s="41"/>
      <c r="E971" s="41"/>
      <c r="F971" s="41"/>
      <c r="G971" s="41"/>
      <c r="H971" s="41"/>
      <c r="I971" s="41"/>
      <c r="J971" s="41"/>
      <c r="K971" s="41"/>
      <c r="L971" s="41"/>
      <c r="M971" s="41"/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</row>
    <row r="972">
      <c r="A972" s="41"/>
      <c r="B972" s="41"/>
      <c r="C972" s="41"/>
      <c r="D972" s="41"/>
      <c r="E972" s="41"/>
      <c r="F972" s="41"/>
      <c r="G972" s="41"/>
      <c r="H972" s="41"/>
      <c r="I972" s="41"/>
      <c r="J972" s="41"/>
      <c r="K972" s="41"/>
      <c r="L972" s="41"/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1"/>
    </row>
    <row r="973">
      <c r="A973" s="41"/>
      <c r="B973" s="41"/>
      <c r="C973" s="41"/>
      <c r="D973" s="41"/>
      <c r="E973" s="41"/>
      <c r="F973" s="41"/>
      <c r="G973" s="41"/>
      <c r="H973" s="41"/>
      <c r="I973" s="41"/>
      <c r="J973" s="41"/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</row>
    <row r="974">
      <c r="A974" s="41"/>
      <c r="B974" s="41"/>
      <c r="C974" s="41"/>
      <c r="D974" s="41"/>
      <c r="E974" s="41"/>
      <c r="F974" s="41"/>
      <c r="G974" s="41"/>
      <c r="H974" s="41"/>
      <c r="I974" s="41"/>
      <c r="J974" s="41"/>
      <c r="K974" s="41"/>
      <c r="L974" s="41"/>
      <c r="M974" s="41"/>
      <c r="N974" s="41"/>
      <c r="O974" s="41"/>
      <c r="P974" s="41"/>
      <c r="Q974" s="41"/>
      <c r="R974" s="41"/>
      <c r="S974" s="41"/>
      <c r="T974" s="41"/>
      <c r="U974" s="41"/>
      <c r="V974" s="41"/>
      <c r="W974" s="41"/>
      <c r="X974" s="41"/>
      <c r="Y974" s="41"/>
      <c r="Z974" s="41"/>
    </row>
    <row r="975">
      <c r="A975" s="41"/>
      <c r="B975" s="41"/>
      <c r="C975" s="41"/>
      <c r="D975" s="41"/>
      <c r="E975" s="41"/>
      <c r="F975" s="41"/>
      <c r="G975" s="41"/>
      <c r="H975" s="41"/>
      <c r="I975" s="41"/>
      <c r="J975" s="41"/>
      <c r="K975" s="41"/>
      <c r="L975" s="41"/>
      <c r="M975" s="41"/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</row>
    <row r="976">
      <c r="A976" s="41"/>
      <c r="B976" s="41"/>
      <c r="C976" s="41"/>
      <c r="D976" s="41"/>
      <c r="E976" s="41"/>
      <c r="F976" s="41"/>
      <c r="G976" s="41"/>
      <c r="H976" s="41"/>
      <c r="I976" s="41"/>
      <c r="J976" s="41"/>
      <c r="K976" s="41"/>
      <c r="L976" s="41"/>
      <c r="M976" s="41"/>
      <c r="N976" s="41"/>
      <c r="O976" s="41"/>
      <c r="P976" s="41"/>
      <c r="Q976" s="41"/>
      <c r="R976" s="41"/>
      <c r="S976" s="41"/>
      <c r="T976" s="41"/>
      <c r="U976" s="41"/>
      <c r="V976" s="41"/>
      <c r="W976" s="41"/>
      <c r="X976" s="41"/>
      <c r="Y976" s="41"/>
      <c r="Z976" s="41"/>
    </row>
    <row r="977">
      <c r="A977" s="41"/>
      <c r="B977" s="41"/>
      <c r="C977" s="41"/>
      <c r="D977" s="41"/>
      <c r="E977" s="41"/>
      <c r="F977" s="41"/>
      <c r="G977" s="41"/>
      <c r="H977" s="41"/>
      <c r="I977" s="41"/>
      <c r="J977" s="41"/>
      <c r="K977" s="41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1"/>
    </row>
    <row r="978">
      <c r="A978" s="41"/>
      <c r="B978" s="41"/>
      <c r="C978" s="41"/>
      <c r="D978" s="41"/>
      <c r="E978" s="41"/>
      <c r="F978" s="41"/>
      <c r="G978" s="41"/>
      <c r="H978" s="41"/>
      <c r="I978" s="41"/>
      <c r="J978" s="41"/>
      <c r="K978" s="41"/>
      <c r="L978" s="41"/>
      <c r="M978" s="41"/>
      <c r="N978" s="41"/>
      <c r="O978" s="41"/>
      <c r="P978" s="41"/>
      <c r="Q978" s="41"/>
      <c r="R978" s="41"/>
      <c r="S978" s="41"/>
      <c r="T978" s="41"/>
      <c r="U978" s="41"/>
      <c r="V978" s="41"/>
      <c r="W978" s="41"/>
      <c r="X978" s="41"/>
      <c r="Y978" s="41"/>
      <c r="Z978" s="41"/>
    </row>
    <row r="979">
      <c r="A979" s="41"/>
      <c r="B979" s="41"/>
      <c r="C979" s="41"/>
      <c r="D979" s="41"/>
      <c r="E979" s="41"/>
      <c r="F979" s="41"/>
      <c r="G979" s="41"/>
      <c r="H979" s="41"/>
      <c r="I979" s="41"/>
      <c r="J979" s="41"/>
      <c r="K979" s="41"/>
      <c r="L979" s="41"/>
      <c r="M979" s="41"/>
      <c r="N979" s="41"/>
      <c r="O979" s="41"/>
      <c r="P979" s="41"/>
      <c r="Q979" s="41"/>
      <c r="R979" s="41"/>
      <c r="S979" s="41"/>
      <c r="T979" s="41"/>
      <c r="U979" s="41"/>
      <c r="V979" s="41"/>
      <c r="W979" s="41"/>
      <c r="X979" s="41"/>
      <c r="Y979" s="41"/>
      <c r="Z979" s="41"/>
    </row>
    <row r="980">
      <c r="A980" s="41"/>
      <c r="B980" s="41"/>
      <c r="C980" s="41"/>
      <c r="D980" s="41"/>
      <c r="E980" s="41"/>
      <c r="F980" s="41"/>
      <c r="G980" s="41"/>
      <c r="H980" s="41"/>
      <c r="I980" s="41"/>
      <c r="J980" s="41"/>
      <c r="K980" s="41"/>
      <c r="L980" s="41"/>
      <c r="M980" s="41"/>
      <c r="N980" s="41"/>
      <c r="O980" s="41"/>
      <c r="P980" s="41"/>
      <c r="Q980" s="41"/>
      <c r="R980" s="41"/>
      <c r="S980" s="41"/>
      <c r="T980" s="41"/>
      <c r="U980" s="41"/>
      <c r="V980" s="41"/>
      <c r="W980" s="41"/>
      <c r="X980" s="41"/>
      <c r="Y980" s="41"/>
      <c r="Z980" s="41"/>
    </row>
    <row r="981">
      <c r="A981" s="41"/>
      <c r="B981" s="41"/>
      <c r="C981" s="41"/>
      <c r="D981" s="41"/>
      <c r="E981" s="41"/>
      <c r="F981" s="41"/>
      <c r="G981" s="41"/>
      <c r="H981" s="41"/>
      <c r="I981" s="41"/>
      <c r="J981" s="41"/>
      <c r="K981" s="41"/>
      <c r="L981" s="41"/>
      <c r="M981" s="41"/>
      <c r="N981" s="41"/>
      <c r="O981" s="41"/>
      <c r="P981" s="41"/>
      <c r="Q981" s="41"/>
      <c r="R981" s="41"/>
      <c r="S981" s="41"/>
      <c r="T981" s="41"/>
      <c r="U981" s="41"/>
      <c r="V981" s="41"/>
      <c r="W981" s="41"/>
      <c r="X981" s="41"/>
      <c r="Y981" s="41"/>
      <c r="Z981" s="41"/>
    </row>
    <row r="982">
      <c r="A982" s="41"/>
      <c r="B982" s="41"/>
      <c r="C982" s="41"/>
      <c r="D982" s="41"/>
      <c r="E982" s="41"/>
      <c r="F982" s="41"/>
      <c r="G982" s="41"/>
      <c r="H982" s="41"/>
      <c r="I982" s="41"/>
      <c r="J982" s="41"/>
      <c r="K982" s="41"/>
      <c r="L982" s="41"/>
      <c r="M982" s="41"/>
      <c r="N982" s="41"/>
      <c r="O982" s="41"/>
      <c r="P982" s="41"/>
      <c r="Q982" s="41"/>
      <c r="R982" s="41"/>
      <c r="S982" s="41"/>
      <c r="T982" s="41"/>
      <c r="U982" s="41"/>
      <c r="V982" s="41"/>
      <c r="W982" s="41"/>
      <c r="X982" s="41"/>
      <c r="Y982" s="41"/>
      <c r="Z982" s="41"/>
    </row>
    <row r="983">
      <c r="A983" s="41"/>
      <c r="B983" s="41"/>
      <c r="C983" s="41"/>
      <c r="D983" s="41"/>
      <c r="E983" s="41"/>
      <c r="F983" s="41"/>
      <c r="G983" s="41"/>
      <c r="H983" s="41"/>
      <c r="I983" s="41"/>
      <c r="J983" s="41"/>
      <c r="K983" s="41"/>
      <c r="L983" s="41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41"/>
      <c r="Y983" s="41"/>
      <c r="Z983" s="41"/>
    </row>
    <row r="984">
      <c r="A984" s="41"/>
      <c r="B984" s="41"/>
      <c r="C984" s="41"/>
      <c r="D984" s="41"/>
      <c r="E984" s="41"/>
      <c r="F984" s="41"/>
      <c r="G984" s="41"/>
      <c r="H984" s="41"/>
      <c r="I984" s="41"/>
      <c r="J984" s="41"/>
      <c r="K984" s="41"/>
      <c r="L984" s="41"/>
      <c r="M984" s="41"/>
      <c r="N984" s="41"/>
      <c r="O984" s="41"/>
      <c r="P984" s="41"/>
      <c r="Q984" s="41"/>
      <c r="R984" s="41"/>
      <c r="S984" s="41"/>
      <c r="T984" s="41"/>
      <c r="U984" s="41"/>
      <c r="V984" s="41"/>
      <c r="W984" s="41"/>
      <c r="X984" s="41"/>
      <c r="Y984" s="41"/>
      <c r="Z984" s="41"/>
    </row>
    <row r="985">
      <c r="A985" s="41"/>
      <c r="B985" s="41"/>
      <c r="C985" s="41"/>
      <c r="D985" s="41"/>
      <c r="E985" s="41"/>
      <c r="F985" s="41"/>
      <c r="G985" s="41"/>
      <c r="H985" s="41"/>
      <c r="I985" s="41"/>
      <c r="J985" s="41"/>
      <c r="K985" s="41"/>
      <c r="L985" s="41"/>
      <c r="M985" s="41"/>
      <c r="N985" s="41"/>
      <c r="O985" s="41"/>
      <c r="P985" s="41"/>
      <c r="Q985" s="41"/>
      <c r="R985" s="41"/>
      <c r="S985" s="41"/>
      <c r="T985" s="41"/>
      <c r="U985" s="41"/>
      <c r="V985" s="41"/>
      <c r="W985" s="41"/>
      <c r="X985" s="41"/>
      <c r="Y985" s="41"/>
      <c r="Z985" s="41"/>
    </row>
    <row r="986">
      <c r="A986" s="41"/>
      <c r="B986" s="41"/>
      <c r="C986" s="41"/>
      <c r="D986" s="41"/>
      <c r="E986" s="41"/>
      <c r="F986" s="41"/>
      <c r="G986" s="41"/>
      <c r="H986" s="41"/>
      <c r="I986" s="41"/>
      <c r="J986" s="41"/>
      <c r="K986" s="41"/>
      <c r="L986" s="41"/>
      <c r="M986" s="41"/>
      <c r="N986" s="41"/>
      <c r="O986" s="41"/>
      <c r="P986" s="41"/>
      <c r="Q986" s="41"/>
      <c r="R986" s="41"/>
      <c r="S986" s="41"/>
      <c r="T986" s="41"/>
      <c r="U986" s="41"/>
      <c r="V986" s="41"/>
      <c r="W986" s="41"/>
      <c r="X986" s="41"/>
      <c r="Y986" s="41"/>
      <c r="Z986" s="41"/>
    </row>
    <row r="987">
      <c r="A987" s="41"/>
      <c r="B987" s="41"/>
      <c r="C987" s="41"/>
      <c r="D987" s="41"/>
      <c r="E987" s="41"/>
      <c r="F987" s="41"/>
      <c r="G987" s="41"/>
      <c r="H987" s="41"/>
      <c r="I987" s="41"/>
      <c r="J987" s="41"/>
      <c r="K987" s="41"/>
      <c r="L987" s="41"/>
      <c r="M987" s="41"/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</row>
    <row r="988">
      <c r="A988" s="41"/>
      <c r="B988" s="41"/>
      <c r="C988" s="41"/>
      <c r="D988" s="41"/>
      <c r="E988" s="41"/>
      <c r="F988" s="41"/>
      <c r="G988" s="41"/>
      <c r="H988" s="41"/>
      <c r="I988" s="41"/>
      <c r="J988" s="41"/>
      <c r="K988" s="41"/>
      <c r="L988" s="41"/>
      <c r="M988" s="41"/>
      <c r="N988" s="41"/>
      <c r="O988" s="41"/>
      <c r="P988" s="41"/>
      <c r="Q988" s="41"/>
      <c r="R988" s="41"/>
      <c r="S988" s="41"/>
      <c r="T988" s="41"/>
      <c r="U988" s="41"/>
      <c r="V988" s="41"/>
      <c r="W988" s="41"/>
      <c r="X988" s="41"/>
      <c r="Y988" s="41"/>
      <c r="Z988" s="41"/>
    </row>
    <row r="989">
      <c r="A989" s="41"/>
      <c r="B989" s="41"/>
      <c r="C989" s="41"/>
      <c r="D989" s="41"/>
      <c r="E989" s="41"/>
      <c r="F989" s="41"/>
      <c r="G989" s="41"/>
      <c r="H989" s="41"/>
      <c r="I989" s="41"/>
      <c r="J989" s="41"/>
      <c r="K989" s="41"/>
      <c r="L989" s="41"/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41"/>
      <c r="Y989" s="41"/>
      <c r="Z989" s="41"/>
    </row>
    <row r="990">
      <c r="A990" s="41"/>
      <c r="B990" s="41"/>
      <c r="C990" s="41"/>
      <c r="D990" s="41"/>
      <c r="E990" s="41"/>
      <c r="F990" s="41"/>
      <c r="G990" s="41"/>
      <c r="H990" s="41"/>
      <c r="I990" s="41"/>
      <c r="J990" s="41"/>
      <c r="K990" s="41"/>
      <c r="L990" s="41"/>
      <c r="M990" s="41"/>
      <c r="N990" s="41"/>
      <c r="O990" s="41"/>
      <c r="P990" s="41"/>
      <c r="Q990" s="41"/>
      <c r="R990" s="41"/>
      <c r="S990" s="41"/>
      <c r="T990" s="41"/>
      <c r="U990" s="41"/>
      <c r="V990" s="41"/>
      <c r="W990" s="41"/>
      <c r="X990" s="41"/>
      <c r="Y990" s="41"/>
      <c r="Z990" s="41"/>
    </row>
    <row r="991">
      <c r="A991" s="41"/>
      <c r="B991" s="41"/>
      <c r="C991" s="41"/>
      <c r="D991" s="41"/>
      <c r="E991" s="41"/>
      <c r="F991" s="41"/>
      <c r="G991" s="41"/>
      <c r="H991" s="41"/>
      <c r="I991" s="41"/>
      <c r="J991" s="41"/>
      <c r="K991" s="41"/>
      <c r="L991" s="41"/>
      <c r="M991" s="41"/>
      <c r="N991" s="41"/>
      <c r="O991" s="41"/>
      <c r="P991" s="41"/>
      <c r="Q991" s="41"/>
      <c r="R991" s="41"/>
      <c r="S991" s="41"/>
      <c r="T991" s="41"/>
      <c r="U991" s="41"/>
      <c r="V991" s="41"/>
      <c r="W991" s="41"/>
      <c r="X991" s="41"/>
      <c r="Y991" s="41"/>
      <c r="Z991" s="41"/>
    </row>
    <row r="992">
      <c r="A992" s="41"/>
      <c r="B992" s="41"/>
      <c r="C992" s="41"/>
      <c r="D992" s="41"/>
      <c r="E992" s="41"/>
      <c r="F992" s="41"/>
      <c r="G992" s="41"/>
      <c r="H992" s="41"/>
      <c r="I992" s="41"/>
      <c r="J992" s="41"/>
      <c r="K992" s="41"/>
      <c r="L992" s="41"/>
      <c r="M992" s="41"/>
      <c r="N992" s="41"/>
      <c r="O992" s="41"/>
      <c r="P992" s="41"/>
      <c r="Q992" s="41"/>
      <c r="R992" s="41"/>
      <c r="S992" s="41"/>
      <c r="T992" s="41"/>
      <c r="U992" s="41"/>
      <c r="V992" s="41"/>
      <c r="W992" s="41"/>
      <c r="X992" s="41"/>
      <c r="Y992" s="41"/>
      <c r="Z992" s="41"/>
    </row>
    <row r="993">
      <c r="A993" s="41"/>
      <c r="B993" s="41"/>
      <c r="C993" s="41"/>
      <c r="D993" s="41"/>
      <c r="E993" s="41"/>
      <c r="F993" s="41"/>
      <c r="G993" s="41"/>
      <c r="H993" s="41"/>
      <c r="I993" s="41"/>
      <c r="J993" s="41"/>
      <c r="K993" s="41"/>
      <c r="L993" s="41"/>
      <c r="M993" s="41"/>
      <c r="N993" s="41"/>
      <c r="O993" s="41"/>
      <c r="P993" s="41"/>
      <c r="Q993" s="41"/>
      <c r="R993" s="41"/>
      <c r="S993" s="41"/>
      <c r="T993" s="41"/>
      <c r="U993" s="41"/>
      <c r="V993" s="41"/>
      <c r="W993" s="41"/>
      <c r="X993" s="41"/>
      <c r="Y993" s="41"/>
      <c r="Z993" s="41"/>
    </row>
    <row r="994">
      <c r="A994" s="41"/>
      <c r="B994" s="41"/>
      <c r="C994" s="41"/>
      <c r="D994" s="41"/>
      <c r="E994" s="41"/>
      <c r="F994" s="41"/>
      <c r="G994" s="41"/>
      <c r="H994" s="41"/>
      <c r="I994" s="41"/>
      <c r="J994" s="41"/>
      <c r="K994" s="41"/>
      <c r="L994" s="41"/>
      <c r="M994" s="41"/>
      <c r="N994" s="41"/>
      <c r="O994" s="41"/>
      <c r="P994" s="41"/>
      <c r="Q994" s="41"/>
      <c r="R994" s="41"/>
      <c r="S994" s="41"/>
      <c r="T994" s="41"/>
      <c r="U994" s="41"/>
      <c r="V994" s="41"/>
      <c r="W994" s="41"/>
      <c r="X994" s="41"/>
      <c r="Y994" s="41"/>
      <c r="Z994" s="41"/>
    </row>
    <row r="995">
      <c r="A995" s="41"/>
      <c r="B995" s="41"/>
      <c r="C995" s="41"/>
      <c r="D995" s="41"/>
      <c r="E995" s="41"/>
      <c r="F995" s="41"/>
      <c r="G995" s="41"/>
      <c r="H995" s="41"/>
      <c r="I995" s="41"/>
      <c r="J995" s="41"/>
      <c r="K995" s="41"/>
      <c r="L995" s="41"/>
      <c r="M995" s="41"/>
      <c r="N995" s="41"/>
      <c r="O995" s="41"/>
      <c r="P995" s="41"/>
      <c r="Q995" s="41"/>
      <c r="R995" s="41"/>
      <c r="S995" s="41"/>
      <c r="T995" s="41"/>
      <c r="U995" s="41"/>
      <c r="V995" s="41"/>
      <c r="W995" s="41"/>
      <c r="X995" s="41"/>
      <c r="Y995" s="41"/>
      <c r="Z995" s="41"/>
    </row>
    <row r="996">
      <c r="A996" s="41"/>
      <c r="B996" s="41"/>
      <c r="C996" s="41"/>
      <c r="D996" s="41"/>
      <c r="E996" s="41"/>
      <c r="F996" s="41"/>
      <c r="G996" s="41"/>
      <c r="H996" s="41"/>
      <c r="I996" s="41"/>
      <c r="J996" s="41"/>
      <c r="K996" s="41"/>
      <c r="L996" s="41"/>
      <c r="M996" s="41"/>
      <c r="N996" s="41"/>
      <c r="O996" s="41"/>
      <c r="P996" s="41"/>
      <c r="Q996" s="41"/>
      <c r="R996" s="41"/>
      <c r="S996" s="41"/>
      <c r="T996" s="41"/>
      <c r="U996" s="41"/>
      <c r="V996" s="41"/>
      <c r="W996" s="41"/>
      <c r="X996" s="41"/>
      <c r="Y996" s="41"/>
      <c r="Z996" s="41"/>
    </row>
    <row r="997">
      <c r="A997" s="41"/>
      <c r="B997" s="41"/>
      <c r="C997" s="41"/>
      <c r="D997" s="41"/>
      <c r="E997" s="41"/>
      <c r="F997" s="41"/>
      <c r="G997" s="41"/>
      <c r="H997" s="41"/>
      <c r="I997" s="41"/>
      <c r="J997" s="41"/>
      <c r="K997" s="41"/>
      <c r="L997" s="41"/>
      <c r="M997" s="41"/>
      <c r="N997" s="41"/>
      <c r="O997" s="41"/>
      <c r="P997" s="41"/>
      <c r="Q997" s="41"/>
      <c r="R997" s="41"/>
      <c r="S997" s="41"/>
      <c r="T997" s="41"/>
      <c r="U997" s="41"/>
      <c r="V997" s="41"/>
      <c r="W997" s="41"/>
      <c r="X997" s="41"/>
      <c r="Y997" s="41"/>
      <c r="Z997" s="41"/>
    </row>
    <row r="998">
      <c r="A998" s="41"/>
      <c r="B998" s="41"/>
      <c r="C998" s="41"/>
      <c r="D998" s="41"/>
      <c r="E998" s="41"/>
      <c r="F998" s="41"/>
      <c r="G998" s="41"/>
      <c r="H998" s="41"/>
      <c r="I998" s="41"/>
      <c r="J998" s="41"/>
      <c r="K998" s="41"/>
      <c r="L998" s="41"/>
      <c r="M998" s="41"/>
      <c r="N998" s="41"/>
      <c r="O998" s="41"/>
      <c r="P998" s="41"/>
      <c r="Q998" s="41"/>
      <c r="R998" s="41"/>
      <c r="S998" s="41"/>
      <c r="T998" s="41"/>
      <c r="U998" s="41"/>
      <c r="V998" s="41"/>
      <c r="W998" s="41"/>
      <c r="X998" s="41"/>
      <c r="Y998" s="41"/>
      <c r="Z998" s="41"/>
    </row>
    <row r="999">
      <c r="A999" s="41"/>
      <c r="B999" s="41"/>
      <c r="C999" s="41"/>
      <c r="D999" s="41"/>
      <c r="E999" s="41"/>
      <c r="F999" s="41"/>
      <c r="G999" s="41"/>
      <c r="H999" s="41"/>
      <c r="I999" s="41"/>
      <c r="J999" s="41"/>
      <c r="K999" s="41"/>
      <c r="L999" s="41"/>
      <c r="M999" s="41"/>
      <c r="N999" s="41"/>
      <c r="O999" s="41"/>
      <c r="P999" s="41"/>
      <c r="Q999" s="41"/>
      <c r="R999" s="41"/>
      <c r="S999" s="41"/>
      <c r="T999" s="41"/>
      <c r="U999" s="41"/>
      <c r="V999" s="41"/>
      <c r="W999" s="41"/>
      <c r="X999" s="41"/>
      <c r="Y999" s="41"/>
      <c r="Z999" s="41"/>
    </row>
    <row r="1000">
      <c r="A1000" s="41"/>
      <c r="B1000" s="41"/>
      <c r="C1000" s="41"/>
      <c r="D1000" s="41"/>
      <c r="E1000" s="41"/>
      <c r="F1000" s="41"/>
      <c r="G1000" s="41"/>
      <c r="H1000" s="41"/>
      <c r="I1000" s="41"/>
      <c r="J1000" s="41"/>
      <c r="K1000" s="41"/>
      <c r="L1000" s="41"/>
      <c r="M1000" s="41"/>
      <c r="N1000" s="41"/>
      <c r="O1000" s="41"/>
      <c r="P1000" s="41"/>
      <c r="Q1000" s="41"/>
      <c r="R1000" s="41"/>
      <c r="S1000" s="41"/>
      <c r="T1000" s="41"/>
      <c r="U1000" s="41"/>
      <c r="V1000" s="41"/>
      <c r="W1000" s="41"/>
      <c r="X1000" s="41"/>
      <c r="Y1000" s="41"/>
      <c r="Z1000" s="41"/>
    </row>
  </sheetData>
  <drawing r:id="rId1"/>
  <extLst>
    <ext uri="{05C60535-1F16-4fd2-B633-F4F36F0B64E0}">
      <x14:sparklineGroups>
        <x14:sparklineGroup displayEmptyCellsAs="gap">
          <x14:colorSeries rgb="FFFF69B4"/>
          <x14:sparklines>
            <x14:sparkline>
              <xm:f>'19 - Sparkline Basics'!B6:B157</xm:f>
              <xm:sqref>G6</xm:sqref>
            </x14:sparkline>
          </x14:sparklines>
        </x14:sparklineGroup>
        <x14:sparklineGroup displayEmptyCellsAs="gap">
          <x14:colorSeries rgb="FF0000FF"/>
          <x14:sparklines>
            <x14:sparkline>
              <xm:f>'19 - Sparkline Basics'!D6:D157</xm:f>
              <xm:sqref>G7</xm:sqref>
            </x14:sparkline>
          </x14:sparklines>
        </x14:sparklineGroup>
      </x14:sparklineGroup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63"/>
    <col customWidth="1" min="2" max="2" width="21.63"/>
    <col customWidth="1" min="3" max="3" width="14.75"/>
  </cols>
  <sheetData>
    <row r="1">
      <c r="A1" s="2" t="s">
        <v>35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7" t="s">
        <v>427</v>
      </c>
      <c r="B2" s="32" t="s">
        <v>428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" t="s">
        <v>429</v>
      </c>
      <c r="B4" s="2" t="s">
        <v>430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7" t="s">
        <v>431</v>
      </c>
      <c r="B5" s="41" t="str">
        <f>IFERROR(__xludf.DUMMYFUNCTION("GOOGLETRANSLATE(A5,""auto"",""th"")"),"ฉันอยากกินพิซซ่า")</f>
        <v>ฉันอยากกินพิซซ่า</v>
      </c>
      <c r="C5" s="41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3" t="s">
        <v>432</v>
      </c>
      <c r="B6" s="41" t="str">
        <f>IFERROR(__xludf.DUMMYFUNCTION("GOOGLETRANSLATE(A6,""auto"",""th"")"),"ฉันอยากกินพิซซ่า")</f>
        <v>ฉันอยากกินพิซซ่า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 t="s">
        <v>433</v>
      </c>
      <c r="B7" s="41" t="str">
        <f>IFERROR(__xludf.DUMMYFUNCTION("GOOGLETRANSLATE(A7,""auto"",""th"")"),"ฉันอยากกินพิซซ่า")</f>
        <v>ฉันอยากกินพิซซ่า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 t="s">
        <v>434</v>
      </c>
      <c r="B8" s="41" t="str">
        <f>IFERROR(__xludf.DUMMYFUNCTION("GOOGLETRANSLATE(A8,""auto"",""th"")"),"ฉันอยากกินพิซซ่า")</f>
        <v>ฉันอยากกินพิซซ่า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4" t="s">
        <v>435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31.5" customHeight="1">
      <c r="A11" s="3" t="str">
        <f>IMAGE(A10)</f>
        <v/>
      </c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</sheetData>
  <hyperlinks>
    <hyperlink r:id="rId1" ref="B2"/>
    <hyperlink r:id="rId2" ref="A10"/>
  </hyperlinks>
  <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10.13"/>
    <col customWidth="1" min="6" max="6" width="17.0"/>
    <col customWidth="1" min="8" max="8" width="21.13"/>
  </cols>
  <sheetData>
    <row r="1">
      <c r="A1" s="2" t="s">
        <v>436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24" t="s">
        <v>437</v>
      </c>
      <c r="B3" s="124" t="s">
        <v>438</v>
      </c>
      <c r="C3" s="124" t="s">
        <v>439</v>
      </c>
      <c r="D3" s="124" t="s">
        <v>440</v>
      </c>
      <c r="E3" s="124" t="s">
        <v>441</v>
      </c>
      <c r="F3" s="124" t="s">
        <v>442</v>
      </c>
      <c r="G3" s="124" t="s">
        <v>443</v>
      </c>
      <c r="H3" s="124" t="s">
        <v>444</v>
      </c>
      <c r="I3" s="124" t="s">
        <v>445</v>
      </c>
      <c r="J3" s="124" t="s">
        <v>446</v>
      </c>
      <c r="K3" s="124" t="s">
        <v>447</v>
      </c>
      <c r="L3" s="124" t="s">
        <v>448</v>
      </c>
      <c r="M3" s="124" t="s">
        <v>449</v>
      </c>
      <c r="N3" s="124" t="s">
        <v>450</v>
      </c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25" t="s">
        <v>451</v>
      </c>
      <c r="B4" s="125" t="s">
        <v>452</v>
      </c>
      <c r="C4" s="125" t="s">
        <v>453</v>
      </c>
      <c r="D4" s="125" t="s">
        <v>454</v>
      </c>
      <c r="E4" s="125" t="s">
        <v>189</v>
      </c>
      <c r="F4" s="126">
        <v>41628.0</v>
      </c>
      <c r="G4" s="127">
        <v>9.57E8</v>
      </c>
      <c r="H4" s="126">
        <v>41650.0</v>
      </c>
      <c r="I4" s="128">
        <v>552.0</v>
      </c>
      <c r="J4" s="128">
        <v>255.28</v>
      </c>
      <c r="K4" s="128">
        <v>159.42</v>
      </c>
      <c r="L4" s="128">
        <v>140914.6</v>
      </c>
      <c r="M4" s="128">
        <v>87999.84</v>
      </c>
      <c r="N4" s="128">
        <v>52914.72</v>
      </c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25" t="s">
        <v>451</v>
      </c>
      <c r="B5" s="125" t="s">
        <v>455</v>
      </c>
      <c r="C5" s="125" t="s">
        <v>456</v>
      </c>
      <c r="D5" s="125" t="s">
        <v>457</v>
      </c>
      <c r="E5" s="125" t="s">
        <v>284</v>
      </c>
      <c r="F5" s="126">
        <v>40364.0</v>
      </c>
      <c r="G5" s="127">
        <v>3.02E8</v>
      </c>
      <c r="H5" s="126">
        <v>40385.0</v>
      </c>
      <c r="I5" s="128">
        <v>2167.0</v>
      </c>
      <c r="J5" s="128">
        <v>152.58</v>
      </c>
      <c r="K5" s="128">
        <v>97.44</v>
      </c>
      <c r="L5" s="128">
        <v>330640.9</v>
      </c>
      <c r="M5" s="128">
        <v>211152.5</v>
      </c>
      <c r="N5" s="128">
        <v>119488.4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125" t="s">
        <v>458</v>
      </c>
      <c r="B6" s="125" t="s">
        <v>459</v>
      </c>
      <c r="C6" s="125" t="s">
        <v>460</v>
      </c>
      <c r="D6" s="125" t="s">
        <v>457</v>
      </c>
      <c r="E6" s="125" t="s">
        <v>284</v>
      </c>
      <c r="F6" s="126">
        <v>40798.0</v>
      </c>
      <c r="G6" s="127">
        <v>4.78E8</v>
      </c>
      <c r="H6" s="126">
        <v>40815.0</v>
      </c>
      <c r="I6" s="128">
        <v>4778.0</v>
      </c>
      <c r="J6" s="128">
        <v>47.45</v>
      </c>
      <c r="K6" s="128">
        <v>31.79</v>
      </c>
      <c r="L6" s="128">
        <v>226716.1</v>
      </c>
      <c r="M6" s="128">
        <v>151892.6</v>
      </c>
      <c r="N6" s="128">
        <v>74823.48</v>
      </c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125" t="s">
        <v>461</v>
      </c>
      <c r="B7" s="125" t="s">
        <v>462</v>
      </c>
      <c r="C7" s="125" t="s">
        <v>463</v>
      </c>
      <c r="D7" s="125" t="s">
        <v>457</v>
      </c>
      <c r="E7" s="125" t="s">
        <v>464</v>
      </c>
      <c r="F7" s="126">
        <v>40311.0</v>
      </c>
      <c r="G7" s="127">
        <v>8.93E8</v>
      </c>
      <c r="H7" s="126">
        <v>40344.0</v>
      </c>
      <c r="I7" s="128">
        <v>9016.0</v>
      </c>
      <c r="J7" s="128">
        <v>205.7</v>
      </c>
      <c r="K7" s="128">
        <v>117.11</v>
      </c>
      <c r="L7" s="128">
        <v>1854591.0</v>
      </c>
      <c r="M7" s="128">
        <v>1055864.0</v>
      </c>
      <c r="N7" s="128">
        <v>798727.4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125" t="s">
        <v>461</v>
      </c>
      <c r="B8" s="125" t="s">
        <v>465</v>
      </c>
      <c r="C8" s="125" t="s">
        <v>456</v>
      </c>
      <c r="D8" s="125" t="s">
        <v>457</v>
      </c>
      <c r="E8" s="125" t="s">
        <v>284</v>
      </c>
      <c r="F8" s="126">
        <v>42205.0</v>
      </c>
      <c r="G8" s="127">
        <v>5.72E8</v>
      </c>
      <c r="H8" s="126">
        <v>42212.0</v>
      </c>
      <c r="I8" s="128">
        <v>7542.0</v>
      </c>
      <c r="J8" s="128">
        <v>152.58</v>
      </c>
      <c r="K8" s="128">
        <v>97.44</v>
      </c>
      <c r="L8" s="128">
        <v>1150758.0</v>
      </c>
      <c r="M8" s="128">
        <v>734892.5</v>
      </c>
      <c r="N8" s="128">
        <v>415865.9</v>
      </c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125" t="s">
        <v>466</v>
      </c>
      <c r="B9" s="125" t="s">
        <v>467</v>
      </c>
      <c r="C9" s="125" t="s">
        <v>468</v>
      </c>
      <c r="D9" s="125" t="s">
        <v>457</v>
      </c>
      <c r="E9" s="125" t="s">
        <v>464</v>
      </c>
      <c r="F9" s="126">
        <v>40490.0</v>
      </c>
      <c r="G9" s="127">
        <v>4.13E8</v>
      </c>
      <c r="H9" s="126">
        <v>40504.0</v>
      </c>
      <c r="I9" s="128">
        <v>48.0</v>
      </c>
      <c r="J9" s="128">
        <v>81.73</v>
      </c>
      <c r="K9" s="128">
        <v>56.67</v>
      </c>
      <c r="L9" s="128">
        <v>3923.04</v>
      </c>
      <c r="M9" s="128">
        <v>2720.16</v>
      </c>
      <c r="N9" s="128">
        <v>1202.88</v>
      </c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125" t="s">
        <v>469</v>
      </c>
      <c r="B10" s="125" t="s">
        <v>470</v>
      </c>
      <c r="C10" s="125" t="s">
        <v>471</v>
      </c>
      <c r="D10" s="125" t="s">
        <v>457</v>
      </c>
      <c r="E10" s="125" t="s">
        <v>472</v>
      </c>
      <c r="F10" s="126">
        <v>40630.0</v>
      </c>
      <c r="G10" s="127">
        <v>9.33E8</v>
      </c>
      <c r="H10" s="126">
        <v>40673.0</v>
      </c>
      <c r="I10" s="128">
        <v>8258.0</v>
      </c>
      <c r="J10" s="128">
        <v>109.28</v>
      </c>
      <c r="K10" s="128">
        <v>35.84</v>
      </c>
      <c r="L10" s="128">
        <v>902434.2</v>
      </c>
      <c r="M10" s="128">
        <v>295966.7</v>
      </c>
      <c r="N10" s="128">
        <v>606467.5</v>
      </c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125" t="s">
        <v>458</v>
      </c>
      <c r="B11" s="125" t="s">
        <v>473</v>
      </c>
      <c r="C11" s="125" t="s">
        <v>471</v>
      </c>
      <c r="D11" s="125" t="s">
        <v>454</v>
      </c>
      <c r="E11" s="125" t="s">
        <v>189</v>
      </c>
      <c r="F11" s="126">
        <v>41561.0</v>
      </c>
      <c r="G11" s="127">
        <v>9.19E8</v>
      </c>
      <c r="H11" s="126">
        <v>41582.0</v>
      </c>
      <c r="I11" s="128">
        <v>927.0</v>
      </c>
      <c r="J11" s="128">
        <v>109.28</v>
      </c>
      <c r="K11" s="128">
        <v>35.84</v>
      </c>
      <c r="L11" s="128">
        <v>101302.6</v>
      </c>
      <c r="M11" s="128">
        <v>33223.68</v>
      </c>
      <c r="N11" s="128">
        <v>68078.88</v>
      </c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25" t="s">
        <v>466</v>
      </c>
      <c r="B12" s="125" t="s">
        <v>474</v>
      </c>
      <c r="C12" s="125" t="s">
        <v>471</v>
      </c>
      <c r="D12" s="125" t="s">
        <v>457</v>
      </c>
      <c r="E12" s="125" t="s">
        <v>189</v>
      </c>
      <c r="F12" s="126">
        <v>42609.0</v>
      </c>
      <c r="G12" s="127">
        <v>5.8E8</v>
      </c>
      <c r="H12" s="126">
        <v>42648.0</v>
      </c>
      <c r="I12" s="128">
        <v>8841.0</v>
      </c>
      <c r="J12" s="128">
        <v>109.28</v>
      </c>
      <c r="K12" s="128">
        <v>35.84</v>
      </c>
      <c r="L12" s="128">
        <v>966144.5</v>
      </c>
      <c r="M12" s="128">
        <v>316861.4</v>
      </c>
      <c r="N12" s="128">
        <v>649283.0</v>
      </c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25" t="s">
        <v>475</v>
      </c>
      <c r="B13" s="125" t="s">
        <v>476</v>
      </c>
      <c r="C13" s="125" t="s">
        <v>453</v>
      </c>
      <c r="D13" s="125" t="s">
        <v>454</v>
      </c>
      <c r="E13" s="125" t="s">
        <v>189</v>
      </c>
      <c r="F13" s="126">
        <v>42107.0</v>
      </c>
      <c r="G13" s="127">
        <v>1.93E8</v>
      </c>
      <c r="H13" s="126">
        <v>42131.0</v>
      </c>
      <c r="I13" s="128">
        <v>9817.0</v>
      </c>
      <c r="J13" s="128">
        <v>255.28</v>
      </c>
      <c r="K13" s="128">
        <v>159.42</v>
      </c>
      <c r="L13" s="128">
        <v>2506084.0</v>
      </c>
      <c r="M13" s="128">
        <v>1565026.0</v>
      </c>
      <c r="N13" s="128">
        <v>941057.6</v>
      </c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25" t="s">
        <v>466</v>
      </c>
      <c r="B14" s="125" t="s">
        <v>477</v>
      </c>
      <c r="C14" s="125" t="s">
        <v>478</v>
      </c>
      <c r="D14" s="125" t="s">
        <v>457</v>
      </c>
      <c r="E14" s="125" t="s">
        <v>284</v>
      </c>
      <c r="F14" s="126">
        <v>41542.0</v>
      </c>
      <c r="G14" s="127">
        <v>5.57E8</v>
      </c>
      <c r="H14" s="126">
        <v>41562.0</v>
      </c>
      <c r="I14" s="128">
        <v>3704.0</v>
      </c>
      <c r="J14" s="128">
        <v>651.21</v>
      </c>
      <c r="K14" s="128">
        <v>524.96</v>
      </c>
      <c r="L14" s="128">
        <v>2412082.0</v>
      </c>
      <c r="M14" s="128">
        <v>1944452.0</v>
      </c>
      <c r="N14" s="128">
        <v>467630.0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25" t="s">
        <v>466</v>
      </c>
      <c r="B15" s="125" t="s">
        <v>479</v>
      </c>
      <c r="C15" s="125" t="s">
        <v>480</v>
      </c>
      <c r="D15" s="125" t="s">
        <v>454</v>
      </c>
      <c r="E15" s="125" t="s">
        <v>189</v>
      </c>
      <c r="F15" s="126">
        <v>41406.0</v>
      </c>
      <c r="G15" s="127">
        <v>7.41E8</v>
      </c>
      <c r="H15" s="126">
        <v>41411.0</v>
      </c>
      <c r="I15" s="128">
        <v>7382.0</v>
      </c>
      <c r="J15" s="128">
        <v>437.2</v>
      </c>
      <c r="K15" s="128">
        <v>263.33</v>
      </c>
      <c r="L15" s="128">
        <v>3227410.0</v>
      </c>
      <c r="M15" s="128">
        <v>1943902.0</v>
      </c>
      <c r="N15" s="128">
        <v>1283508.0</v>
      </c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25" t="s">
        <v>461</v>
      </c>
      <c r="B16" s="125" t="s">
        <v>481</v>
      </c>
      <c r="C16" s="125" t="s">
        <v>463</v>
      </c>
      <c r="D16" s="125" t="s">
        <v>457</v>
      </c>
      <c r="E16" s="125" t="s">
        <v>464</v>
      </c>
      <c r="F16" s="126">
        <v>42582.0</v>
      </c>
      <c r="G16" s="127">
        <v>3.34E8</v>
      </c>
      <c r="H16" s="126">
        <v>42607.0</v>
      </c>
      <c r="I16" s="128">
        <v>9762.0</v>
      </c>
      <c r="J16" s="128">
        <v>205.7</v>
      </c>
      <c r="K16" s="128">
        <v>117.11</v>
      </c>
      <c r="L16" s="128">
        <v>2008043.0</v>
      </c>
      <c r="M16" s="128">
        <v>1143228.0</v>
      </c>
      <c r="N16" s="128">
        <v>864815.6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25" t="s">
        <v>451</v>
      </c>
      <c r="B17" s="125" t="s">
        <v>482</v>
      </c>
      <c r="C17" s="125" t="s">
        <v>480</v>
      </c>
      <c r="D17" s="125" t="s">
        <v>457</v>
      </c>
      <c r="E17" s="125" t="s">
        <v>472</v>
      </c>
      <c r="F17" s="126">
        <v>42191.0</v>
      </c>
      <c r="G17" s="127">
        <v>7.95E8</v>
      </c>
      <c r="H17" s="126">
        <v>42201.0</v>
      </c>
      <c r="I17" s="128">
        <v>6786.0</v>
      </c>
      <c r="J17" s="128">
        <v>437.2</v>
      </c>
      <c r="K17" s="128">
        <v>263.33</v>
      </c>
      <c r="L17" s="128">
        <v>2966839.0</v>
      </c>
      <c r="M17" s="128">
        <v>1786957.0</v>
      </c>
      <c r="N17" s="128">
        <v>1179882.0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25" t="s">
        <v>451</v>
      </c>
      <c r="B18" s="125" t="s">
        <v>483</v>
      </c>
      <c r="C18" s="125" t="s">
        <v>453</v>
      </c>
      <c r="D18" s="125" t="s">
        <v>454</v>
      </c>
      <c r="E18" s="125" t="s">
        <v>464</v>
      </c>
      <c r="F18" s="126">
        <v>40510.0</v>
      </c>
      <c r="G18" s="127">
        <v>5.04E8</v>
      </c>
      <c r="H18" s="126">
        <v>40515.0</v>
      </c>
      <c r="I18" s="128">
        <v>6428.0</v>
      </c>
      <c r="J18" s="128">
        <v>255.28</v>
      </c>
      <c r="K18" s="128">
        <v>159.42</v>
      </c>
      <c r="L18" s="128">
        <v>1640940.0</v>
      </c>
      <c r="M18" s="128">
        <v>1024752.0</v>
      </c>
      <c r="N18" s="128">
        <v>616188.1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25" t="s">
        <v>466</v>
      </c>
      <c r="B19" s="125" t="s">
        <v>484</v>
      </c>
      <c r="C19" s="125" t="s">
        <v>485</v>
      </c>
      <c r="D19" s="125" t="s">
        <v>457</v>
      </c>
      <c r="E19" s="125" t="s">
        <v>472</v>
      </c>
      <c r="F19" s="126">
        <v>42355.0</v>
      </c>
      <c r="G19" s="127">
        <v>6.12E8</v>
      </c>
      <c r="H19" s="126">
        <v>42400.0</v>
      </c>
      <c r="I19" s="128">
        <v>3693.0</v>
      </c>
      <c r="J19" s="128">
        <v>421.89</v>
      </c>
      <c r="K19" s="128">
        <v>364.69</v>
      </c>
      <c r="L19" s="128">
        <v>1558040.0</v>
      </c>
      <c r="M19" s="128">
        <v>1346800.0</v>
      </c>
      <c r="N19" s="128">
        <v>211239.6</v>
      </c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25" t="s">
        <v>458</v>
      </c>
      <c r="B20" s="125" t="s">
        <v>486</v>
      </c>
      <c r="C20" s="125" t="s">
        <v>463</v>
      </c>
      <c r="D20" s="125" t="s">
        <v>457</v>
      </c>
      <c r="E20" s="125" t="s">
        <v>284</v>
      </c>
      <c r="F20" s="126">
        <v>41864.0</v>
      </c>
      <c r="G20" s="127">
        <v>9.87E8</v>
      </c>
      <c r="H20" s="126">
        <v>41888.0</v>
      </c>
      <c r="I20" s="128">
        <v>5616.0</v>
      </c>
      <c r="J20" s="128">
        <v>205.7</v>
      </c>
      <c r="K20" s="128">
        <v>117.11</v>
      </c>
      <c r="L20" s="128">
        <v>1155211.0</v>
      </c>
      <c r="M20" s="128">
        <v>657689.8</v>
      </c>
      <c r="N20" s="128">
        <v>497521.4</v>
      </c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25" t="s">
        <v>458</v>
      </c>
      <c r="B21" s="125" t="s">
        <v>487</v>
      </c>
      <c r="C21" s="125" t="s">
        <v>478</v>
      </c>
      <c r="D21" s="125" t="s">
        <v>454</v>
      </c>
      <c r="E21" s="125" t="s">
        <v>464</v>
      </c>
      <c r="F21" s="126">
        <v>40482.0</v>
      </c>
      <c r="G21" s="127">
        <v>6.72E8</v>
      </c>
      <c r="H21" s="126">
        <v>40511.0</v>
      </c>
      <c r="I21" s="128">
        <v>6266.0</v>
      </c>
      <c r="J21" s="128">
        <v>651.21</v>
      </c>
      <c r="K21" s="128">
        <v>524.96</v>
      </c>
      <c r="L21" s="128">
        <v>4080482.0</v>
      </c>
      <c r="M21" s="128">
        <v>3289399.0</v>
      </c>
      <c r="N21" s="128">
        <v>791082.5</v>
      </c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25" t="s">
        <v>488</v>
      </c>
      <c r="B22" s="125" t="s">
        <v>489</v>
      </c>
      <c r="C22" s="125" t="s">
        <v>460</v>
      </c>
      <c r="D22" s="125" t="s">
        <v>454</v>
      </c>
      <c r="E22" s="125" t="s">
        <v>284</v>
      </c>
      <c r="F22" s="126">
        <v>42807.0</v>
      </c>
      <c r="G22" s="127">
        <v>1.27E8</v>
      </c>
      <c r="H22" s="126">
        <v>42814.0</v>
      </c>
      <c r="I22" s="128">
        <v>1742.0</v>
      </c>
      <c r="J22" s="128">
        <v>47.45</v>
      </c>
      <c r="K22" s="128">
        <v>31.79</v>
      </c>
      <c r="L22" s="128">
        <v>82657.9</v>
      </c>
      <c r="M22" s="128">
        <v>55378.18</v>
      </c>
      <c r="N22" s="128">
        <v>27279.72</v>
      </c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25" t="s">
        <v>451</v>
      </c>
      <c r="B23" s="125" t="s">
        <v>490</v>
      </c>
      <c r="C23" s="125" t="s">
        <v>453</v>
      </c>
      <c r="D23" s="125" t="s">
        <v>457</v>
      </c>
      <c r="E23" s="125" t="s">
        <v>284</v>
      </c>
      <c r="F23" s="126">
        <v>41380.0</v>
      </c>
      <c r="G23" s="127">
        <v>7.84E8</v>
      </c>
      <c r="H23" s="126">
        <v>41426.0</v>
      </c>
      <c r="I23" s="128">
        <v>5172.0</v>
      </c>
      <c r="J23" s="128">
        <v>255.28</v>
      </c>
      <c r="K23" s="128">
        <v>159.42</v>
      </c>
      <c r="L23" s="128">
        <v>1320308.0</v>
      </c>
      <c r="M23" s="128">
        <v>824520.2</v>
      </c>
      <c r="N23" s="128">
        <v>495787.9</v>
      </c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25" t="s">
        <v>466</v>
      </c>
      <c r="B24" s="125" t="s">
        <v>491</v>
      </c>
      <c r="C24" s="125" t="s">
        <v>460</v>
      </c>
      <c r="D24" s="125" t="s">
        <v>457</v>
      </c>
      <c r="E24" s="125" t="s">
        <v>464</v>
      </c>
      <c r="F24" s="126">
        <v>40196.0</v>
      </c>
      <c r="G24" s="127">
        <v>9.93E8</v>
      </c>
      <c r="H24" s="126">
        <v>40240.0</v>
      </c>
      <c r="I24" s="128">
        <v>1718.0</v>
      </c>
      <c r="J24" s="128">
        <v>47.45</v>
      </c>
      <c r="K24" s="128">
        <v>31.79</v>
      </c>
      <c r="L24" s="128">
        <v>81519.1</v>
      </c>
      <c r="M24" s="128">
        <v>54615.22</v>
      </c>
      <c r="N24" s="128">
        <v>26903.88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25" t="s">
        <v>466</v>
      </c>
      <c r="B25" s="125" t="s">
        <v>492</v>
      </c>
      <c r="C25" s="125" t="s">
        <v>453</v>
      </c>
      <c r="D25" s="125" t="s">
        <v>457</v>
      </c>
      <c r="E25" s="125" t="s">
        <v>189</v>
      </c>
      <c r="F25" s="126">
        <v>42252.0</v>
      </c>
      <c r="G25" s="127">
        <v>9.78E8</v>
      </c>
      <c r="H25" s="126">
        <v>42291.0</v>
      </c>
      <c r="I25" s="128">
        <v>3572.0</v>
      </c>
      <c r="J25" s="128">
        <v>255.28</v>
      </c>
      <c r="K25" s="128">
        <v>159.42</v>
      </c>
      <c r="L25" s="128">
        <v>911860.2</v>
      </c>
      <c r="M25" s="128">
        <v>569448.2</v>
      </c>
      <c r="N25" s="128">
        <v>342411.9</v>
      </c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25" t="s">
        <v>458</v>
      </c>
      <c r="B26" s="125" t="s">
        <v>493</v>
      </c>
      <c r="C26" s="125" t="s">
        <v>494</v>
      </c>
      <c r="D26" s="125" t="s">
        <v>454</v>
      </c>
      <c r="E26" s="125" t="s">
        <v>464</v>
      </c>
      <c r="F26" s="126">
        <v>42641.0</v>
      </c>
      <c r="G26" s="127">
        <v>5.79E8</v>
      </c>
      <c r="H26" s="126">
        <v>42675.0</v>
      </c>
      <c r="I26" s="128">
        <v>4958.0</v>
      </c>
      <c r="J26" s="128">
        <v>9.33</v>
      </c>
      <c r="K26" s="128">
        <v>6.92</v>
      </c>
      <c r="L26" s="128">
        <v>46258.14</v>
      </c>
      <c r="M26" s="128">
        <v>34309.36</v>
      </c>
      <c r="N26" s="128">
        <v>11948.78</v>
      </c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25" t="s">
        <v>469</v>
      </c>
      <c r="B27" s="125" t="s">
        <v>495</v>
      </c>
      <c r="C27" s="125" t="s">
        <v>460</v>
      </c>
      <c r="D27" s="125" t="s">
        <v>457</v>
      </c>
      <c r="E27" s="125" t="s">
        <v>464</v>
      </c>
      <c r="F27" s="126">
        <v>40990.0</v>
      </c>
      <c r="G27" s="127">
        <v>6.11E8</v>
      </c>
      <c r="H27" s="126">
        <v>41006.0</v>
      </c>
      <c r="I27" s="128">
        <v>7132.0</v>
      </c>
      <c r="J27" s="128">
        <v>47.45</v>
      </c>
      <c r="K27" s="128">
        <v>31.79</v>
      </c>
      <c r="L27" s="128">
        <v>338413.4</v>
      </c>
      <c r="M27" s="128">
        <v>226726.3</v>
      </c>
      <c r="N27" s="128">
        <v>111687.1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25" t="s">
        <v>466</v>
      </c>
      <c r="B28" s="125" t="s">
        <v>496</v>
      </c>
      <c r="C28" s="125" t="s">
        <v>456</v>
      </c>
      <c r="D28" s="125" t="s">
        <v>457</v>
      </c>
      <c r="E28" s="125" t="s">
        <v>464</v>
      </c>
      <c r="F28" s="126">
        <v>42850.0</v>
      </c>
      <c r="G28" s="127">
        <v>6.05E8</v>
      </c>
      <c r="H28" s="126">
        <v>42891.0</v>
      </c>
      <c r="I28" s="128">
        <v>3378.0</v>
      </c>
      <c r="J28" s="128">
        <v>152.58</v>
      </c>
      <c r="K28" s="128">
        <v>97.44</v>
      </c>
      <c r="L28" s="128">
        <v>515415.2</v>
      </c>
      <c r="M28" s="128">
        <v>329152.3</v>
      </c>
      <c r="N28" s="128">
        <v>186262.9</v>
      </c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125" t="s">
        <v>451</v>
      </c>
      <c r="B29" s="125" t="s">
        <v>497</v>
      </c>
      <c r="C29" s="125" t="s">
        <v>463</v>
      </c>
      <c r="D29" s="125" t="s">
        <v>454</v>
      </c>
      <c r="E29" s="125" t="s">
        <v>472</v>
      </c>
      <c r="F29" s="126">
        <v>41711.0</v>
      </c>
      <c r="G29" s="127">
        <v>1.65E8</v>
      </c>
      <c r="H29" s="126">
        <v>41760.0</v>
      </c>
      <c r="I29" s="128">
        <v>4015.0</v>
      </c>
      <c r="J29" s="128">
        <v>205.7</v>
      </c>
      <c r="K29" s="128">
        <v>117.11</v>
      </c>
      <c r="L29" s="128">
        <v>825885.5</v>
      </c>
      <c r="M29" s="128">
        <v>470196.7</v>
      </c>
      <c r="N29" s="128">
        <v>355688.9</v>
      </c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25" t="s">
        <v>458</v>
      </c>
      <c r="B30" s="125" t="s">
        <v>498</v>
      </c>
      <c r="C30" s="125" t="s">
        <v>494</v>
      </c>
      <c r="D30" s="125" t="s">
        <v>457</v>
      </c>
      <c r="E30" s="125" t="s">
        <v>464</v>
      </c>
      <c r="F30" s="126">
        <v>42519.0</v>
      </c>
      <c r="G30" s="127">
        <v>3.14E8</v>
      </c>
      <c r="H30" s="126">
        <v>42561.0</v>
      </c>
      <c r="I30" s="128">
        <v>1390.0</v>
      </c>
      <c r="J30" s="128">
        <v>9.33</v>
      </c>
      <c r="K30" s="128">
        <v>6.92</v>
      </c>
      <c r="L30" s="128">
        <v>12968.7</v>
      </c>
      <c r="M30" s="128">
        <v>9618.8</v>
      </c>
      <c r="N30" s="128">
        <v>3349.9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125" t="s">
        <v>451</v>
      </c>
      <c r="B31" s="125" t="s">
        <v>499</v>
      </c>
      <c r="C31" s="125" t="s">
        <v>478</v>
      </c>
      <c r="D31" s="125" t="s">
        <v>454</v>
      </c>
      <c r="E31" s="125" t="s">
        <v>189</v>
      </c>
      <c r="F31" s="126">
        <v>40925.0</v>
      </c>
      <c r="G31" s="127">
        <v>3.46E8</v>
      </c>
      <c r="H31" s="126">
        <v>40940.0</v>
      </c>
      <c r="I31" s="128">
        <v>4885.0</v>
      </c>
      <c r="J31" s="128">
        <v>651.21</v>
      </c>
      <c r="K31" s="128">
        <v>524.96</v>
      </c>
      <c r="L31" s="128">
        <v>3181161.0</v>
      </c>
      <c r="M31" s="128">
        <v>2564430.0</v>
      </c>
      <c r="N31" s="128">
        <v>616731.3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125" t="s">
        <v>475</v>
      </c>
      <c r="B32" s="125" t="s">
        <v>500</v>
      </c>
      <c r="C32" s="125" t="s">
        <v>453</v>
      </c>
      <c r="D32" s="125" t="s">
        <v>454</v>
      </c>
      <c r="E32" s="125" t="s">
        <v>189</v>
      </c>
      <c r="F32" s="126">
        <v>41270.0</v>
      </c>
      <c r="G32" s="127">
        <v>9.75E8</v>
      </c>
      <c r="H32" s="126">
        <v>41295.0</v>
      </c>
      <c r="I32" s="128">
        <v>5910.0</v>
      </c>
      <c r="J32" s="128">
        <v>255.28</v>
      </c>
      <c r="K32" s="128">
        <v>159.42</v>
      </c>
      <c r="L32" s="128">
        <v>1508705.0</v>
      </c>
      <c r="M32" s="128">
        <v>942172.2</v>
      </c>
      <c r="N32" s="128">
        <v>566532.6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125" t="s">
        <v>469</v>
      </c>
      <c r="B33" s="125" t="s">
        <v>501</v>
      </c>
      <c r="C33" s="125" t="s">
        <v>456</v>
      </c>
      <c r="D33" s="125" t="s">
        <v>454</v>
      </c>
      <c r="E33" s="125" t="s">
        <v>284</v>
      </c>
      <c r="F33" s="126">
        <v>41365.0</v>
      </c>
      <c r="G33" s="127">
        <v>2.86E8</v>
      </c>
      <c r="H33" s="126">
        <v>41379.0</v>
      </c>
      <c r="I33" s="128">
        <v>2907.0</v>
      </c>
      <c r="J33" s="128">
        <v>152.58</v>
      </c>
      <c r="K33" s="128">
        <v>97.44</v>
      </c>
      <c r="L33" s="128">
        <v>443550.1</v>
      </c>
      <c r="M33" s="128">
        <v>283258.1</v>
      </c>
      <c r="N33" s="128">
        <v>160292.0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125" t="s">
        <v>466</v>
      </c>
      <c r="B34" s="125" t="s">
        <v>502</v>
      </c>
      <c r="C34" s="125" t="s">
        <v>480</v>
      </c>
      <c r="D34" s="125" t="s">
        <v>457</v>
      </c>
      <c r="E34" s="125" t="s">
        <v>472</v>
      </c>
      <c r="F34" s="126">
        <v>42181.0</v>
      </c>
      <c r="G34" s="127">
        <v>4.83E8</v>
      </c>
      <c r="H34" s="126">
        <v>42222.0</v>
      </c>
      <c r="I34" s="128">
        <v>6350.0</v>
      </c>
      <c r="J34" s="128">
        <v>437.2</v>
      </c>
      <c r="K34" s="128">
        <v>263.33</v>
      </c>
      <c r="L34" s="128">
        <v>2776220.0</v>
      </c>
      <c r="M34" s="128">
        <v>1672146.0</v>
      </c>
      <c r="N34" s="128">
        <v>1104075.0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125" t="s">
        <v>469</v>
      </c>
      <c r="B35" s="125" t="s">
        <v>503</v>
      </c>
      <c r="C35" s="125" t="s">
        <v>471</v>
      </c>
      <c r="D35" s="125" t="s">
        <v>457</v>
      </c>
      <c r="E35" s="125" t="s">
        <v>189</v>
      </c>
      <c r="F35" s="126">
        <v>40925.0</v>
      </c>
      <c r="G35" s="127">
        <v>2.42E8</v>
      </c>
      <c r="H35" s="126">
        <v>40925.0</v>
      </c>
      <c r="I35" s="128">
        <v>3744.0</v>
      </c>
      <c r="J35" s="128">
        <v>109.28</v>
      </c>
      <c r="K35" s="128">
        <v>35.84</v>
      </c>
      <c r="L35" s="128">
        <v>409144.3</v>
      </c>
      <c r="M35" s="128">
        <v>134185.0</v>
      </c>
      <c r="N35" s="128">
        <v>274959.4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125" t="s">
        <v>466</v>
      </c>
      <c r="B36" s="125" t="s">
        <v>479</v>
      </c>
      <c r="C36" s="125" t="s">
        <v>471</v>
      </c>
      <c r="D36" s="125" t="s">
        <v>454</v>
      </c>
      <c r="E36" s="125" t="s">
        <v>472</v>
      </c>
      <c r="F36" s="126">
        <v>40727.0</v>
      </c>
      <c r="G36" s="127">
        <v>5.57E8</v>
      </c>
      <c r="H36" s="126">
        <v>40729.0</v>
      </c>
      <c r="I36" s="128">
        <v>4626.0</v>
      </c>
      <c r="J36" s="128">
        <v>109.28</v>
      </c>
      <c r="K36" s="128">
        <v>35.84</v>
      </c>
      <c r="L36" s="128">
        <v>505529.3</v>
      </c>
      <c r="M36" s="128">
        <v>165795.8</v>
      </c>
      <c r="N36" s="128">
        <v>339733.4</v>
      </c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125" t="s">
        <v>475</v>
      </c>
      <c r="B37" s="125" t="s">
        <v>504</v>
      </c>
      <c r="C37" s="125" t="s">
        <v>485</v>
      </c>
      <c r="D37" s="125" t="s">
        <v>454</v>
      </c>
      <c r="E37" s="125" t="s">
        <v>464</v>
      </c>
      <c r="F37" s="126">
        <v>40956.0</v>
      </c>
      <c r="G37" s="127">
        <v>6.95E8</v>
      </c>
      <c r="H37" s="126">
        <v>41001.0</v>
      </c>
      <c r="I37" s="128">
        <v>5562.0</v>
      </c>
      <c r="J37" s="128">
        <v>421.89</v>
      </c>
      <c r="K37" s="128">
        <v>364.69</v>
      </c>
      <c r="L37" s="128">
        <v>2346552.0</v>
      </c>
      <c r="M37" s="128">
        <v>2028406.0</v>
      </c>
      <c r="N37" s="128">
        <v>318146.4</v>
      </c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125" t="s">
        <v>466</v>
      </c>
      <c r="B38" s="125" t="s">
        <v>484</v>
      </c>
      <c r="C38" s="125" t="s">
        <v>494</v>
      </c>
      <c r="D38" s="125" t="s">
        <v>454</v>
      </c>
      <c r="E38" s="125" t="s">
        <v>472</v>
      </c>
      <c r="F38" s="126">
        <v>41369.0</v>
      </c>
      <c r="G38" s="127">
        <v>4.41E8</v>
      </c>
      <c r="H38" s="126">
        <v>41406.0</v>
      </c>
      <c r="I38" s="128">
        <v>5150.0</v>
      </c>
      <c r="J38" s="128">
        <v>9.33</v>
      </c>
      <c r="K38" s="128">
        <v>6.92</v>
      </c>
      <c r="L38" s="128">
        <v>48049.5</v>
      </c>
      <c r="M38" s="128">
        <v>35638.0</v>
      </c>
      <c r="N38" s="128">
        <v>12411.5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125" t="s">
        <v>458</v>
      </c>
      <c r="B39" s="125" t="s">
        <v>459</v>
      </c>
      <c r="C39" s="125" t="s">
        <v>463</v>
      </c>
      <c r="D39" s="125" t="s">
        <v>454</v>
      </c>
      <c r="E39" s="125" t="s">
        <v>189</v>
      </c>
      <c r="F39" s="126">
        <v>40732.0</v>
      </c>
      <c r="G39" s="127">
        <v>5.52E8</v>
      </c>
      <c r="H39" s="126">
        <v>40760.0</v>
      </c>
      <c r="I39" s="128">
        <v>9022.0</v>
      </c>
      <c r="J39" s="128">
        <v>205.7</v>
      </c>
      <c r="K39" s="128">
        <v>117.11</v>
      </c>
      <c r="L39" s="128">
        <v>1855825.0</v>
      </c>
      <c r="M39" s="128">
        <v>1056566.0</v>
      </c>
      <c r="N39" s="128">
        <v>799259.0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125" t="s">
        <v>469</v>
      </c>
      <c r="B40" s="125" t="s">
        <v>501</v>
      </c>
      <c r="C40" s="125" t="s">
        <v>480</v>
      </c>
      <c r="D40" s="125" t="s">
        <v>457</v>
      </c>
      <c r="E40" s="125" t="s">
        <v>284</v>
      </c>
      <c r="F40" s="126">
        <v>40963.0</v>
      </c>
      <c r="G40" s="127">
        <v>5.04E8</v>
      </c>
      <c r="H40" s="126">
        <v>40995.0</v>
      </c>
      <c r="I40" s="128">
        <v>4838.0</v>
      </c>
      <c r="J40" s="128">
        <v>437.2</v>
      </c>
      <c r="K40" s="128">
        <v>263.33</v>
      </c>
      <c r="L40" s="128">
        <v>2115174.0</v>
      </c>
      <c r="M40" s="128">
        <v>1273991.0</v>
      </c>
      <c r="N40" s="128">
        <v>841183.1</v>
      </c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125" t="s">
        <v>458</v>
      </c>
      <c r="B41" s="125" t="s">
        <v>505</v>
      </c>
      <c r="C41" s="125" t="s">
        <v>506</v>
      </c>
      <c r="D41" s="125" t="s">
        <v>457</v>
      </c>
      <c r="E41" s="125" t="s">
        <v>464</v>
      </c>
      <c r="F41" s="126">
        <v>40222.0</v>
      </c>
      <c r="G41" s="127">
        <v>7.45E8</v>
      </c>
      <c r="H41" s="126">
        <v>40269.0</v>
      </c>
      <c r="I41" s="128">
        <v>7291.0</v>
      </c>
      <c r="J41" s="128">
        <v>154.06</v>
      </c>
      <c r="K41" s="128">
        <v>90.93</v>
      </c>
      <c r="L41" s="128">
        <v>1123251.0</v>
      </c>
      <c r="M41" s="128">
        <v>662970.6</v>
      </c>
      <c r="N41" s="128">
        <v>460280.8</v>
      </c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125" t="s">
        <v>475</v>
      </c>
      <c r="B42" s="125" t="s">
        <v>507</v>
      </c>
      <c r="C42" s="125" t="s">
        <v>468</v>
      </c>
      <c r="D42" s="125" t="s">
        <v>454</v>
      </c>
      <c r="E42" s="125" t="s">
        <v>464</v>
      </c>
      <c r="F42" s="126">
        <v>42589.0</v>
      </c>
      <c r="G42" s="127">
        <v>4.41E8</v>
      </c>
      <c r="H42" s="126">
        <v>42628.0</v>
      </c>
      <c r="I42" s="128">
        <v>3104.0</v>
      </c>
      <c r="J42" s="128">
        <v>81.73</v>
      </c>
      <c r="K42" s="128">
        <v>56.67</v>
      </c>
      <c r="L42" s="128">
        <v>253689.9</v>
      </c>
      <c r="M42" s="128">
        <v>175903.7</v>
      </c>
      <c r="N42" s="128">
        <v>77786.24</v>
      </c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125" t="s">
        <v>466</v>
      </c>
      <c r="B43" s="125" t="s">
        <v>508</v>
      </c>
      <c r="C43" s="125" t="s">
        <v>471</v>
      </c>
      <c r="D43" s="125" t="s">
        <v>457</v>
      </c>
      <c r="E43" s="125" t="s">
        <v>464</v>
      </c>
      <c r="F43" s="126">
        <v>42851.0</v>
      </c>
      <c r="G43" s="127">
        <v>6.3E8</v>
      </c>
      <c r="H43" s="126">
        <v>42858.0</v>
      </c>
      <c r="I43" s="128">
        <v>6031.0</v>
      </c>
      <c r="J43" s="128">
        <v>109.28</v>
      </c>
      <c r="K43" s="128">
        <v>35.84</v>
      </c>
      <c r="L43" s="128">
        <v>659067.7</v>
      </c>
      <c r="M43" s="128">
        <v>216151.0</v>
      </c>
      <c r="N43" s="128">
        <v>442916.6</v>
      </c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125" t="s">
        <v>458</v>
      </c>
      <c r="B44" s="125" t="s">
        <v>509</v>
      </c>
      <c r="C44" s="125" t="s">
        <v>485</v>
      </c>
      <c r="D44" s="125" t="s">
        <v>454</v>
      </c>
      <c r="E44" s="125" t="s">
        <v>464</v>
      </c>
      <c r="F44" s="126">
        <v>41719.0</v>
      </c>
      <c r="G44" s="127">
        <v>1.69E8</v>
      </c>
      <c r="H44" s="126">
        <v>41739.0</v>
      </c>
      <c r="I44" s="128">
        <v>1860.0</v>
      </c>
      <c r="J44" s="128">
        <v>421.89</v>
      </c>
      <c r="K44" s="128">
        <v>364.69</v>
      </c>
      <c r="L44" s="128">
        <v>784715.4</v>
      </c>
      <c r="M44" s="128">
        <v>678323.4</v>
      </c>
      <c r="N44" s="128">
        <v>106392.0</v>
      </c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125" t="s">
        <v>466</v>
      </c>
      <c r="B45" s="125" t="s">
        <v>496</v>
      </c>
      <c r="C45" s="125" t="s">
        <v>468</v>
      </c>
      <c r="D45" s="125" t="s">
        <v>457</v>
      </c>
      <c r="E45" s="125" t="s">
        <v>464</v>
      </c>
      <c r="F45" s="126">
        <v>41672.0</v>
      </c>
      <c r="G45" s="127">
        <v>6.88E8</v>
      </c>
      <c r="H45" s="126">
        <v>41702.0</v>
      </c>
      <c r="I45" s="128">
        <v>3407.0</v>
      </c>
      <c r="J45" s="128">
        <v>81.73</v>
      </c>
      <c r="K45" s="128">
        <v>56.67</v>
      </c>
      <c r="L45" s="128">
        <v>278454.1</v>
      </c>
      <c r="M45" s="128">
        <v>193074.7</v>
      </c>
      <c r="N45" s="128">
        <v>85379.42</v>
      </c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125" t="s">
        <v>461</v>
      </c>
      <c r="B46" s="125" t="s">
        <v>510</v>
      </c>
      <c r="C46" s="125" t="s">
        <v>485</v>
      </c>
      <c r="D46" s="125" t="s">
        <v>454</v>
      </c>
      <c r="E46" s="125" t="s">
        <v>464</v>
      </c>
      <c r="F46" s="126">
        <v>42815.0</v>
      </c>
      <c r="G46" s="127">
        <v>7.35E8</v>
      </c>
      <c r="H46" s="126">
        <v>42818.0</v>
      </c>
      <c r="I46" s="128">
        <v>5522.0</v>
      </c>
      <c r="J46" s="128">
        <v>421.89</v>
      </c>
      <c r="K46" s="128">
        <v>364.69</v>
      </c>
      <c r="L46" s="128">
        <v>2329677.0</v>
      </c>
      <c r="M46" s="128">
        <v>2013818.0</v>
      </c>
      <c r="N46" s="128">
        <v>315858.4</v>
      </c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125" t="s">
        <v>461</v>
      </c>
      <c r="B47" s="125" t="s">
        <v>511</v>
      </c>
      <c r="C47" s="125" t="s">
        <v>456</v>
      </c>
      <c r="D47" s="125" t="s">
        <v>454</v>
      </c>
      <c r="E47" s="125" t="s">
        <v>284</v>
      </c>
      <c r="F47" s="126">
        <v>41492.0</v>
      </c>
      <c r="G47" s="127">
        <v>7.27E8</v>
      </c>
      <c r="H47" s="126">
        <v>41539.0</v>
      </c>
      <c r="I47" s="128">
        <v>84.0</v>
      </c>
      <c r="J47" s="128">
        <v>152.58</v>
      </c>
      <c r="K47" s="128">
        <v>97.44</v>
      </c>
      <c r="L47" s="128">
        <v>12816.72</v>
      </c>
      <c r="M47" s="128">
        <v>8184.96</v>
      </c>
      <c r="N47" s="128">
        <v>4631.76</v>
      </c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125" t="s">
        <v>466</v>
      </c>
      <c r="B48" s="125" t="s">
        <v>492</v>
      </c>
      <c r="C48" s="125" t="s">
        <v>453</v>
      </c>
      <c r="D48" s="125" t="s">
        <v>457</v>
      </c>
      <c r="E48" s="125" t="s">
        <v>189</v>
      </c>
      <c r="F48" s="126">
        <v>42734.0</v>
      </c>
      <c r="G48" s="127">
        <v>7.06E8</v>
      </c>
      <c r="H48" s="126">
        <v>42760.0</v>
      </c>
      <c r="I48" s="128">
        <v>1003.0</v>
      </c>
      <c r="J48" s="128">
        <v>255.28</v>
      </c>
      <c r="K48" s="128">
        <v>159.42</v>
      </c>
      <c r="L48" s="128">
        <v>256045.8</v>
      </c>
      <c r="M48" s="128">
        <v>159898.3</v>
      </c>
      <c r="N48" s="128">
        <v>96147.58</v>
      </c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125" t="s">
        <v>475</v>
      </c>
      <c r="B49" s="125" t="s">
        <v>512</v>
      </c>
      <c r="C49" s="125" t="s">
        <v>478</v>
      </c>
      <c r="D49" s="125" t="s">
        <v>457</v>
      </c>
      <c r="E49" s="125" t="s">
        <v>284</v>
      </c>
      <c r="F49" s="126">
        <v>42280.0</v>
      </c>
      <c r="G49" s="127">
        <v>7.79E8</v>
      </c>
      <c r="H49" s="126">
        <v>42280.0</v>
      </c>
      <c r="I49" s="128">
        <v>9224.0</v>
      </c>
      <c r="J49" s="128">
        <v>651.21</v>
      </c>
      <c r="K49" s="128">
        <v>524.96</v>
      </c>
      <c r="L49" s="128">
        <v>6006761.0</v>
      </c>
      <c r="M49" s="128">
        <v>4842231.0</v>
      </c>
      <c r="N49" s="128">
        <v>1164530.0</v>
      </c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125" t="s">
        <v>475</v>
      </c>
      <c r="B50" s="125" t="s">
        <v>513</v>
      </c>
      <c r="C50" s="125" t="s">
        <v>480</v>
      </c>
      <c r="D50" s="125" t="s">
        <v>457</v>
      </c>
      <c r="E50" s="125" t="s">
        <v>189</v>
      </c>
      <c r="F50" s="126">
        <v>41789.0</v>
      </c>
      <c r="G50" s="127">
        <v>6.77E8</v>
      </c>
      <c r="H50" s="126">
        <v>41829.0</v>
      </c>
      <c r="I50" s="128">
        <v>7718.0</v>
      </c>
      <c r="J50" s="128">
        <v>437.2</v>
      </c>
      <c r="K50" s="128">
        <v>263.33</v>
      </c>
      <c r="L50" s="128">
        <v>3374310.0</v>
      </c>
      <c r="M50" s="128">
        <v>2032381.0</v>
      </c>
      <c r="N50" s="128">
        <v>1341929.0</v>
      </c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125" t="s">
        <v>466</v>
      </c>
      <c r="B51" s="125" t="s">
        <v>484</v>
      </c>
      <c r="C51" s="125" t="s">
        <v>514</v>
      </c>
      <c r="D51" s="125" t="s">
        <v>457</v>
      </c>
      <c r="E51" s="125" t="s">
        <v>189</v>
      </c>
      <c r="F51" s="126">
        <v>41927.0</v>
      </c>
      <c r="G51" s="127">
        <v>1.99E8</v>
      </c>
      <c r="H51" s="126">
        <v>41928.0</v>
      </c>
      <c r="I51" s="128">
        <v>6492.0</v>
      </c>
      <c r="J51" s="128">
        <v>668.27</v>
      </c>
      <c r="K51" s="128">
        <v>502.54</v>
      </c>
      <c r="L51" s="128">
        <v>4338409.0</v>
      </c>
      <c r="M51" s="128">
        <v>3262490.0</v>
      </c>
      <c r="N51" s="128">
        <v>1075919.0</v>
      </c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125" t="s">
        <v>458</v>
      </c>
      <c r="B52" s="125" t="s">
        <v>515</v>
      </c>
      <c r="C52" s="125" t="s">
        <v>460</v>
      </c>
      <c r="D52" s="125" t="s">
        <v>454</v>
      </c>
      <c r="E52" s="125" t="s">
        <v>472</v>
      </c>
      <c r="F52" s="126">
        <v>40984.0</v>
      </c>
      <c r="G52" s="127">
        <v>5.66E8</v>
      </c>
      <c r="H52" s="126">
        <v>40991.0</v>
      </c>
      <c r="I52" s="128">
        <v>7581.0</v>
      </c>
      <c r="J52" s="128">
        <v>47.45</v>
      </c>
      <c r="K52" s="128">
        <v>31.79</v>
      </c>
      <c r="L52" s="128">
        <v>359718.5</v>
      </c>
      <c r="M52" s="128">
        <v>241000.0</v>
      </c>
      <c r="N52" s="128">
        <v>118718.5</v>
      </c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125" t="s">
        <v>461</v>
      </c>
      <c r="B53" s="125" t="s">
        <v>516</v>
      </c>
      <c r="C53" s="125" t="s">
        <v>453</v>
      </c>
      <c r="D53" s="125" t="s">
        <v>454</v>
      </c>
      <c r="E53" s="125" t="s">
        <v>189</v>
      </c>
      <c r="F53" s="126">
        <v>41786.0</v>
      </c>
      <c r="G53" s="127">
        <v>3.7E8</v>
      </c>
      <c r="H53" s="126">
        <v>41803.0</v>
      </c>
      <c r="I53" s="128">
        <v>52.0</v>
      </c>
      <c r="J53" s="128">
        <v>255.28</v>
      </c>
      <c r="K53" s="128">
        <v>159.42</v>
      </c>
      <c r="L53" s="128">
        <v>13274.56</v>
      </c>
      <c r="M53" s="128">
        <v>8289.84</v>
      </c>
      <c r="N53" s="128">
        <v>4984.72</v>
      </c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125" t="s">
        <v>458</v>
      </c>
      <c r="B54" s="125" t="s">
        <v>517</v>
      </c>
      <c r="C54" s="125" t="s">
        <v>456</v>
      </c>
      <c r="D54" s="125" t="s">
        <v>454</v>
      </c>
      <c r="E54" s="125" t="s">
        <v>189</v>
      </c>
      <c r="F54" s="126">
        <v>42016.0</v>
      </c>
      <c r="G54" s="127">
        <v>5.19E8</v>
      </c>
      <c r="H54" s="126">
        <v>42021.0</v>
      </c>
      <c r="I54" s="128">
        <v>5005.0</v>
      </c>
      <c r="J54" s="128">
        <v>152.58</v>
      </c>
      <c r="K54" s="128">
        <v>97.44</v>
      </c>
      <c r="L54" s="128">
        <v>763662.9</v>
      </c>
      <c r="M54" s="128">
        <v>487687.2</v>
      </c>
      <c r="N54" s="128">
        <v>275975.7</v>
      </c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125" t="s">
        <v>461</v>
      </c>
      <c r="B55" s="125" t="s">
        <v>510</v>
      </c>
      <c r="C55" s="125" t="s">
        <v>478</v>
      </c>
      <c r="D55" s="125" t="s">
        <v>454</v>
      </c>
      <c r="E55" s="125" t="s">
        <v>472</v>
      </c>
      <c r="F55" s="126">
        <v>41131.0</v>
      </c>
      <c r="G55" s="127">
        <v>1.97E8</v>
      </c>
      <c r="H55" s="126">
        <v>41163.0</v>
      </c>
      <c r="I55" s="128">
        <v>568.0</v>
      </c>
      <c r="J55" s="128">
        <v>651.21</v>
      </c>
      <c r="K55" s="128">
        <v>524.96</v>
      </c>
      <c r="L55" s="128">
        <v>369887.3</v>
      </c>
      <c r="M55" s="128">
        <v>298177.3</v>
      </c>
      <c r="N55" s="128">
        <v>71710.0</v>
      </c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125" t="s">
        <v>458</v>
      </c>
      <c r="B56" s="125" t="s">
        <v>518</v>
      </c>
      <c r="C56" s="125" t="s">
        <v>478</v>
      </c>
      <c r="D56" s="125" t="s">
        <v>454</v>
      </c>
      <c r="E56" s="125" t="s">
        <v>472</v>
      </c>
      <c r="F56" s="126">
        <v>41742.0</v>
      </c>
      <c r="G56" s="127">
        <v>9.05E8</v>
      </c>
      <c r="H56" s="126">
        <v>41763.0</v>
      </c>
      <c r="I56" s="128">
        <v>6905.0</v>
      </c>
      <c r="J56" s="128">
        <v>651.21</v>
      </c>
      <c r="K56" s="128">
        <v>524.96</v>
      </c>
      <c r="L56" s="128">
        <v>4496605.0</v>
      </c>
      <c r="M56" s="128">
        <v>3624849.0</v>
      </c>
      <c r="N56" s="128">
        <v>871756.3</v>
      </c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125" t="s">
        <v>469</v>
      </c>
      <c r="B57" s="125" t="s">
        <v>495</v>
      </c>
      <c r="C57" s="125" t="s">
        <v>514</v>
      </c>
      <c r="D57" s="125" t="s">
        <v>457</v>
      </c>
      <c r="E57" s="125" t="s">
        <v>472</v>
      </c>
      <c r="F57" s="126">
        <v>42697.0</v>
      </c>
      <c r="G57" s="127">
        <v>6.14E8</v>
      </c>
      <c r="H57" s="126">
        <v>42735.0</v>
      </c>
      <c r="I57" s="128">
        <v>1205.0</v>
      </c>
      <c r="J57" s="128">
        <v>668.27</v>
      </c>
      <c r="K57" s="128">
        <v>502.54</v>
      </c>
      <c r="L57" s="128">
        <v>805265.4</v>
      </c>
      <c r="M57" s="128">
        <v>605560.7</v>
      </c>
      <c r="N57" s="128">
        <v>199704.7</v>
      </c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125" t="s">
        <v>469</v>
      </c>
      <c r="B58" s="125" t="s">
        <v>519</v>
      </c>
      <c r="C58" s="125" t="s">
        <v>471</v>
      </c>
      <c r="D58" s="125" t="s">
        <v>457</v>
      </c>
      <c r="E58" s="125" t="s">
        <v>189</v>
      </c>
      <c r="F58" s="126">
        <v>40473.0</v>
      </c>
      <c r="G58" s="127">
        <v>5.16E8</v>
      </c>
      <c r="H58" s="126">
        <v>40480.0</v>
      </c>
      <c r="I58" s="128">
        <v>2694.0</v>
      </c>
      <c r="J58" s="128">
        <v>109.28</v>
      </c>
      <c r="K58" s="128">
        <v>35.84</v>
      </c>
      <c r="L58" s="128">
        <v>294400.3</v>
      </c>
      <c r="M58" s="128">
        <v>96552.96</v>
      </c>
      <c r="N58" s="128">
        <v>197847.4</v>
      </c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125" t="s">
        <v>461</v>
      </c>
      <c r="B59" s="125" t="s">
        <v>511</v>
      </c>
      <c r="C59" s="125" t="s">
        <v>506</v>
      </c>
      <c r="D59" s="125" t="s">
        <v>457</v>
      </c>
      <c r="E59" s="125" t="s">
        <v>472</v>
      </c>
      <c r="F59" s="126">
        <v>41611.0</v>
      </c>
      <c r="G59" s="127">
        <v>9.75E8</v>
      </c>
      <c r="H59" s="126">
        <v>41656.0</v>
      </c>
      <c r="I59" s="128">
        <v>7626.0</v>
      </c>
      <c r="J59" s="128">
        <v>154.06</v>
      </c>
      <c r="K59" s="128">
        <v>90.93</v>
      </c>
      <c r="L59" s="128">
        <v>1174862.0</v>
      </c>
      <c r="M59" s="128">
        <v>693432.2</v>
      </c>
      <c r="N59" s="128">
        <v>481429.4</v>
      </c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125" t="s">
        <v>469</v>
      </c>
      <c r="B60" s="125" t="s">
        <v>520</v>
      </c>
      <c r="C60" s="125" t="s">
        <v>471</v>
      </c>
      <c r="D60" s="125" t="s">
        <v>454</v>
      </c>
      <c r="E60" s="125" t="s">
        <v>189</v>
      </c>
      <c r="F60" s="126">
        <v>41981.0</v>
      </c>
      <c r="G60" s="127">
        <v>1.73E8</v>
      </c>
      <c r="H60" s="126">
        <v>42007.0</v>
      </c>
      <c r="I60" s="128">
        <v>4287.0</v>
      </c>
      <c r="J60" s="128">
        <v>109.28</v>
      </c>
      <c r="K60" s="128">
        <v>35.84</v>
      </c>
      <c r="L60" s="128">
        <v>468483.4</v>
      </c>
      <c r="M60" s="128">
        <v>153646.1</v>
      </c>
      <c r="N60" s="128">
        <v>314837.3</v>
      </c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125" t="s">
        <v>475</v>
      </c>
      <c r="B61" s="125" t="s">
        <v>521</v>
      </c>
      <c r="C61" s="125" t="s">
        <v>468</v>
      </c>
      <c r="D61" s="125" t="s">
        <v>457</v>
      </c>
      <c r="E61" s="125" t="s">
        <v>472</v>
      </c>
      <c r="F61" s="126">
        <v>41989.0</v>
      </c>
      <c r="G61" s="127">
        <v>8.64E8</v>
      </c>
      <c r="H61" s="126">
        <v>42009.0</v>
      </c>
      <c r="I61" s="128">
        <v>7995.0</v>
      </c>
      <c r="J61" s="128">
        <v>81.73</v>
      </c>
      <c r="K61" s="128">
        <v>56.67</v>
      </c>
      <c r="L61" s="128">
        <v>653431.4</v>
      </c>
      <c r="M61" s="128">
        <v>453076.7</v>
      </c>
      <c r="N61" s="128">
        <v>200354.7</v>
      </c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125" t="s">
        <v>461</v>
      </c>
      <c r="B62" s="125" t="s">
        <v>522</v>
      </c>
      <c r="C62" s="125" t="s">
        <v>463</v>
      </c>
      <c r="D62" s="125" t="s">
        <v>457</v>
      </c>
      <c r="E62" s="125" t="s">
        <v>464</v>
      </c>
      <c r="F62" s="126">
        <v>42431.0</v>
      </c>
      <c r="G62" s="127">
        <v>9.2E8</v>
      </c>
      <c r="H62" s="126">
        <v>42435.0</v>
      </c>
      <c r="I62" s="128">
        <v>6099.0</v>
      </c>
      <c r="J62" s="128">
        <v>205.7</v>
      </c>
      <c r="K62" s="128">
        <v>117.11</v>
      </c>
      <c r="L62" s="128">
        <v>1254564.0</v>
      </c>
      <c r="M62" s="128">
        <v>714253.9</v>
      </c>
      <c r="N62" s="128">
        <v>540310.4</v>
      </c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125" t="s">
        <v>451</v>
      </c>
      <c r="B63" s="125" t="s">
        <v>523</v>
      </c>
      <c r="C63" s="125" t="s">
        <v>485</v>
      </c>
      <c r="D63" s="125" t="s">
        <v>454</v>
      </c>
      <c r="E63" s="125" t="s">
        <v>189</v>
      </c>
      <c r="F63" s="126">
        <v>40341.0</v>
      </c>
      <c r="G63" s="127">
        <v>9.86E8</v>
      </c>
      <c r="H63" s="126">
        <v>40389.0</v>
      </c>
      <c r="I63" s="128">
        <v>2977.0</v>
      </c>
      <c r="J63" s="128">
        <v>421.89</v>
      </c>
      <c r="K63" s="128">
        <v>364.69</v>
      </c>
      <c r="L63" s="128">
        <v>1255967.0</v>
      </c>
      <c r="M63" s="128">
        <v>1085682.0</v>
      </c>
      <c r="N63" s="128">
        <v>170284.4</v>
      </c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125" t="s">
        <v>466</v>
      </c>
      <c r="B64" s="125" t="s">
        <v>524</v>
      </c>
      <c r="C64" s="125" t="s">
        <v>463</v>
      </c>
      <c r="D64" s="125" t="s">
        <v>454</v>
      </c>
      <c r="E64" s="125" t="s">
        <v>464</v>
      </c>
      <c r="F64" s="126">
        <v>41443.0</v>
      </c>
      <c r="G64" s="127">
        <v>4.26E8</v>
      </c>
      <c r="H64" s="126">
        <v>41473.0</v>
      </c>
      <c r="I64" s="128">
        <v>5042.0</v>
      </c>
      <c r="J64" s="128">
        <v>205.7</v>
      </c>
      <c r="K64" s="128">
        <v>117.11</v>
      </c>
      <c r="L64" s="128">
        <v>1037139.0</v>
      </c>
      <c r="M64" s="128">
        <v>590468.6</v>
      </c>
      <c r="N64" s="128">
        <v>446670.8</v>
      </c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125" t="s">
        <v>451</v>
      </c>
      <c r="B65" s="125" t="s">
        <v>482</v>
      </c>
      <c r="C65" s="125" t="s">
        <v>460</v>
      </c>
      <c r="D65" s="125" t="s">
        <v>454</v>
      </c>
      <c r="E65" s="125" t="s">
        <v>464</v>
      </c>
      <c r="F65" s="126">
        <v>42167.0</v>
      </c>
      <c r="G65" s="127">
        <v>4.74E8</v>
      </c>
      <c r="H65" s="126">
        <v>42188.0</v>
      </c>
      <c r="I65" s="128">
        <v>5736.0</v>
      </c>
      <c r="J65" s="128">
        <v>47.45</v>
      </c>
      <c r="K65" s="128">
        <v>31.79</v>
      </c>
      <c r="L65" s="128">
        <v>272173.2</v>
      </c>
      <c r="M65" s="128">
        <v>182347.4</v>
      </c>
      <c r="N65" s="128">
        <v>89825.76</v>
      </c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125" t="s">
        <v>458</v>
      </c>
      <c r="B66" s="125" t="s">
        <v>473</v>
      </c>
      <c r="C66" s="125" t="s">
        <v>453</v>
      </c>
      <c r="D66" s="125" t="s">
        <v>454</v>
      </c>
      <c r="E66" s="125" t="s">
        <v>284</v>
      </c>
      <c r="F66" s="126">
        <v>42098.0</v>
      </c>
      <c r="G66" s="127">
        <v>1.84E8</v>
      </c>
      <c r="H66" s="126">
        <v>42101.0</v>
      </c>
      <c r="I66" s="128">
        <v>531.0</v>
      </c>
      <c r="J66" s="128">
        <v>255.28</v>
      </c>
      <c r="K66" s="128">
        <v>159.42</v>
      </c>
      <c r="L66" s="128">
        <v>135553.7</v>
      </c>
      <c r="M66" s="128">
        <v>84652.02</v>
      </c>
      <c r="N66" s="128">
        <v>50901.66</v>
      </c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125" t="s">
        <v>461</v>
      </c>
      <c r="B67" s="125" t="s">
        <v>525</v>
      </c>
      <c r="C67" s="125" t="s">
        <v>506</v>
      </c>
      <c r="D67" s="125" t="s">
        <v>457</v>
      </c>
      <c r="E67" s="125" t="s">
        <v>472</v>
      </c>
      <c r="F67" s="126">
        <v>42594.0</v>
      </c>
      <c r="G67" s="127">
        <v>4.83E8</v>
      </c>
      <c r="H67" s="126">
        <v>42643.0</v>
      </c>
      <c r="I67" s="128">
        <v>1934.0</v>
      </c>
      <c r="J67" s="128">
        <v>154.06</v>
      </c>
      <c r="K67" s="128">
        <v>90.93</v>
      </c>
      <c r="L67" s="128">
        <v>297952.0</v>
      </c>
      <c r="M67" s="128">
        <v>175858.6</v>
      </c>
      <c r="N67" s="128">
        <v>122093.4</v>
      </c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125" t="s">
        <v>451</v>
      </c>
      <c r="B68" s="125" t="s">
        <v>490</v>
      </c>
      <c r="C68" s="125" t="s">
        <v>514</v>
      </c>
      <c r="D68" s="125" t="s">
        <v>454</v>
      </c>
      <c r="E68" s="125" t="s">
        <v>472</v>
      </c>
      <c r="F68" s="126">
        <v>42635.0</v>
      </c>
      <c r="G68" s="127">
        <v>1.15E8</v>
      </c>
      <c r="H68" s="126">
        <v>42675.0</v>
      </c>
      <c r="I68" s="128">
        <v>4481.0</v>
      </c>
      <c r="J68" s="128">
        <v>668.27</v>
      </c>
      <c r="K68" s="128">
        <v>502.54</v>
      </c>
      <c r="L68" s="128">
        <v>2994518.0</v>
      </c>
      <c r="M68" s="128">
        <v>2251882.0</v>
      </c>
      <c r="N68" s="128">
        <v>742636.1</v>
      </c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125" t="s">
        <v>466</v>
      </c>
      <c r="B69" s="125" t="s">
        <v>508</v>
      </c>
      <c r="C69" s="125" t="s">
        <v>453</v>
      </c>
      <c r="D69" s="125" t="s">
        <v>454</v>
      </c>
      <c r="E69" s="125" t="s">
        <v>189</v>
      </c>
      <c r="F69" s="126">
        <v>40207.0</v>
      </c>
      <c r="G69" s="127">
        <v>5.96E8</v>
      </c>
      <c r="H69" s="126">
        <v>40257.0</v>
      </c>
      <c r="I69" s="128">
        <v>9738.0</v>
      </c>
      <c r="J69" s="128">
        <v>255.28</v>
      </c>
      <c r="K69" s="128">
        <v>159.42</v>
      </c>
      <c r="L69" s="128">
        <v>2485917.0</v>
      </c>
      <c r="M69" s="128">
        <v>1552432.0</v>
      </c>
      <c r="N69" s="128">
        <v>933484.7</v>
      </c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125" t="s">
        <v>475</v>
      </c>
      <c r="B70" s="125" t="s">
        <v>526</v>
      </c>
      <c r="C70" s="125" t="s">
        <v>456</v>
      </c>
      <c r="D70" s="125" t="s">
        <v>454</v>
      </c>
      <c r="E70" s="125" t="s">
        <v>284</v>
      </c>
      <c r="F70" s="126">
        <v>41983.0</v>
      </c>
      <c r="G70" s="127">
        <v>3.62E8</v>
      </c>
      <c r="H70" s="126">
        <v>41996.0</v>
      </c>
      <c r="I70" s="128">
        <v>1304.0</v>
      </c>
      <c r="J70" s="128">
        <v>152.58</v>
      </c>
      <c r="K70" s="128">
        <v>97.44</v>
      </c>
      <c r="L70" s="128">
        <v>198964.3</v>
      </c>
      <c r="M70" s="128">
        <v>127061.8</v>
      </c>
      <c r="N70" s="128">
        <v>71902.56</v>
      </c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125" t="s">
        <v>475</v>
      </c>
      <c r="B71" s="125" t="s">
        <v>527</v>
      </c>
      <c r="C71" s="125" t="s">
        <v>460</v>
      </c>
      <c r="D71" s="125" t="s">
        <v>454</v>
      </c>
      <c r="E71" s="125" t="s">
        <v>472</v>
      </c>
      <c r="F71" s="126">
        <v>42579.0</v>
      </c>
      <c r="G71" s="127">
        <v>6.19E8</v>
      </c>
      <c r="H71" s="126">
        <v>42584.0</v>
      </c>
      <c r="I71" s="128">
        <v>9810.0</v>
      </c>
      <c r="J71" s="128">
        <v>47.45</v>
      </c>
      <c r="K71" s="128">
        <v>31.79</v>
      </c>
      <c r="L71" s="128">
        <v>465484.5</v>
      </c>
      <c r="M71" s="128">
        <v>311859.9</v>
      </c>
      <c r="N71" s="128">
        <v>153624.6</v>
      </c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125" t="s">
        <v>451</v>
      </c>
      <c r="B72" s="125" t="s">
        <v>483</v>
      </c>
      <c r="C72" s="125" t="s">
        <v>471</v>
      </c>
      <c r="D72" s="125" t="s">
        <v>457</v>
      </c>
      <c r="E72" s="125" t="s">
        <v>472</v>
      </c>
      <c r="F72" s="126">
        <v>42531.0</v>
      </c>
      <c r="G72" s="127">
        <v>3.94E8</v>
      </c>
      <c r="H72" s="126">
        <v>42544.0</v>
      </c>
      <c r="I72" s="128">
        <v>7916.0</v>
      </c>
      <c r="J72" s="128">
        <v>109.28</v>
      </c>
      <c r="K72" s="128">
        <v>35.84</v>
      </c>
      <c r="L72" s="128">
        <v>865060.5</v>
      </c>
      <c r="M72" s="128">
        <v>283709.4</v>
      </c>
      <c r="N72" s="128">
        <v>581351.0</v>
      </c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125" t="s">
        <v>475</v>
      </c>
      <c r="B73" s="125" t="s">
        <v>528</v>
      </c>
      <c r="C73" s="125" t="s">
        <v>460</v>
      </c>
      <c r="D73" s="125" t="s">
        <v>454</v>
      </c>
      <c r="E73" s="125" t="s">
        <v>189</v>
      </c>
      <c r="F73" s="126">
        <v>41380.0</v>
      </c>
      <c r="G73" s="127">
        <v>5.84E8</v>
      </c>
      <c r="H73" s="126">
        <v>41392.0</v>
      </c>
      <c r="I73" s="128">
        <v>5315.0</v>
      </c>
      <c r="J73" s="128">
        <v>47.45</v>
      </c>
      <c r="K73" s="128">
        <v>31.79</v>
      </c>
      <c r="L73" s="128">
        <v>252196.8</v>
      </c>
      <c r="M73" s="128">
        <v>168963.9</v>
      </c>
      <c r="N73" s="128">
        <v>83232.9</v>
      </c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125" t="s">
        <v>466</v>
      </c>
      <c r="B74" s="125" t="s">
        <v>492</v>
      </c>
      <c r="C74" s="125" t="s">
        <v>471</v>
      </c>
      <c r="D74" s="125" t="s">
        <v>457</v>
      </c>
      <c r="E74" s="125" t="s">
        <v>189</v>
      </c>
      <c r="F74" s="126">
        <v>41825.0</v>
      </c>
      <c r="G74" s="127">
        <v>8.06E8</v>
      </c>
      <c r="H74" s="126">
        <v>41866.0</v>
      </c>
      <c r="I74" s="128">
        <v>3730.0</v>
      </c>
      <c r="J74" s="128">
        <v>109.28</v>
      </c>
      <c r="K74" s="128">
        <v>35.84</v>
      </c>
      <c r="L74" s="128">
        <v>407614.4</v>
      </c>
      <c r="M74" s="128">
        <v>133683.2</v>
      </c>
      <c r="N74" s="128">
        <v>273931.2</v>
      </c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125" t="s">
        <v>458</v>
      </c>
      <c r="B75" s="125" t="s">
        <v>529</v>
      </c>
      <c r="C75" s="125" t="s">
        <v>485</v>
      </c>
      <c r="D75" s="125" t="s">
        <v>457</v>
      </c>
      <c r="E75" s="125" t="s">
        <v>189</v>
      </c>
      <c r="F75" s="126">
        <v>42802.0</v>
      </c>
      <c r="G75" s="127">
        <v>7.48E8</v>
      </c>
      <c r="H75" s="126">
        <v>42828.0</v>
      </c>
      <c r="I75" s="128">
        <v>1916.0</v>
      </c>
      <c r="J75" s="128">
        <v>421.89</v>
      </c>
      <c r="K75" s="128">
        <v>364.69</v>
      </c>
      <c r="L75" s="128">
        <v>808341.2</v>
      </c>
      <c r="M75" s="128">
        <v>698746.0</v>
      </c>
      <c r="N75" s="128">
        <v>109595.2</v>
      </c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125" t="s">
        <v>451</v>
      </c>
      <c r="B76" s="125" t="s">
        <v>455</v>
      </c>
      <c r="C76" s="125" t="s">
        <v>485</v>
      </c>
      <c r="D76" s="125" t="s">
        <v>454</v>
      </c>
      <c r="E76" s="125" t="s">
        <v>472</v>
      </c>
      <c r="F76" s="126">
        <v>40871.0</v>
      </c>
      <c r="G76" s="127">
        <v>6.17E8</v>
      </c>
      <c r="H76" s="126">
        <v>40880.0</v>
      </c>
      <c r="I76" s="128">
        <v>660.0</v>
      </c>
      <c r="J76" s="128">
        <v>421.89</v>
      </c>
      <c r="K76" s="128">
        <v>364.69</v>
      </c>
      <c r="L76" s="128">
        <v>278447.4</v>
      </c>
      <c r="M76" s="128">
        <v>240695.4</v>
      </c>
      <c r="N76" s="128">
        <v>37752.0</v>
      </c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125" t="s">
        <v>469</v>
      </c>
      <c r="B77" s="125" t="s">
        <v>530</v>
      </c>
      <c r="C77" s="125" t="s">
        <v>453</v>
      </c>
      <c r="D77" s="125" t="s">
        <v>457</v>
      </c>
      <c r="E77" s="125" t="s">
        <v>284</v>
      </c>
      <c r="F77" s="126">
        <v>42663.0</v>
      </c>
      <c r="G77" s="127">
        <v>6.91E8</v>
      </c>
      <c r="H77" s="126">
        <v>42681.0</v>
      </c>
      <c r="I77" s="128">
        <v>7779.0</v>
      </c>
      <c r="J77" s="128">
        <v>255.28</v>
      </c>
      <c r="K77" s="128">
        <v>159.42</v>
      </c>
      <c r="L77" s="128">
        <v>1985823.0</v>
      </c>
      <c r="M77" s="128">
        <v>1240128.0</v>
      </c>
      <c r="N77" s="128">
        <v>745694.9</v>
      </c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125" t="s">
        <v>451</v>
      </c>
      <c r="B78" s="125" t="s">
        <v>483</v>
      </c>
      <c r="C78" s="125" t="s">
        <v>460</v>
      </c>
      <c r="D78" s="125" t="s">
        <v>454</v>
      </c>
      <c r="E78" s="125" t="s">
        <v>284</v>
      </c>
      <c r="F78" s="126">
        <v>41365.0</v>
      </c>
      <c r="G78" s="127">
        <v>8.7E8</v>
      </c>
      <c r="H78" s="126">
        <v>41410.0</v>
      </c>
      <c r="I78" s="128">
        <v>3121.0</v>
      </c>
      <c r="J78" s="128">
        <v>47.45</v>
      </c>
      <c r="K78" s="128">
        <v>31.79</v>
      </c>
      <c r="L78" s="128">
        <v>148091.5</v>
      </c>
      <c r="M78" s="128">
        <v>99216.59</v>
      </c>
      <c r="N78" s="128">
        <v>48874.86</v>
      </c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125" t="s">
        <v>466</v>
      </c>
      <c r="B79" s="125" t="s">
        <v>531</v>
      </c>
      <c r="C79" s="125" t="s">
        <v>478</v>
      </c>
      <c r="D79" s="125" t="s">
        <v>454</v>
      </c>
      <c r="E79" s="125" t="s">
        <v>472</v>
      </c>
      <c r="F79" s="126">
        <v>40238.0</v>
      </c>
      <c r="G79" s="127">
        <v>2.22E8</v>
      </c>
      <c r="H79" s="126">
        <v>40257.0</v>
      </c>
      <c r="I79" s="128">
        <v>3566.0</v>
      </c>
      <c r="J79" s="128">
        <v>651.21</v>
      </c>
      <c r="K79" s="128">
        <v>524.96</v>
      </c>
      <c r="L79" s="128">
        <v>2322215.0</v>
      </c>
      <c r="M79" s="128">
        <v>1872007.0</v>
      </c>
      <c r="N79" s="128">
        <v>450207.5</v>
      </c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125" t="s">
        <v>469</v>
      </c>
      <c r="B80" s="125" t="s">
        <v>501</v>
      </c>
      <c r="C80" s="125" t="s">
        <v>494</v>
      </c>
      <c r="D80" s="125" t="s">
        <v>454</v>
      </c>
      <c r="E80" s="125" t="s">
        <v>189</v>
      </c>
      <c r="F80" s="126">
        <v>42929.0</v>
      </c>
      <c r="G80" s="127">
        <v>1.35E8</v>
      </c>
      <c r="H80" s="126">
        <v>42964.0</v>
      </c>
      <c r="I80" s="128">
        <v>8026.0</v>
      </c>
      <c r="J80" s="128">
        <v>9.33</v>
      </c>
      <c r="K80" s="128">
        <v>6.92</v>
      </c>
      <c r="L80" s="128">
        <v>74882.58</v>
      </c>
      <c r="M80" s="128">
        <v>55539.92</v>
      </c>
      <c r="N80" s="128">
        <v>19342.66</v>
      </c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125" t="s">
        <v>469</v>
      </c>
      <c r="B81" s="125" t="s">
        <v>470</v>
      </c>
      <c r="C81" s="125" t="s">
        <v>478</v>
      </c>
      <c r="D81" s="125" t="s">
        <v>454</v>
      </c>
      <c r="E81" s="125" t="s">
        <v>464</v>
      </c>
      <c r="F81" s="126">
        <v>41028.0</v>
      </c>
      <c r="G81" s="127">
        <v>2.7E8</v>
      </c>
      <c r="H81" s="126">
        <v>41052.0</v>
      </c>
      <c r="I81" s="128">
        <v>2443.0</v>
      </c>
      <c r="J81" s="128">
        <v>651.21</v>
      </c>
      <c r="K81" s="128">
        <v>524.96</v>
      </c>
      <c r="L81" s="128">
        <v>1590906.0</v>
      </c>
      <c r="M81" s="128">
        <v>1282477.0</v>
      </c>
      <c r="N81" s="128">
        <v>308428.8</v>
      </c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125" t="s">
        <v>475</v>
      </c>
      <c r="B82" s="125" t="s">
        <v>532</v>
      </c>
      <c r="C82" s="125" t="s">
        <v>514</v>
      </c>
      <c r="D82" s="125" t="s">
        <v>454</v>
      </c>
      <c r="E82" s="125" t="s">
        <v>472</v>
      </c>
      <c r="F82" s="126">
        <v>40345.0</v>
      </c>
      <c r="G82" s="127">
        <v>8.07E8</v>
      </c>
      <c r="H82" s="126">
        <v>40377.0</v>
      </c>
      <c r="I82" s="128">
        <v>4790.0</v>
      </c>
      <c r="J82" s="128">
        <v>668.27</v>
      </c>
      <c r="K82" s="128">
        <v>502.54</v>
      </c>
      <c r="L82" s="128">
        <v>3201013.0</v>
      </c>
      <c r="M82" s="128">
        <v>2407167.0</v>
      </c>
      <c r="N82" s="128">
        <v>793846.7</v>
      </c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125" t="s">
        <v>458</v>
      </c>
      <c r="B83" s="125" t="s">
        <v>533</v>
      </c>
      <c r="C83" s="125" t="s">
        <v>514</v>
      </c>
      <c r="D83" s="125" t="s">
        <v>454</v>
      </c>
      <c r="E83" s="125" t="s">
        <v>189</v>
      </c>
      <c r="F83" s="126">
        <v>42926.0</v>
      </c>
      <c r="G83" s="127">
        <v>1.94E8</v>
      </c>
      <c r="H83" s="126">
        <v>42967.0</v>
      </c>
      <c r="I83" s="128">
        <v>72.0</v>
      </c>
      <c r="J83" s="128">
        <v>668.27</v>
      </c>
      <c r="K83" s="128">
        <v>502.54</v>
      </c>
      <c r="L83" s="128">
        <v>48115.44</v>
      </c>
      <c r="M83" s="128">
        <v>36182.88</v>
      </c>
      <c r="N83" s="128">
        <v>11932.56</v>
      </c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125" t="s">
        <v>466</v>
      </c>
      <c r="B84" s="125" t="s">
        <v>534</v>
      </c>
      <c r="C84" s="125" t="s">
        <v>453</v>
      </c>
      <c r="D84" s="125" t="s">
        <v>457</v>
      </c>
      <c r="E84" s="125" t="s">
        <v>472</v>
      </c>
      <c r="F84" s="126">
        <v>42914.0</v>
      </c>
      <c r="G84" s="127">
        <v>1.03E8</v>
      </c>
      <c r="H84" s="126">
        <v>42962.0</v>
      </c>
      <c r="I84" s="128">
        <v>5326.0</v>
      </c>
      <c r="J84" s="128">
        <v>255.28</v>
      </c>
      <c r="K84" s="128">
        <v>159.42</v>
      </c>
      <c r="L84" s="128">
        <v>1359621.0</v>
      </c>
      <c r="M84" s="128">
        <v>849070.9</v>
      </c>
      <c r="N84" s="128">
        <v>510550.4</v>
      </c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125" t="s">
        <v>466</v>
      </c>
      <c r="B85" s="125" t="s">
        <v>535</v>
      </c>
      <c r="C85" s="125" t="s">
        <v>478</v>
      </c>
      <c r="D85" s="125" t="s">
        <v>454</v>
      </c>
      <c r="E85" s="125" t="s">
        <v>472</v>
      </c>
      <c r="F85" s="126">
        <v>41750.0</v>
      </c>
      <c r="G85" s="127">
        <v>4.75E8</v>
      </c>
      <c r="H85" s="126">
        <v>41789.0</v>
      </c>
      <c r="I85" s="128">
        <v>4619.0</v>
      </c>
      <c r="J85" s="128">
        <v>651.21</v>
      </c>
      <c r="K85" s="128">
        <v>524.96</v>
      </c>
      <c r="L85" s="128">
        <v>3007939.0</v>
      </c>
      <c r="M85" s="128">
        <v>2424790.0</v>
      </c>
      <c r="N85" s="128">
        <v>583148.8</v>
      </c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125" t="s">
        <v>475</v>
      </c>
      <c r="B86" s="125" t="s">
        <v>536</v>
      </c>
      <c r="C86" s="125" t="s">
        <v>463</v>
      </c>
      <c r="D86" s="125" t="s">
        <v>454</v>
      </c>
      <c r="E86" s="125" t="s">
        <v>472</v>
      </c>
      <c r="F86" s="126">
        <v>41269.0</v>
      </c>
      <c r="G86" s="127">
        <v>8.69E8</v>
      </c>
      <c r="H86" s="126">
        <v>41279.0</v>
      </c>
      <c r="I86" s="128">
        <v>4049.0</v>
      </c>
      <c r="J86" s="128">
        <v>205.7</v>
      </c>
      <c r="K86" s="128">
        <v>117.11</v>
      </c>
      <c r="L86" s="128">
        <v>832879.3</v>
      </c>
      <c r="M86" s="128">
        <v>474178.4</v>
      </c>
      <c r="N86" s="128">
        <v>358700.9</v>
      </c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125" t="s">
        <v>475</v>
      </c>
      <c r="B87" s="125" t="s">
        <v>537</v>
      </c>
      <c r="C87" s="125" t="s">
        <v>514</v>
      </c>
      <c r="D87" s="125" t="s">
        <v>454</v>
      </c>
      <c r="E87" s="125" t="s">
        <v>472</v>
      </c>
      <c r="F87" s="126">
        <v>42309.0</v>
      </c>
      <c r="G87" s="127">
        <v>9.18E8</v>
      </c>
      <c r="H87" s="126">
        <v>42359.0</v>
      </c>
      <c r="I87" s="128">
        <v>6747.0</v>
      </c>
      <c r="J87" s="128">
        <v>668.27</v>
      </c>
      <c r="K87" s="128">
        <v>502.54</v>
      </c>
      <c r="L87" s="128">
        <v>4508818.0</v>
      </c>
      <c r="M87" s="128">
        <v>3390637.0</v>
      </c>
      <c r="N87" s="128">
        <v>1118180.0</v>
      </c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125" t="s">
        <v>458</v>
      </c>
      <c r="B88" s="125" t="s">
        <v>538</v>
      </c>
      <c r="C88" s="125" t="s">
        <v>480</v>
      </c>
      <c r="D88" s="125" t="s">
        <v>454</v>
      </c>
      <c r="E88" s="125" t="s">
        <v>472</v>
      </c>
      <c r="F88" s="126">
        <v>40565.0</v>
      </c>
      <c r="G88" s="127">
        <v>7.74E8</v>
      </c>
      <c r="H88" s="126">
        <v>40571.0</v>
      </c>
      <c r="I88" s="128">
        <v>7873.0</v>
      </c>
      <c r="J88" s="128">
        <v>437.2</v>
      </c>
      <c r="K88" s="128">
        <v>263.33</v>
      </c>
      <c r="L88" s="128">
        <v>3442076.0</v>
      </c>
      <c r="M88" s="128">
        <v>2073197.0</v>
      </c>
      <c r="N88" s="128">
        <v>1368879.0</v>
      </c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125" t="s">
        <v>461</v>
      </c>
      <c r="B89" s="125" t="s">
        <v>539</v>
      </c>
      <c r="C89" s="125" t="s">
        <v>480</v>
      </c>
      <c r="D89" s="125" t="s">
        <v>454</v>
      </c>
      <c r="E89" s="125" t="s">
        <v>284</v>
      </c>
      <c r="F89" s="126">
        <v>41803.0</v>
      </c>
      <c r="G89" s="127">
        <v>6.57E8</v>
      </c>
      <c r="H89" s="126">
        <v>41822.0</v>
      </c>
      <c r="I89" s="128">
        <v>9620.0</v>
      </c>
      <c r="J89" s="128">
        <v>437.2</v>
      </c>
      <c r="K89" s="128">
        <v>263.33</v>
      </c>
      <c r="L89" s="128">
        <v>4205864.0</v>
      </c>
      <c r="M89" s="128">
        <v>2533235.0</v>
      </c>
      <c r="N89" s="128">
        <v>1672629.0</v>
      </c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125" t="s">
        <v>458</v>
      </c>
      <c r="B90" s="125" t="s">
        <v>473</v>
      </c>
      <c r="C90" s="125" t="s">
        <v>485</v>
      </c>
      <c r="D90" s="125" t="s">
        <v>454</v>
      </c>
      <c r="E90" s="125" t="s">
        <v>472</v>
      </c>
      <c r="F90" s="126">
        <v>41114.0</v>
      </c>
      <c r="G90" s="127">
        <v>4.11E8</v>
      </c>
      <c r="H90" s="126">
        <v>41153.0</v>
      </c>
      <c r="I90" s="128">
        <v>6211.0</v>
      </c>
      <c r="J90" s="128">
        <v>421.89</v>
      </c>
      <c r="K90" s="128">
        <v>364.69</v>
      </c>
      <c r="L90" s="128">
        <v>2620359.0</v>
      </c>
      <c r="M90" s="128">
        <v>2265090.0</v>
      </c>
      <c r="N90" s="128">
        <v>355269.2</v>
      </c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125" t="s">
        <v>458</v>
      </c>
      <c r="B91" s="125" t="s">
        <v>540</v>
      </c>
      <c r="C91" s="125" t="s">
        <v>485</v>
      </c>
      <c r="D91" s="125" t="s">
        <v>457</v>
      </c>
      <c r="E91" s="125" t="s">
        <v>189</v>
      </c>
      <c r="F91" s="126">
        <v>40892.0</v>
      </c>
      <c r="G91" s="127">
        <v>8.47E8</v>
      </c>
      <c r="H91" s="126">
        <v>40895.0</v>
      </c>
      <c r="I91" s="128">
        <v>8902.0</v>
      </c>
      <c r="J91" s="128">
        <v>421.89</v>
      </c>
      <c r="K91" s="128">
        <v>364.69</v>
      </c>
      <c r="L91" s="128">
        <v>3755665.0</v>
      </c>
      <c r="M91" s="128">
        <v>3246470.0</v>
      </c>
      <c r="N91" s="128">
        <v>509194.4</v>
      </c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125" t="s">
        <v>458</v>
      </c>
      <c r="B92" s="125" t="s">
        <v>541</v>
      </c>
      <c r="C92" s="125" t="s">
        <v>460</v>
      </c>
      <c r="D92" s="125" t="s">
        <v>454</v>
      </c>
      <c r="E92" s="125" t="s">
        <v>464</v>
      </c>
      <c r="F92" s="126">
        <v>41155.0</v>
      </c>
      <c r="G92" s="127">
        <v>6.0E8</v>
      </c>
      <c r="H92" s="126">
        <v>41173.0</v>
      </c>
      <c r="I92" s="128">
        <v>978.0</v>
      </c>
      <c r="J92" s="128">
        <v>47.45</v>
      </c>
      <c r="K92" s="128">
        <v>31.79</v>
      </c>
      <c r="L92" s="128">
        <v>46406.1</v>
      </c>
      <c r="M92" s="128">
        <v>31090.62</v>
      </c>
      <c r="N92" s="128">
        <v>15315.48</v>
      </c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125" t="s">
        <v>461</v>
      </c>
      <c r="B93" s="125" t="s">
        <v>542</v>
      </c>
      <c r="C93" s="125" t="s">
        <v>460</v>
      </c>
      <c r="D93" s="125" t="s">
        <v>457</v>
      </c>
      <c r="E93" s="125" t="s">
        <v>472</v>
      </c>
      <c r="F93" s="126">
        <v>40927.0</v>
      </c>
      <c r="G93" s="127">
        <v>1.71E8</v>
      </c>
      <c r="H93" s="126">
        <v>40951.0</v>
      </c>
      <c r="I93" s="128">
        <v>2758.0</v>
      </c>
      <c r="J93" s="128">
        <v>47.45</v>
      </c>
      <c r="K93" s="128">
        <v>31.79</v>
      </c>
      <c r="L93" s="128">
        <v>130867.1</v>
      </c>
      <c r="M93" s="128">
        <v>87676.82</v>
      </c>
      <c r="N93" s="128">
        <v>43190.28</v>
      </c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125" t="s">
        <v>451</v>
      </c>
      <c r="B94" s="125" t="s">
        <v>543</v>
      </c>
      <c r="C94" s="125" t="s">
        <v>463</v>
      </c>
      <c r="D94" s="125" t="s">
        <v>454</v>
      </c>
      <c r="E94" s="125" t="s">
        <v>472</v>
      </c>
      <c r="F94" s="126">
        <v>42386.0</v>
      </c>
      <c r="G94" s="127">
        <v>5.84E8</v>
      </c>
      <c r="H94" s="126">
        <v>42409.0</v>
      </c>
      <c r="I94" s="128">
        <v>6588.0</v>
      </c>
      <c r="J94" s="128">
        <v>205.7</v>
      </c>
      <c r="K94" s="128">
        <v>117.11</v>
      </c>
      <c r="L94" s="128">
        <v>1355152.0</v>
      </c>
      <c r="M94" s="128">
        <v>771520.7</v>
      </c>
      <c r="N94" s="128">
        <v>583630.9</v>
      </c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125" t="s">
        <v>475</v>
      </c>
      <c r="B95" s="125" t="s">
        <v>544</v>
      </c>
      <c r="C95" s="125" t="s">
        <v>478</v>
      </c>
      <c r="D95" s="125" t="s">
        <v>454</v>
      </c>
      <c r="E95" s="125" t="s">
        <v>472</v>
      </c>
      <c r="F95" s="126">
        <v>41184.0</v>
      </c>
      <c r="G95" s="127">
        <v>2.34E8</v>
      </c>
      <c r="H95" s="126">
        <v>41194.0</v>
      </c>
      <c r="I95" s="128">
        <v>1851.0</v>
      </c>
      <c r="J95" s="128">
        <v>651.21</v>
      </c>
      <c r="K95" s="128">
        <v>524.96</v>
      </c>
      <c r="L95" s="128">
        <v>1205390.0</v>
      </c>
      <c r="M95" s="128">
        <v>971701.0</v>
      </c>
      <c r="N95" s="128">
        <v>233688.8</v>
      </c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125" t="s">
        <v>458</v>
      </c>
      <c r="B96" s="125" t="s">
        <v>545</v>
      </c>
      <c r="C96" s="125" t="s">
        <v>478</v>
      </c>
      <c r="D96" s="125" t="s">
        <v>454</v>
      </c>
      <c r="E96" s="125" t="s">
        <v>189</v>
      </c>
      <c r="F96" s="126">
        <v>41660.0</v>
      </c>
      <c r="G96" s="127">
        <v>7.34E8</v>
      </c>
      <c r="H96" s="126">
        <v>41702.0</v>
      </c>
      <c r="I96" s="128">
        <v>9956.0</v>
      </c>
      <c r="J96" s="128">
        <v>651.21</v>
      </c>
      <c r="K96" s="128">
        <v>524.96</v>
      </c>
      <c r="L96" s="128">
        <v>6483447.0</v>
      </c>
      <c r="M96" s="128">
        <v>5226502.0</v>
      </c>
      <c r="N96" s="128">
        <v>1256945.0</v>
      </c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125" t="s">
        <v>451</v>
      </c>
      <c r="B97" s="125" t="s">
        <v>546</v>
      </c>
      <c r="C97" s="125" t="s">
        <v>456</v>
      </c>
      <c r="D97" s="125" t="s">
        <v>454</v>
      </c>
      <c r="E97" s="125" t="s">
        <v>472</v>
      </c>
      <c r="F97" s="126">
        <v>41629.0</v>
      </c>
      <c r="G97" s="127">
        <v>1.69E8</v>
      </c>
      <c r="H97" s="126">
        <v>41639.0</v>
      </c>
      <c r="I97" s="128">
        <v>9345.0</v>
      </c>
      <c r="J97" s="128">
        <v>152.58</v>
      </c>
      <c r="K97" s="128">
        <v>97.44</v>
      </c>
      <c r="L97" s="128">
        <v>1425860.0</v>
      </c>
      <c r="M97" s="128">
        <v>910576.8</v>
      </c>
      <c r="N97" s="128">
        <v>515283.3</v>
      </c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125" t="s">
        <v>461</v>
      </c>
      <c r="B98" s="125" t="s">
        <v>465</v>
      </c>
      <c r="C98" s="125" t="s">
        <v>463</v>
      </c>
      <c r="D98" s="125" t="s">
        <v>454</v>
      </c>
      <c r="E98" s="125" t="s">
        <v>284</v>
      </c>
      <c r="F98" s="126">
        <v>42059.0</v>
      </c>
      <c r="G98" s="127">
        <v>7.43E8</v>
      </c>
      <c r="H98" s="126">
        <v>42083.0</v>
      </c>
      <c r="I98" s="128">
        <v>494.0</v>
      </c>
      <c r="J98" s="128">
        <v>205.7</v>
      </c>
      <c r="K98" s="128">
        <v>117.11</v>
      </c>
      <c r="L98" s="128">
        <v>101615.8</v>
      </c>
      <c r="M98" s="128">
        <v>57852.34</v>
      </c>
      <c r="N98" s="128">
        <v>43763.46</v>
      </c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125" t="s">
        <v>458</v>
      </c>
      <c r="B99" s="125" t="s">
        <v>547</v>
      </c>
      <c r="C99" s="125" t="s">
        <v>514</v>
      </c>
      <c r="D99" s="125" t="s">
        <v>457</v>
      </c>
      <c r="E99" s="125" t="s">
        <v>464</v>
      </c>
      <c r="F99" s="126">
        <v>42923.0</v>
      </c>
      <c r="G99" s="127">
        <v>2.32E8</v>
      </c>
      <c r="H99" s="126">
        <v>42951.0</v>
      </c>
      <c r="I99" s="128">
        <v>905.0</v>
      </c>
      <c r="J99" s="128">
        <v>668.27</v>
      </c>
      <c r="K99" s="128">
        <v>502.54</v>
      </c>
      <c r="L99" s="128">
        <v>604784.4</v>
      </c>
      <c r="M99" s="128">
        <v>454798.7</v>
      </c>
      <c r="N99" s="128">
        <v>149985.7</v>
      </c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125" t="s">
        <v>475</v>
      </c>
      <c r="B100" s="125" t="s">
        <v>548</v>
      </c>
      <c r="C100" s="125" t="s">
        <v>460</v>
      </c>
      <c r="D100" s="125" t="s">
        <v>457</v>
      </c>
      <c r="E100" s="125" t="s">
        <v>464</v>
      </c>
      <c r="F100" s="126">
        <v>41820.0</v>
      </c>
      <c r="G100" s="127">
        <v>5.31E8</v>
      </c>
      <c r="H100" s="126">
        <v>41853.0</v>
      </c>
      <c r="I100" s="128">
        <v>117.0</v>
      </c>
      <c r="J100" s="128">
        <v>47.45</v>
      </c>
      <c r="K100" s="128">
        <v>31.79</v>
      </c>
      <c r="L100" s="128">
        <v>5551.65</v>
      </c>
      <c r="M100" s="128">
        <v>3719.43</v>
      </c>
      <c r="N100" s="128">
        <v>1832.22</v>
      </c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125" t="s">
        <v>469</v>
      </c>
      <c r="B101" s="125" t="s">
        <v>519</v>
      </c>
      <c r="C101" s="125" t="s">
        <v>494</v>
      </c>
      <c r="D101" s="125" t="s">
        <v>454</v>
      </c>
      <c r="E101" s="125" t="s">
        <v>464</v>
      </c>
      <c r="F101" s="126">
        <v>40884.0</v>
      </c>
      <c r="G101" s="127">
        <v>9.05E8</v>
      </c>
      <c r="H101" s="126">
        <v>40920.0</v>
      </c>
      <c r="I101" s="128">
        <v>4695.0</v>
      </c>
      <c r="J101" s="128">
        <v>9.33</v>
      </c>
      <c r="K101" s="128">
        <v>6.92</v>
      </c>
      <c r="L101" s="128">
        <v>43804.35</v>
      </c>
      <c r="M101" s="128">
        <v>32489.4</v>
      </c>
      <c r="N101" s="128">
        <v>11314.95</v>
      </c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125" t="s">
        <v>466</v>
      </c>
      <c r="B102" s="125" t="s">
        <v>508</v>
      </c>
      <c r="C102" s="125" t="s">
        <v>514</v>
      </c>
      <c r="D102" s="125" t="s">
        <v>457</v>
      </c>
      <c r="E102" s="125" t="s">
        <v>284</v>
      </c>
      <c r="F102" s="126">
        <v>42640.0</v>
      </c>
      <c r="G102" s="127">
        <v>2.41E8</v>
      </c>
      <c r="H102" s="126">
        <v>42687.0</v>
      </c>
      <c r="I102" s="128">
        <v>3239.0</v>
      </c>
      <c r="J102" s="128">
        <v>668.27</v>
      </c>
      <c r="K102" s="128">
        <v>502.54</v>
      </c>
      <c r="L102" s="128">
        <v>2164527.0</v>
      </c>
      <c r="M102" s="128">
        <v>1627727.0</v>
      </c>
      <c r="N102" s="128">
        <v>536799.5</v>
      </c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125" t="s">
        <v>475</v>
      </c>
      <c r="B103" s="125" t="s">
        <v>549</v>
      </c>
      <c r="C103" s="125" t="s">
        <v>485</v>
      </c>
      <c r="D103" s="125" t="s">
        <v>454</v>
      </c>
      <c r="E103" s="125" t="s">
        <v>464</v>
      </c>
      <c r="F103" s="126">
        <v>40320.0</v>
      </c>
      <c r="G103" s="127">
        <v>1.94E8</v>
      </c>
      <c r="H103" s="126">
        <v>40334.0</v>
      </c>
      <c r="I103" s="128">
        <v>1379.0</v>
      </c>
      <c r="J103" s="128">
        <v>421.89</v>
      </c>
      <c r="K103" s="128">
        <v>364.69</v>
      </c>
      <c r="L103" s="128">
        <v>581786.3</v>
      </c>
      <c r="M103" s="128">
        <v>502907.5</v>
      </c>
      <c r="N103" s="128">
        <v>78878.8</v>
      </c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125" t="s">
        <v>461</v>
      </c>
      <c r="B104" s="125" t="s">
        <v>481</v>
      </c>
      <c r="C104" s="125" t="s">
        <v>514</v>
      </c>
      <c r="D104" s="125" t="s">
        <v>454</v>
      </c>
      <c r="E104" s="125" t="s">
        <v>464</v>
      </c>
      <c r="F104" s="126">
        <v>41376.0</v>
      </c>
      <c r="G104" s="127">
        <v>2.42E8</v>
      </c>
      <c r="H104" s="126">
        <v>41377.0</v>
      </c>
      <c r="I104" s="128">
        <v>6775.0</v>
      </c>
      <c r="J104" s="128">
        <v>668.27</v>
      </c>
      <c r="K104" s="128">
        <v>502.54</v>
      </c>
      <c r="L104" s="128">
        <v>4527529.0</v>
      </c>
      <c r="M104" s="128">
        <v>3404709.0</v>
      </c>
      <c r="N104" s="128">
        <v>1122821.0</v>
      </c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125" t="s">
        <v>451</v>
      </c>
      <c r="B105" s="125" t="s">
        <v>550</v>
      </c>
      <c r="C105" s="125" t="s">
        <v>506</v>
      </c>
      <c r="D105" s="125" t="s">
        <v>457</v>
      </c>
      <c r="E105" s="125" t="s">
        <v>284</v>
      </c>
      <c r="F105" s="126">
        <v>41199.0</v>
      </c>
      <c r="G105" s="127">
        <v>8.32E8</v>
      </c>
      <c r="H105" s="126">
        <v>41208.0</v>
      </c>
      <c r="I105" s="128">
        <v>4120.0</v>
      </c>
      <c r="J105" s="128">
        <v>154.06</v>
      </c>
      <c r="K105" s="128">
        <v>90.93</v>
      </c>
      <c r="L105" s="128">
        <v>634727.2</v>
      </c>
      <c r="M105" s="128">
        <v>374631.6</v>
      </c>
      <c r="N105" s="128">
        <v>260095.6</v>
      </c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125" t="s">
        <v>458</v>
      </c>
      <c r="B106" s="125" t="s">
        <v>551</v>
      </c>
      <c r="C106" s="125" t="s">
        <v>480</v>
      </c>
      <c r="D106" s="125" t="s">
        <v>454</v>
      </c>
      <c r="E106" s="125" t="s">
        <v>464</v>
      </c>
      <c r="F106" s="126">
        <v>41105.0</v>
      </c>
      <c r="G106" s="127">
        <v>2.3E8</v>
      </c>
      <c r="H106" s="126">
        <v>41105.0</v>
      </c>
      <c r="I106" s="128">
        <v>138.0</v>
      </c>
      <c r="J106" s="128">
        <v>437.2</v>
      </c>
      <c r="K106" s="128">
        <v>263.33</v>
      </c>
      <c r="L106" s="128">
        <v>60333.6</v>
      </c>
      <c r="M106" s="128">
        <v>36339.54</v>
      </c>
      <c r="N106" s="128">
        <v>23994.06</v>
      </c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125" t="s">
        <v>475</v>
      </c>
      <c r="B107" s="125" t="s">
        <v>552</v>
      </c>
      <c r="C107" s="125" t="s">
        <v>463</v>
      </c>
      <c r="D107" s="125" t="s">
        <v>457</v>
      </c>
      <c r="E107" s="125" t="s">
        <v>472</v>
      </c>
      <c r="F107" s="126">
        <v>41413.0</v>
      </c>
      <c r="G107" s="127">
        <v>3.74E8</v>
      </c>
      <c r="H107" s="126">
        <v>41440.0</v>
      </c>
      <c r="I107" s="128">
        <v>8583.0</v>
      </c>
      <c r="J107" s="128">
        <v>205.7</v>
      </c>
      <c r="K107" s="128">
        <v>117.11</v>
      </c>
      <c r="L107" s="128">
        <v>1765523.0</v>
      </c>
      <c r="M107" s="128">
        <v>1005155.0</v>
      </c>
      <c r="N107" s="128">
        <v>760368.0</v>
      </c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125" t="s">
        <v>458</v>
      </c>
      <c r="B108" s="125" t="s">
        <v>553</v>
      </c>
      <c r="C108" s="125" t="s">
        <v>460</v>
      </c>
      <c r="D108" s="125" t="s">
        <v>454</v>
      </c>
      <c r="E108" s="125" t="s">
        <v>284</v>
      </c>
      <c r="F108" s="126">
        <v>42833.0</v>
      </c>
      <c r="G108" s="127">
        <v>1.22E8</v>
      </c>
      <c r="H108" s="126">
        <v>42837.0</v>
      </c>
      <c r="I108" s="128">
        <v>5242.0</v>
      </c>
      <c r="J108" s="128">
        <v>47.45</v>
      </c>
      <c r="K108" s="128">
        <v>31.79</v>
      </c>
      <c r="L108" s="128">
        <v>248732.9</v>
      </c>
      <c r="M108" s="128">
        <v>166643.2</v>
      </c>
      <c r="N108" s="128">
        <v>82089.72</v>
      </c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125" t="s">
        <v>469</v>
      </c>
      <c r="B109" s="125" t="s">
        <v>501</v>
      </c>
      <c r="C109" s="125" t="s">
        <v>494</v>
      </c>
      <c r="D109" s="125" t="s">
        <v>457</v>
      </c>
      <c r="E109" s="125" t="s">
        <v>464</v>
      </c>
      <c r="F109" s="126">
        <v>42314.0</v>
      </c>
      <c r="G109" s="127">
        <v>2.02E8</v>
      </c>
      <c r="H109" s="126">
        <v>42352.0</v>
      </c>
      <c r="I109" s="128">
        <v>2932.0</v>
      </c>
      <c r="J109" s="128">
        <v>9.33</v>
      </c>
      <c r="K109" s="128">
        <v>6.92</v>
      </c>
      <c r="L109" s="128">
        <v>27355.56</v>
      </c>
      <c r="M109" s="128">
        <v>20289.44</v>
      </c>
      <c r="N109" s="128">
        <v>7066.12</v>
      </c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125" t="s">
        <v>469</v>
      </c>
      <c r="B110" s="125" t="s">
        <v>495</v>
      </c>
      <c r="C110" s="125" t="s">
        <v>468</v>
      </c>
      <c r="D110" s="125" t="s">
        <v>457</v>
      </c>
      <c r="E110" s="125" t="s">
        <v>189</v>
      </c>
      <c r="F110" s="126">
        <v>42725.0</v>
      </c>
      <c r="G110" s="127">
        <v>9.63E8</v>
      </c>
      <c r="H110" s="126">
        <v>42767.0</v>
      </c>
      <c r="I110" s="128">
        <v>6501.0</v>
      </c>
      <c r="J110" s="128">
        <v>81.73</v>
      </c>
      <c r="K110" s="128">
        <v>56.67</v>
      </c>
      <c r="L110" s="128">
        <v>531326.7</v>
      </c>
      <c r="M110" s="128">
        <v>368411.7</v>
      </c>
      <c r="N110" s="128">
        <v>162915.1</v>
      </c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125" t="s">
        <v>451</v>
      </c>
      <c r="B111" s="125" t="s">
        <v>452</v>
      </c>
      <c r="C111" s="125" t="s">
        <v>514</v>
      </c>
      <c r="D111" s="125" t="s">
        <v>454</v>
      </c>
      <c r="E111" s="125" t="s">
        <v>189</v>
      </c>
      <c r="F111" s="126">
        <v>40411.0</v>
      </c>
      <c r="G111" s="127">
        <v>1.24E8</v>
      </c>
      <c r="H111" s="126">
        <v>40434.0</v>
      </c>
      <c r="I111" s="128">
        <v>7830.0</v>
      </c>
      <c r="J111" s="128">
        <v>668.27</v>
      </c>
      <c r="K111" s="128">
        <v>502.54</v>
      </c>
      <c r="L111" s="128">
        <v>5232554.0</v>
      </c>
      <c r="M111" s="128">
        <v>3934888.0</v>
      </c>
      <c r="N111" s="128">
        <v>1297666.0</v>
      </c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125" t="s">
        <v>451</v>
      </c>
      <c r="B112" s="125" t="s">
        <v>550</v>
      </c>
      <c r="C112" s="125" t="s">
        <v>471</v>
      </c>
      <c r="D112" s="125" t="s">
        <v>457</v>
      </c>
      <c r="E112" s="125" t="s">
        <v>464</v>
      </c>
      <c r="F112" s="126">
        <v>40402.0</v>
      </c>
      <c r="G112" s="127">
        <v>4.23E8</v>
      </c>
      <c r="H112" s="126">
        <v>40402.0</v>
      </c>
      <c r="I112" s="128">
        <v>830.0</v>
      </c>
      <c r="J112" s="128">
        <v>109.28</v>
      </c>
      <c r="K112" s="128">
        <v>35.84</v>
      </c>
      <c r="L112" s="128">
        <v>90702.4</v>
      </c>
      <c r="M112" s="128">
        <v>29747.2</v>
      </c>
      <c r="N112" s="128">
        <v>60955.2</v>
      </c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125" t="s">
        <v>458</v>
      </c>
      <c r="B113" s="125" t="s">
        <v>554</v>
      </c>
      <c r="C113" s="125" t="s">
        <v>494</v>
      </c>
      <c r="D113" s="125" t="s">
        <v>454</v>
      </c>
      <c r="E113" s="125" t="s">
        <v>472</v>
      </c>
      <c r="F113" s="126">
        <v>41204.0</v>
      </c>
      <c r="G113" s="127">
        <v>1.7E8</v>
      </c>
      <c r="H113" s="126">
        <v>41233.0</v>
      </c>
      <c r="I113" s="128">
        <v>6443.0</v>
      </c>
      <c r="J113" s="128">
        <v>9.33</v>
      </c>
      <c r="K113" s="128">
        <v>6.92</v>
      </c>
      <c r="L113" s="128">
        <v>60113.19</v>
      </c>
      <c r="M113" s="128">
        <v>44585.56</v>
      </c>
      <c r="N113" s="128">
        <v>15527.63</v>
      </c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125" t="s">
        <v>458</v>
      </c>
      <c r="B114" s="125" t="s">
        <v>555</v>
      </c>
      <c r="C114" s="125" t="s">
        <v>506</v>
      </c>
      <c r="D114" s="125" t="s">
        <v>454</v>
      </c>
      <c r="E114" s="125" t="s">
        <v>189</v>
      </c>
      <c r="F114" s="126">
        <v>41709.0</v>
      </c>
      <c r="G114" s="127">
        <v>8.95E8</v>
      </c>
      <c r="H114" s="126">
        <v>41739.0</v>
      </c>
      <c r="I114" s="128">
        <v>7643.0</v>
      </c>
      <c r="J114" s="128">
        <v>154.06</v>
      </c>
      <c r="K114" s="128">
        <v>90.93</v>
      </c>
      <c r="L114" s="128">
        <v>1177481.0</v>
      </c>
      <c r="M114" s="128">
        <v>694978.0</v>
      </c>
      <c r="N114" s="128">
        <v>482502.6</v>
      </c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125" t="s">
        <v>461</v>
      </c>
      <c r="B115" s="125" t="s">
        <v>556</v>
      </c>
      <c r="C115" s="125" t="s">
        <v>478</v>
      </c>
      <c r="D115" s="125" t="s">
        <v>457</v>
      </c>
      <c r="E115" s="125" t="s">
        <v>189</v>
      </c>
      <c r="F115" s="126">
        <v>42585.0</v>
      </c>
      <c r="G115" s="127">
        <v>5.97E8</v>
      </c>
      <c r="H115" s="126">
        <v>42596.0</v>
      </c>
      <c r="I115" s="128">
        <v>4434.0</v>
      </c>
      <c r="J115" s="128">
        <v>651.21</v>
      </c>
      <c r="K115" s="128">
        <v>524.96</v>
      </c>
      <c r="L115" s="128">
        <v>2887465.0</v>
      </c>
      <c r="M115" s="128">
        <v>2327673.0</v>
      </c>
      <c r="N115" s="128">
        <v>559792.5</v>
      </c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125" t="s">
        <v>475</v>
      </c>
      <c r="B116" s="125" t="s">
        <v>537</v>
      </c>
      <c r="C116" s="125" t="s">
        <v>478</v>
      </c>
      <c r="D116" s="125" t="s">
        <v>457</v>
      </c>
      <c r="E116" s="125" t="s">
        <v>472</v>
      </c>
      <c r="F116" s="126">
        <v>42120.0</v>
      </c>
      <c r="G116" s="127">
        <v>4.98E8</v>
      </c>
      <c r="H116" s="126">
        <v>42166.0</v>
      </c>
      <c r="I116" s="128">
        <v>8853.0</v>
      </c>
      <c r="J116" s="128">
        <v>651.21</v>
      </c>
      <c r="K116" s="128">
        <v>524.96</v>
      </c>
      <c r="L116" s="128">
        <v>5765162.0</v>
      </c>
      <c r="M116" s="128">
        <v>4647471.0</v>
      </c>
      <c r="N116" s="128">
        <v>1117691.0</v>
      </c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125" t="s">
        <v>458</v>
      </c>
      <c r="B117" s="125" t="s">
        <v>538</v>
      </c>
      <c r="C117" s="125" t="s">
        <v>468</v>
      </c>
      <c r="D117" s="125" t="s">
        <v>454</v>
      </c>
      <c r="E117" s="125" t="s">
        <v>189</v>
      </c>
      <c r="F117" s="126">
        <v>40375.0</v>
      </c>
      <c r="G117" s="127">
        <v>9.87E8</v>
      </c>
      <c r="H117" s="126">
        <v>40417.0</v>
      </c>
      <c r="I117" s="128">
        <v>9967.0</v>
      </c>
      <c r="J117" s="128">
        <v>81.73</v>
      </c>
      <c r="K117" s="128">
        <v>56.67</v>
      </c>
      <c r="L117" s="128">
        <v>814602.9</v>
      </c>
      <c r="M117" s="128">
        <v>564829.9</v>
      </c>
      <c r="N117" s="128">
        <v>249773.0</v>
      </c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125" t="s">
        <v>461</v>
      </c>
      <c r="B118" s="125" t="s">
        <v>557</v>
      </c>
      <c r="C118" s="125" t="s">
        <v>468</v>
      </c>
      <c r="D118" s="125" t="s">
        <v>457</v>
      </c>
      <c r="E118" s="125" t="s">
        <v>189</v>
      </c>
      <c r="F118" s="126">
        <v>40565.0</v>
      </c>
      <c r="G118" s="127">
        <v>2.77E8</v>
      </c>
      <c r="H118" s="126">
        <v>40587.0</v>
      </c>
      <c r="I118" s="128">
        <v>8875.0</v>
      </c>
      <c r="J118" s="128">
        <v>81.73</v>
      </c>
      <c r="K118" s="128">
        <v>56.67</v>
      </c>
      <c r="L118" s="128">
        <v>725353.8</v>
      </c>
      <c r="M118" s="128">
        <v>502946.3</v>
      </c>
      <c r="N118" s="128">
        <v>222407.5</v>
      </c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125" t="s">
        <v>475</v>
      </c>
      <c r="B119" s="125" t="s">
        <v>558</v>
      </c>
      <c r="C119" s="125" t="s">
        <v>514</v>
      </c>
      <c r="D119" s="125" t="s">
        <v>457</v>
      </c>
      <c r="E119" s="125" t="s">
        <v>472</v>
      </c>
      <c r="F119" s="126">
        <v>42146.0</v>
      </c>
      <c r="G119" s="127">
        <v>2.47E8</v>
      </c>
      <c r="H119" s="126">
        <v>42196.0</v>
      </c>
      <c r="I119" s="128">
        <v>3706.0</v>
      </c>
      <c r="J119" s="128">
        <v>668.27</v>
      </c>
      <c r="K119" s="128">
        <v>502.54</v>
      </c>
      <c r="L119" s="128">
        <v>2476609.0</v>
      </c>
      <c r="M119" s="128">
        <v>1862413.0</v>
      </c>
      <c r="N119" s="128">
        <v>614195.4</v>
      </c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125" t="s">
        <v>458</v>
      </c>
      <c r="B120" s="125" t="s">
        <v>559</v>
      </c>
      <c r="C120" s="125" t="s">
        <v>494</v>
      </c>
      <c r="D120" s="125" t="s">
        <v>457</v>
      </c>
      <c r="E120" s="125" t="s">
        <v>189</v>
      </c>
      <c r="F120" s="126">
        <v>42197.0</v>
      </c>
      <c r="G120" s="127">
        <v>6.01E8</v>
      </c>
      <c r="H120" s="126">
        <v>42246.0</v>
      </c>
      <c r="I120" s="128">
        <v>4622.0</v>
      </c>
      <c r="J120" s="128">
        <v>9.33</v>
      </c>
      <c r="K120" s="128">
        <v>6.92</v>
      </c>
      <c r="L120" s="128">
        <v>43123.26</v>
      </c>
      <c r="M120" s="128">
        <v>31984.24</v>
      </c>
      <c r="N120" s="128">
        <v>11139.02</v>
      </c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125" t="s">
        <v>458</v>
      </c>
      <c r="B121" s="125" t="s">
        <v>547</v>
      </c>
      <c r="C121" s="125" t="s">
        <v>478</v>
      </c>
      <c r="D121" s="125" t="s">
        <v>457</v>
      </c>
      <c r="E121" s="125" t="s">
        <v>189</v>
      </c>
      <c r="F121" s="126">
        <v>42335.0</v>
      </c>
      <c r="G121" s="127">
        <v>2.08E8</v>
      </c>
      <c r="H121" s="126">
        <v>42367.0</v>
      </c>
      <c r="I121" s="128">
        <v>8815.0</v>
      </c>
      <c r="J121" s="128">
        <v>651.21</v>
      </c>
      <c r="K121" s="128">
        <v>524.96</v>
      </c>
      <c r="L121" s="128">
        <v>5740416.0</v>
      </c>
      <c r="M121" s="128">
        <v>4627522.0</v>
      </c>
      <c r="N121" s="128">
        <v>1112894.0</v>
      </c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125" t="s">
        <v>458</v>
      </c>
      <c r="B122" s="125" t="s">
        <v>560</v>
      </c>
      <c r="C122" s="125" t="s">
        <v>468</v>
      </c>
      <c r="D122" s="125" t="s">
        <v>454</v>
      </c>
      <c r="E122" s="125" t="s">
        <v>464</v>
      </c>
      <c r="F122" s="126">
        <v>41798.0</v>
      </c>
      <c r="G122" s="127">
        <v>2.63E8</v>
      </c>
      <c r="H122" s="126">
        <v>41824.0</v>
      </c>
      <c r="I122" s="128">
        <v>5509.0</v>
      </c>
      <c r="J122" s="128">
        <v>81.73</v>
      </c>
      <c r="K122" s="128">
        <v>56.67</v>
      </c>
      <c r="L122" s="128">
        <v>450250.6</v>
      </c>
      <c r="M122" s="128">
        <v>312195.0</v>
      </c>
      <c r="N122" s="128">
        <v>138055.5</v>
      </c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125" t="s">
        <v>469</v>
      </c>
      <c r="B123" s="125" t="s">
        <v>501</v>
      </c>
      <c r="C123" s="125" t="s">
        <v>478</v>
      </c>
      <c r="D123" s="125" t="s">
        <v>454</v>
      </c>
      <c r="E123" s="125" t="s">
        <v>464</v>
      </c>
      <c r="F123" s="126">
        <v>41599.0</v>
      </c>
      <c r="G123" s="127">
        <v>2.27E8</v>
      </c>
      <c r="H123" s="126">
        <v>41645.0</v>
      </c>
      <c r="I123" s="128">
        <v>959.0</v>
      </c>
      <c r="J123" s="128">
        <v>651.21</v>
      </c>
      <c r="K123" s="128">
        <v>524.96</v>
      </c>
      <c r="L123" s="128">
        <v>624510.4</v>
      </c>
      <c r="M123" s="128">
        <v>503436.6</v>
      </c>
      <c r="N123" s="128">
        <v>121073.8</v>
      </c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125" t="s">
        <v>475</v>
      </c>
      <c r="B124" s="125" t="s">
        <v>561</v>
      </c>
      <c r="C124" s="125" t="s">
        <v>478</v>
      </c>
      <c r="D124" s="125" t="s">
        <v>457</v>
      </c>
      <c r="E124" s="125" t="s">
        <v>472</v>
      </c>
      <c r="F124" s="126">
        <v>40373.0</v>
      </c>
      <c r="G124" s="127">
        <v>9.84E8</v>
      </c>
      <c r="H124" s="126">
        <v>40391.0</v>
      </c>
      <c r="I124" s="128">
        <v>3450.0</v>
      </c>
      <c r="J124" s="128">
        <v>651.21</v>
      </c>
      <c r="K124" s="128">
        <v>524.96</v>
      </c>
      <c r="L124" s="128">
        <v>2246675.0</v>
      </c>
      <c r="M124" s="128">
        <v>1811112.0</v>
      </c>
      <c r="N124" s="128">
        <v>435562.5</v>
      </c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125" t="s">
        <v>475</v>
      </c>
      <c r="B125" s="125" t="s">
        <v>562</v>
      </c>
      <c r="C125" s="125" t="s">
        <v>453</v>
      </c>
      <c r="D125" s="125" t="s">
        <v>457</v>
      </c>
      <c r="E125" s="125" t="s">
        <v>472</v>
      </c>
      <c r="F125" s="126">
        <v>41291.0</v>
      </c>
      <c r="G125" s="127">
        <v>7.86E8</v>
      </c>
      <c r="H125" s="126">
        <v>41300.0</v>
      </c>
      <c r="I125" s="128">
        <v>8301.0</v>
      </c>
      <c r="J125" s="128">
        <v>255.28</v>
      </c>
      <c r="K125" s="128">
        <v>159.42</v>
      </c>
      <c r="L125" s="128">
        <v>2119079.0</v>
      </c>
      <c r="M125" s="128">
        <v>1323345.0</v>
      </c>
      <c r="N125" s="128">
        <v>795733.9</v>
      </c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125" t="s">
        <v>475</v>
      </c>
      <c r="B126" s="125" t="s">
        <v>544</v>
      </c>
      <c r="C126" s="125" t="s">
        <v>478</v>
      </c>
      <c r="D126" s="125" t="s">
        <v>454</v>
      </c>
      <c r="E126" s="125" t="s">
        <v>284</v>
      </c>
      <c r="F126" s="126">
        <v>42384.0</v>
      </c>
      <c r="G126" s="127">
        <v>2.07E8</v>
      </c>
      <c r="H126" s="126">
        <v>42434.0</v>
      </c>
      <c r="I126" s="128">
        <v>2859.0</v>
      </c>
      <c r="J126" s="128">
        <v>651.21</v>
      </c>
      <c r="K126" s="128">
        <v>524.96</v>
      </c>
      <c r="L126" s="128">
        <v>1861809.0</v>
      </c>
      <c r="M126" s="128">
        <v>1500861.0</v>
      </c>
      <c r="N126" s="128">
        <v>360948.8</v>
      </c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125" t="s">
        <v>458</v>
      </c>
      <c r="B127" s="125" t="s">
        <v>493</v>
      </c>
      <c r="C127" s="125" t="s">
        <v>480</v>
      </c>
      <c r="D127" s="125" t="s">
        <v>454</v>
      </c>
      <c r="E127" s="125" t="s">
        <v>284</v>
      </c>
      <c r="F127" s="126">
        <v>40686.0</v>
      </c>
      <c r="G127" s="127">
        <v>7.9E8</v>
      </c>
      <c r="H127" s="126">
        <v>40692.0</v>
      </c>
      <c r="I127" s="128">
        <v>1505.0</v>
      </c>
      <c r="J127" s="128">
        <v>437.2</v>
      </c>
      <c r="K127" s="128">
        <v>263.33</v>
      </c>
      <c r="L127" s="128">
        <v>657986.0</v>
      </c>
      <c r="M127" s="128">
        <v>396311.7</v>
      </c>
      <c r="N127" s="128">
        <v>261674.4</v>
      </c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125" t="s">
        <v>458</v>
      </c>
      <c r="B128" s="125" t="s">
        <v>563</v>
      </c>
      <c r="C128" s="125" t="s">
        <v>463</v>
      </c>
      <c r="D128" s="125" t="s">
        <v>454</v>
      </c>
      <c r="E128" s="125" t="s">
        <v>189</v>
      </c>
      <c r="F128" s="126">
        <v>41920.0</v>
      </c>
      <c r="G128" s="127">
        <v>1.01E8</v>
      </c>
      <c r="H128" s="126">
        <v>41930.0</v>
      </c>
      <c r="I128" s="128">
        <v>650.0</v>
      </c>
      <c r="J128" s="128">
        <v>205.7</v>
      </c>
      <c r="K128" s="128">
        <v>117.11</v>
      </c>
      <c r="L128" s="128">
        <v>133705.0</v>
      </c>
      <c r="M128" s="128">
        <v>76121.5</v>
      </c>
      <c r="N128" s="128">
        <v>57583.5</v>
      </c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125" t="s">
        <v>475</v>
      </c>
      <c r="B129" s="125" t="s">
        <v>476</v>
      </c>
      <c r="C129" s="125" t="s">
        <v>468</v>
      </c>
      <c r="D129" s="125" t="s">
        <v>454</v>
      </c>
      <c r="E129" s="125" t="s">
        <v>464</v>
      </c>
      <c r="F129" s="126">
        <v>42517.0</v>
      </c>
      <c r="G129" s="127">
        <v>2.72E8</v>
      </c>
      <c r="H129" s="126">
        <v>42548.0</v>
      </c>
      <c r="I129" s="128">
        <v>3736.0</v>
      </c>
      <c r="J129" s="128">
        <v>81.73</v>
      </c>
      <c r="K129" s="128">
        <v>56.67</v>
      </c>
      <c r="L129" s="128">
        <v>305343.3</v>
      </c>
      <c r="M129" s="128">
        <v>211719.1</v>
      </c>
      <c r="N129" s="128">
        <v>93624.16</v>
      </c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125" t="s">
        <v>475</v>
      </c>
      <c r="B130" s="125" t="s">
        <v>549</v>
      </c>
      <c r="C130" s="125" t="s">
        <v>485</v>
      </c>
      <c r="D130" s="125" t="s">
        <v>457</v>
      </c>
      <c r="E130" s="125" t="s">
        <v>189</v>
      </c>
      <c r="F130" s="126">
        <v>42062.0</v>
      </c>
      <c r="G130" s="127">
        <v>3.6E8</v>
      </c>
      <c r="H130" s="126">
        <v>42062.0</v>
      </c>
      <c r="I130" s="128">
        <v>6237.0</v>
      </c>
      <c r="J130" s="128">
        <v>421.89</v>
      </c>
      <c r="K130" s="128">
        <v>364.69</v>
      </c>
      <c r="L130" s="128">
        <v>2631328.0</v>
      </c>
      <c r="M130" s="128">
        <v>2274572.0</v>
      </c>
      <c r="N130" s="128">
        <v>356756.4</v>
      </c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125" t="s">
        <v>461</v>
      </c>
      <c r="B131" s="125" t="s">
        <v>564</v>
      </c>
      <c r="C131" s="125" t="s">
        <v>460</v>
      </c>
      <c r="D131" s="125" t="s">
        <v>457</v>
      </c>
      <c r="E131" s="125" t="s">
        <v>284</v>
      </c>
      <c r="F131" s="126">
        <v>41913.0</v>
      </c>
      <c r="G131" s="127">
        <v>3.89E8</v>
      </c>
      <c r="H131" s="126">
        <v>41954.0</v>
      </c>
      <c r="I131" s="128">
        <v>658.0</v>
      </c>
      <c r="J131" s="128">
        <v>47.45</v>
      </c>
      <c r="K131" s="128">
        <v>31.79</v>
      </c>
      <c r="L131" s="128">
        <v>31222.1</v>
      </c>
      <c r="M131" s="128">
        <v>20917.82</v>
      </c>
      <c r="N131" s="128">
        <v>10304.28</v>
      </c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125" t="s">
        <v>475</v>
      </c>
      <c r="B132" s="125" t="s">
        <v>536</v>
      </c>
      <c r="C132" s="125" t="s">
        <v>485</v>
      </c>
      <c r="D132" s="125" t="s">
        <v>457</v>
      </c>
      <c r="E132" s="125" t="s">
        <v>464</v>
      </c>
      <c r="F132" s="126">
        <v>41048.0</v>
      </c>
      <c r="G132" s="127">
        <v>9.04E8</v>
      </c>
      <c r="H132" s="126">
        <v>41083.0</v>
      </c>
      <c r="I132" s="128">
        <v>1534.0</v>
      </c>
      <c r="J132" s="128">
        <v>421.89</v>
      </c>
      <c r="K132" s="128">
        <v>364.69</v>
      </c>
      <c r="L132" s="128">
        <v>647179.3</v>
      </c>
      <c r="M132" s="128">
        <v>559434.5</v>
      </c>
      <c r="N132" s="128">
        <v>87744.8</v>
      </c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125" t="s">
        <v>475</v>
      </c>
      <c r="B133" s="125" t="s">
        <v>565</v>
      </c>
      <c r="C133" s="125" t="s">
        <v>506</v>
      </c>
      <c r="D133" s="125" t="s">
        <v>454</v>
      </c>
      <c r="E133" s="125" t="s">
        <v>472</v>
      </c>
      <c r="F133" s="126">
        <v>40222.0</v>
      </c>
      <c r="G133" s="127">
        <v>7.22E8</v>
      </c>
      <c r="H133" s="126">
        <v>40226.0</v>
      </c>
      <c r="I133" s="128">
        <v>434.0</v>
      </c>
      <c r="J133" s="128">
        <v>154.06</v>
      </c>
      <c r="K133" s="128">
        <v>90.93</v>
      </c>
      <c r="L133" s="128">
        <v>66862.04</v>
      </c>
      <c r="M133" s="128">
        <v>39463.62</v>
      </c>
      <c r="N133" s="128">
        <v>27398.42</v>
      </c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125" t="s">
        <v>458</v>
      </c>
      <c r="B134" s="125" t="s">
        <v>505</v>
      </c>
      <c r="C134" s="125" t="s">
        <v>456</v>
      </c>
      <c r="D134" s="125" t="s">
        <v>454</v>
      </c>
      <c r="E134" s="125" t="s">
        <v>472</v>
      </c>
      <c r="F134" s="126">
        <v>40575.0</v>
      </c>
      <c r="G134" s="127">
        <v>9.77E8</v>
      </c>
      <c r="H134" s="126">
        <v>40612.0</v>
      </c>
      <c r="I134" s="128">
        <v>955.0</v>
      </c>
      <c r="J134" s="128">
        <v>152.58</v>
      </c>
      <c r="K134" s="128">
        <v>97.44</v>
      </c>
      <c r="L134" s="128">
        <v>145713.9</v>
      </c>
      <c r="M134" s="128">
        <v>93055.2</v>
      </c>
      <c r="N134" s="128">
        <v>52658.7</v>
      </c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125" t="s">
        <v>475</v>
      </c>
      <c r="B135" s="125" t="s">
        <v>566</v>
      </c>
      <c r="C135" s="125" t="s">
        <v>460</v>
      </c>
      <c r="D135" s="125" t="s">
        <v>454</v>
      </c>
      <c r="E135" s="125" t="s">
        <v>284</v>
      </c>
      <c r="F135" s="126">
        <v>42254.0</v>
      </c>
      <c r="G135" s="127">
        <v>1.77E8</v>
      </c>
      <c r="H135" s="126">
        <v>42259.0</v>
      </c>
      <c r="I135" s="128">
        <v>3729.0</v>
      </c>
      <c r="J135" s="128">
        <v>47.45</v>
      </c>
      <c r="K135" s="128">
        <v>31.79</v>
      </c>
      <c r="L135" s="128">
        <v>176941.1</v>
      </c>
      <c r="M135" s="128">
        <v>118544.9</v>
      </c>
      <c r="N135" s="128">
        <v>58396.14</v>
      </c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125" t="s">
        <v>466</v>
      </c>
      <c r="B136" s="125" t="s">
        <v>502</v>
      </c>
      <c r="C136" s="125" t="s">
        <v>460</v>
      </c>
      <c r="D136" s="125" t="s">
        <v>454</v>
      </c>
      <c r="E136" s="125" t="s">
        <v>189</v>
      </c>
      <c r="F136" s="126">
        <v>40264.0</v>
      </c>
      <c r="G136" s="127">
        <v>9.48E8</v>
      </c>
      <c r="H136" s="126">
        <v>40312.0</v>
      </c>
      <c r="I136" s="128">
        <v>1415.0</v>
      </c>
      <c r="J136" s="128">
        <v>47.45</v>
      </c>
      <c r="K136" s="128">
        <v>31.79</v>
      </c>
      <c r="L136" s="128">
        <v>67141.75</v>
      </c>
      <c r="M136" s="128">
        <v>44982.85</v>
      </c>
      <c r="N136" s="128">
        <v>22158.9</v>
      </c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125" t="s">
        <v>451</v>
      </c>
      <c r="B137" s="125" t="s">
        <v>550</v>
      </c>
      <c r="C137" s="125" t="s">
        <v>485</v>
      </c>
      <c r="D137" s="125" t="s">
        <v>457</v>
      </c>
      <c r="E137" s="125" t="s">
        <v>189</v>
      </c>
      <c r="F137" s="126">
        <v>42444.0</v>
      </c>
      <c r="G137" s="127">
        <v>5.87E8</v>
      </c>
      <c r="H137" s="126">
        <v>42482.0</v>
      </c>
      <c r="I137" s="128">
        <v>3706.0</v>
      </c>
      <c r="J137" s="128">
        <v>421.89</v>
      </c>
      <c r="K137" s="128">
        <v>364.69</v>
      </c>
      <c r="L137" s="128">
        <v>1563524.0</v>
      </c>
      <c r="M137" s="128">
        <v>1351541.0</v>
      </c>
      <c r="N137" s="128">
        <v>211983.2</v>
      </c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125" t="s">
        <v>458</v>
      </c>
      <c r="B138" s="125" t="s">
        <v>505</v>
      </c>
      <c r="C138" s="125" t="s">
        <v>456</v>
      </c>
      <c r="D138" s="125" t="s">
        <v>454</v>
      </c>
      <c r="E138" s="125" t="s">
        <v>472</v>
      </c>
      <c r="F138" s="126">
        <v>40428.0</v>
      </c>
      <c r="G138" s="127">
        <v>5.11E8</v>
      </c>
      <c r="H138" s="126">
        <v>40444.0</v>
      </c>
      <c r="I138" s="128">
        <v>2326.0</v>
      </c>
      <c r="J138" s="128">
        <v>152.58</v>
      </c>
      <c r="K138" s="128">
        <v>97.44</v>
      </c>
      <c r="L138" s="128">
        <v>354901.1</v>
      </c>
      <c r="M138" s="128">
        <v>226645.4</v>
      </c>
      <c r="N138" s="128">
        <v>128255.6</v>
      </c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125" t="s">
        <v>451</v>
      </c>
      <c r="B139" s="125" t="s">
        <v>482</v>
      </c>
      <c r="C139" s="125" t="s">
        <v>485</v>
      </c>
      <c r="D139" s="125" t="s">
        <v>454</v>
      </c>
      <c r="E139" s="125" t="s">
        <v>464</v>
      </c>
      <c r="F139" s="126">
        <v>41451.0</v>
      </c>
      <c r="G139" s="127">
        <v>4.08E8</v>
      </c>
      <c r="H139" s="126">
        <v>41460.0</v>
      </c>
      <c r="I139" s="128">
        <v>6030.0</v>
      </c>
      <c r="J139" s="128">
        <v>421.89</v>
      </c>
      <c r="K139" s="128">
        <v>364.69</v>
      </c>
      <c r="L139" s="128">
        <v>2543997.0</v>
      </c>
      <c r="M139" s="128">
        <v>2199081.0</v>
      </c>
      <c r="N139" s="128">
        <v>344916.0</v>
      </c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125" t="s">
        <v>466</v>
      </c>
      <c r="B140" s="125" t="s">
        <v>535</v>
      </c>
      <c r="C140" s="125" t="s">
        <v>485</v>
      </c>
      <c r="D140" s="125" t="s">
        <v>454</v>
      </c>
      <c r="E140" s="125" t="s">
        <v>284</v>
      </c>
      <c r="F140" s="126">
        <v>42072.0</v>
      </c>
      <c r="G140" s="127">
        <v>4.85E8</v>
      </c>
      <c r="H140" s="126">
        <v>42079.0</v>
      </c>
      <c r="I140" s="128">
        <v>5604.0</v>
      </c>
      <c r="J140" s="128">
        <v>421.89</v>
      </c>
      <c r="K140" s="128">
        <v>364.69</v>
      </c>
      <c r="L140" s="128">
        <v>2364272.0</v>
      </c>
      <c r="M140" s="128">
        <v>2043723.0</v>
      </c>
      <c r="N140" s="128">
        <v>320548.8</v>
      </c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125" t="s">
        <v>458</v>
      </c>
      <c r="B141" s="125" t="s">
        <v>567</v>
      </c>
      <c r="C141" s="125" t="s">
        <v>494</v>
      </c>
      <c r="D141" s="125" t="s">
        <v>454</v>
      </c>
      <c r="E141" s="125" t="s">
        <v>189</v>
      </c>
      <c r="F141" s="126">
        <v>40625.0</v>
      </c>
      <c r="G141" s="127">
        <v>1.21E8</v>
      </c>
      <c r="H141" s="126">
        <v>40665.0</v>
      </c>
      <c r="I141" s="128">
        <v>8866.0</v>
      </c>
      <c r="J141" s="128">
        <v>9.33</v>
      </c>
      <c r="K141" s="128">
        <v>6.92</v>
      </c>
      <c r="L141" s="128">
        <v>82719.78</v>
      </c>
      <c r="M141" s="128">
        <v>61352.72</v>
      </c>
      <c r="N141" s="128">
        <v>21367.06</v>
      </c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125" t="s">
        <v>461</v>
      </c>
      <c r="B142" s="125" t="s">
        <v>557</v>
      </c>
      <c r="C142" s="125" t="s">
        <v>468</v>
      </c>
      <c r="D142" s="125" t="s">
        <v>457</v>
      </c>
      <c r="E142" s="125" t="s">
        <v>189</v>
      </c>
      <c r="F142" s="126">
        <v>41362.0</v>
      </c>
      <c r="G142" s="127">
        <v>1.14E8</v>
      </c>
      <c r="H142" s="126">
        <v>41409.0</v>
      </c>
      <c r="I142" s="128">
        <v>5663.0</v>
      </c>
      <c r="J142" s="128">
        <v>81.73</v>
      </c>
      <c r="K142" s="128">
        <v>56.67</v>
      </c>
      <c r="L142" s="128">
        <v>462837.0</v>
      </c>
      <c r="M142" s="128">
        <v>320922.2</v>
      </c>
      <c r="N142" s="128">
        <v>141914.8</v>
      </c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125" t="s">
        <v>466</v>
      </c>
      <c r="B143" s="125" t="s">
        <v>568</v>
      </c>
      <c r="C143" s="125" t="s">
        <v>471</v>
      </c>
      <c r="D143" s="125" t="s">
        <v>454</v>
      </c>
      <c r="E143" s="125" t="s">
        <v>189</v>
      </c>
      <c r="F143" s="126">
        <v>42009.0</v>
      </c>
      <c r="G143" s="127">
        <v>4.34E8</v>
      </c>
      <c r="H143" s="126">
        <v>42019.0</v>
      </c>
      <c r="I143" s="128">
        <v>2876.0</v>
      </c>
      <c r="J143" s="128">
        <v>109.28</v>
      </c>
      <c r="K143" s="128">
        <v>35.84</v>
      </c>
      <c r="L143" s="128">
        <v>314289.3</v>
      </c>
      <c r="M143" s="128">
        <v>103075.8</v>
      </c>
      <c r="N143" s="128">
        <v>211213.4</v>
      </c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125" t="s">
        <v>469</v>
      </c>
      <c r="B144" s="125" t="s">
        <v>569</v>
      </c>
      <c r="C144" s="125" t="s">
        <v>485</v>
      </c>
      <c r="D144" s="125" t="s">
        <v>454</v>
      </c>
      <c r="E144" s="125" t="s">
        <v>189</v>
      </c>
      <c r="F144" s="126">
        <v>40684.0</v>
      </c>
      <c r="G144" s="127">
        <v>6.68E8</v>
      </c>
      <c r="H144" s="126">
        <v>40706.0</v>
      </c>
      <c r="I144" s="128">
        <v>9416.0</v>
      </c>
      <c r="J144" s="128">
        <v>421.89</v>
      </c>
      <c r="K144" s="128">
        <v>364.69</v>
      </c>
      <c r="L144" s="128">
        <v>3972516.0</v>
      </c>
      <c r="M144" s="128">
        <v>3433921.0</v>
      </c>
      <c r="N144" s="128">
        <v>538595.2</v>
      </c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125" t="s">
        <v>458</v>
      </c>
      <c r="B145" s="125" t="s">
        <v>487</v>
      </c>
      <c r="C145" s="125" t="s">
        <v>456</v>
      </c>
      <c r="D145" s="125" t="s">
        <v>457</v>
      </c>
      <c r="E145" s="125" t="s">
        <v>464</v>
      </c>
      <c r="F145" s="126">
        <v>42805.0</v>
      </c>
      <c r="G145" s="127">
        <v>4.77E8</v>
      </c>
      <c r="H145" s="126">
        <v>42821.0</v>
      </c>
      <c r="I145" s="128">
        <v>1225.0</v>
      </c>
      <c r="J145" s="128">
        <v>152.58</v>
      </c>
      <c r="K145" s="128">
        <v>97.44</v>
      </c>
      <c r="L145" s="128">
        <v>186910.5</v>
      </c>
      <c r="M145" s="128">
        <v>119364.0</v>
      </c>
      <c r="N145" s="128">
        <v>67546.5</v>
      </c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125" t="s">
        <v>475</v>
      </c>
      <c r="B146" s="125" t="s">
        <v>528</v>
      </c>
      <c r="C146" s="125" t="s">
        <v>478</v>
      </c>
      <c r="D146" s="125" t="s">
        <v>454</v>
      </c>
      <c r="E146" s="125" t="s">
        <v>284</v>
      </c>
      <c r="F146" s="126">
        <v>40352.0</v>
      </c>
      <c r="G146" s="127">
        <v>9.4E8</v>
      </c>
      <c r="H146" s="126">
        <v>40388.0</v>
      </c>
      <c r="I146" s="128">
        <v>6277.0</v>
      </c>
      <c r="J146" s="128">
        <v>651.21</v>
      </c>
      <c r="K146" s="128">
        <v>524.96</v>
      </c>
      <c r="L146" s="128">
        <v>4087645.0</v>
      </c>
      <c r="M146" s="128">
        <v>3295174.0</v>
      </c>
      <c r="N146" s="128">
        <v>792471.3</v>
      </c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125" t="s">
        <v>475</v>
      </c>
      <c r="B147" s="125" t="s">
        <v>570</v>
      </c>
      <c r="C147" s="125" t="s">
        <v>453</v>
      </c>
      <c r="D147" s="125" t="s">
        <v>454</v>
      </c>
      <c r="E147" s="125" t="s">
        <v>472</v>
      </c>
      <c r="F147" s="126">
        <v>40905.0</v>
      </c>
      <c r="G147" s="127">
        <v>5.08E8</v>
      </c>
      <c r="H147" s="126">
        <v>40920.0</v>
      </c>
      <c r="I147" s="128">
        <v>9577.0</v>
      </c>
      <c r="J147" s="128">
        <v>255.28</v>
      </c>
      <c r="K147" s="128">
        <v>159.42</v>
      </c>
      <c r="L147" s="128">
        <v>2444817.0</v>
      </c>
      <c r="M147" s="128">
        <v>1526765.0</v>
      </c>
      <c r="N147" s="128">
        <v>918051.2</v>
      </c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125" t="s">
        <v>461</v>
      </c>
      <c r="B148" s="125" t="s">
        <v>539</v>
      </c>
      <c r="C148" s="125" t="s">
        <v>480</v>
      </c>
      <c r="D148" s="125" t="s">
        <v>454</v>
      </c>
      <c r="E148" s="125" t="s">
        <v>464</v>
      </c>
      <c r="F148" s="126">
        <v>41370.0</v>
      </c>
      <c r="G148" s="127">
        <v>8.5E8</v>
      </c>
      <c r="H148" s="126">
        <v>41420.0</v>
      </c>
      <c r="I148" s="128">
        <v>8161.0</v>
      </c>
      <c r="J148" s="128">
        <v>437.2</v>
      </c>
      <c r="K148" s="128">
        <v>263.33</v>
      </c>
      <c r="L148" s="128">
        <v>3567989.0</v>
      </c>
      <c r="M148" s="128">
        <v>2149036.0</v>
      </c>
      <c r="N148" s="128">
        <v>1418953.0</v>
      </c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125" t="s">
        <v>461</v>
      </c>
      <c r="B149" s="125" t="s">
        <v>465</v>
      </c>
      <c r="C149" s="125" t="s">
        <v>485</v>
      </c>
      <c r="D149" s="125" t="s">
        <v>457</v>
      </c>
      <c r="E149" s="125" t="s">
        <v>464</v>
      </c>
      <c r="F149" s="126">
        <v>40426.0</v>
      </c>
      <c r="G149" s="127">
        <v>1.08E8</v>
      </c>
      <c r="H149" s="126">
        <v>40452.0</v>
      </c>
      <c r="I149" s="128">
        <v>6096.0</v>
      </c>
      <c r="J149" s="128">
        <v>421.89</v>
      </c>
      <c r="K149" s="128">
        <v>364.69</v>
      </c>
      <c r="L149" s="128">
        <v>2571841.0</v>
      </c>
      <c r="M149" s="128">
        <v>2223150.0</v>
      </c>
      <c r="N149" s="128">
        <v>348691.2</v>
      </c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125" t="s">
        <v>466</v>
      </c>
      <c r="B150" s="125" t="s">
        <v>534</v>
      </c>
      <c r="C150" s="125" t="s">
        <v>478</v>
      </c>
      <c r="D150" s="125" t="s">
        <v>454</v>
      </c>
      <c r="E150" s="125" t="s">
        <v>284</v>
      </c>
      <c r="F150" s="126">
        <v>42670.0</v>
      </c>
      <c r="G150" s="127">
        <v>5.42E8</v>
      </c>
      <c r="H150" s="126">
        <v>42712.0</v>
      </c>
      <c r="I150" s="128">
        <v>9481.0</v>
      </c>
      <c r="J150" s="128">
        <v>651.21</v>
      </c>
      <c r="K150" s="128">
        <v>524.96</v>
      </c>
      <c r="L150" s="128">
        <v>6174122.0</v>
      </c>
      <c r="M150" s="128">
        <v>4977146.0</v>
      </c>
      <c r="N150" s="128">
        <v>1196976.0</v>
      </c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125" t="s">
        <v>475</v>
      </c>
      <c r="B151" s="125" t="s">
        <v>571</v>
      </c>
      <c r="C151" s="125" t="s">
        <v>478</v>
      </c>
      <c r="D151" s="125" t="s">
        <v>457</v>
      </c>
      <c r="E151" s="125" t="s">
        <v>284</v>
      </c>
      <c r="F151" s="126">
        <v>40644.0</v>
      </c>
      <c r="G151" s="127">
        <v>8.84E8</v>
      </c>
      <c r="H151" s="126">
        <v>40676.0</v>
      </c>
      <c r="I151" s="128">
        <v>1447.0</v>
      </c>
      <c r="J151" s="128">
        <v>651.21</v>
      </c>
      <c r="K151" s="128">
        <v>524.96</v>
      </c>
      <c r="L151" s="128">
        <v>942300.9</v>
      </c>
      <c r="M151" s="128">
        <v>759617.1</v>
      </c>
      <c r="N151" s="128">
        <v>182683.8</v>
      </c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125" t="s">
        <v>475</v>
      </c>
      <c r="B152" s="125" t="s">
        <v>572</v>
      </c>
      <c r="C152" s="125" t="s">
        <v>514</v>
      </c>
      <c r="D152" s="125" t="s">
        <v>457</v>
      </c>
      <c r="E152" s="125" t="s">
        <v>284</v>
      </c>
      <c r="F152" s="126">
        <v>41107.0</v>
      </c>
      <c r="G152" s="127">
        <v>3.85E8</v>
      </c>
      <c r="H152" s="126">
        <v>41155.0</v>
      </c>
      <c r="I152" s="128">
        <v>7153.0</v>
      </c>
      <c r="J152" s="128">
        <v>668.27</v>
      </c>
      <c r="K152" s="128">
        <v>502.54</v>
      </c>
      <c r="L152" s="128">
        <v>4780135.0</v>
      </c>
      <c r="M152" s="128">
        <v>3594669.0</v>
      </c>
      <c r="N152" s="128">
        <v>1185467.0</v>
      </c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125" t="s">
        <v>461</v>
      </c>
      <c r="B153" s="125" t="s">
        <v>539</v>
      </c>
      <c r="C153" s="125" t="s">
        <v>485</v>
      </c>
      <c r="D153" s="125" t="s">
        <v>454</v>
      </c>
      <c r="E153" s="125" t="s">
        <v>464</v>
      </c>
      <c r="F153" s="126">
        <v>41526.0</v>
      </c>
      <c r="G153" s="127">
        <v>1.68E8</v>
      </c>
      <c r="H153" s="126">
        <v>41553.0</v>
      </c>
      <c r="I153" s="128">
        <v>8792.0</v>
      </c>
      <c r="J153" s="128">
        <v>421.89</v>
      </c>
      <c r="K153" s="128">
        <v>364.69</v>
      </c>
      <c r="L153" s="128">
        <v>3709257.0</v>
      </c>
      <c r="M153" s="128">
        <v>3206354.0</v>
      </c>
      <c r="N153" s="128">
        <v>502902.4</v>
      </c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125" t="s">
        <v>458</v>
      </c>
      <c r="B154" s="125" t="s">
        <v>573</v>
      </c>
      <c r="C154" s="125" t="s">
        <v>460</v>
      </c>
      <c r="D154" s="125" t="s">
        <v>454</v>
      </c>
      <c r="E154" s="125" t="s">
        <v>472</v>
      </c>
      <c r="F154" s="126">
        <v>42526.0</v>
      </c>
      <c r="G154" s="127">
        <v>9.73E8</v>
      </c>
      <c r="H154" s="126">
        <v>42547.0</v>
      </c>
      <c r="I154" s="128">
        <v>589.0</v>
      </c>
      <c r="J154" s="128">
        <v>47.45</v>
      </c>
      <c r="K154" s="128">
        <v>31.79</v>
      </c>
      <c r="L154" s="128">
        <v>27948.05</v>
      </c>
      <c r="M154" s="128">
        <v>18724.31</v>
      </c>
      <c r="N154" s="128">
        <v>9223.74</v>
      </c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125" t="s">
        <v>475</v>
      </c>
      <c r="B155" s="125" t="s">
        <v>574</v>
      </c>
      <c r="C155" s="125" t="s">
        <v>494</v>
      </c>
      <c r="D155" s="125" t="s">
        <v>457</v>
      </c>
      <c r="E155" s="125" t="s">
        <v>189</v>
      </c>
      <c r="F155" s="126">
        <v>40967.0</v>
      </c>
      <c r="G155" s="127">
        <v>9.15E8</v>
      </c>
      <c r="H155" s="126">
        <v>40986.0</v>
      </c>
      <c r="I155" s="128">
        <v>3797.0</v>
      </c>
      <c r="J155" s="128">
        <v>9.33</v>
      </c>
      <c r="K155" s="128">
        <v>6.92</v>
      </c>
      <c r="L155" s="128">
        <v>35426.01</v>
      </c>
      <c r="M155" s="128">
        <v>26275.24</v>
      </c>
      <c r="N155" s="128">
        <v>9150.77</v>
      </c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125" t="s">
        <v>475</v>
      </c>
      <c r="B156" s="125" t="s">
        <v>575</v>
      </c>
      <c r="C156" s="125" t="s">
        <v>480</v>
      </c>
      <c r="D156" s="125" t="s">
        <v>457</v>
      </c>
      <c r="E156" s="125" t="s">
        <v>284</v>
      </c>
      <c r="F156" s="126">
        <v>42400.0</v>
      </c>
      <c r="G156" s="127">
        <v>4.26E8</v>
      </c>
      <c r="H156" s="126">
        <v>42424.0</v>
      </c>
      <c r="I156" s="128">
        <v>1704.0</v>
      </c>
      <c r="J156" s="128">
        <v>437.2</v>
      </c>
      <c r="K156" s="128">
        <v>263.33</v>
      </c>
      <c r="L156" s="128">
        <v>744988.8</v>
      </c>
      <c r="M156" s="128">
        <v>448714.3</v>
      </c>
      <c r="N156" s="128">
        <v>296274.5</v>
      </c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125" t="s">
        <v>451</v>
      </c>
      <c r="B157" s="125" t="s">
        <v>482</v>
      </c>
      <c r="C157" s="125" t="s">
        <v>460</v>
      </c>
      <c r="D157" s="125" t="s">
        <v>454</v>
      </c>
      <c r="E157" s="125" t="s">
        <v>464</v>
      </c>
      <c r="F157" s="126">
        <v>40316.0</v>
      </c>
      <c r="G157" s="127">
        <v>9.08E8</v>
      </c>
      <c r="H157" s="126">
        <v>40343.0</v>
      </c>
      <c r="I157" s="128">
        <v>4626.0</v>
      </c>
      <c r="J157" s="128">
        <v>47.45</v>
      </c>
      <c r="K157" s="128">
        <v>31.79</v>
      </c>
      <c r="L157" s="128">
        <v>219503.7</v>
      </c>
      <c r="M157" s="128">
        <v>147060.5</v>
      </c>
      <c r="N157" s="128">
        <v>72443.16</v>
      </c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125" t="s">
        <v>475</v>
      </c>
      <c r="B158" s="125" t="s">
        <v>536</v>
      </c>
      <c r="C158" s="125" t="s">
        <v>463</v>
      </c>
      <c r="D158" s="125" t="s">
        <v>454</v>
      </c>
      <c r="E158" s="125" t="s">
        <v>284</v>
      </c>
      <c r="F158" s="126">
        <v>42425.0</v>
      </c>
      <c r="G158" s="127">
        <v>6.86E8</v>
      </c>
      <c r="H158" s="126">
        <v>42458.0</v>
      </c>
      <c r="I158" s="128">
        <v>4912.0</v>
      </c>
      <c r="J158" s="128">
        <v>205.7</v>
      </c>
      <c r="K158" s="128">
        <v>117.11</v>
      </c>
      <c r="L158" s="128">
        <v>1010398.0</v>
      </c>
      <c r="M158" s="128">
        <v>575244.3</v>
      </c>
      <c r="N158" s="128">
        <v>435154.1</v>
      </c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125" t="s">
        <v>461</v>
      </c>
      <c r="B159" s="125" t="s">
        <v>516</v>
      </c>
      <c r="C159" s="125" t="s">
        <v>514</v>
      </c>
      <c r="D159" s="125" t="s">
        <v>454</v>
      </c>
      <c r="E159" s="125" t="s">
        <v>472</v>
      </c>
      <c r="F159" s="126">
        <v>41615.0</v>
      </c>
      <c r="G159" s="127">
        <v>8.54E8</v>
      </c>
      <c r="H159" s="126">
        <v>41649.0</v>
      </c>
      <c r="I159" s="128">
        <v>1941.0</v>
      </c>
      <c r="J159" s="128">
        <v>668.27</v>
      </c>
      <c r="K159" s="128">
        <v>502.54</v>
      </c>
      <c r="L159" s="128">
        <v>1297112.0</v>
      </c>
      <c r="M159" s="128">
        <v>975430.1</v>
      </c>
      <c r="N159" s="128">
        <v>321681.9</v>
      </c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125" t="s">
        <v>466</v>
      </c>
      <c r="B160" s="125" t="s">
        <v>467</v>
      </c>
      <c r="C160" s="125" t="s">
        <v>463</v>
      </c>
      <c r="D160" s="125" t="s">
        <v>454</v>
      </c>
      <c r="E160" s="125" t="s">
        <v>284</v>
      </c>
      <c r="F160" s="126">
        <v>42224.0</v>
      </c>
      <c r="G160" s="127">
        <v>3.25E8</v>
      </c>
      <c r="H160" s="126">
        <v>42261.0</v>
      </c>
      <c r="I160" s="128">
        <v>7126.0</v>
      </c>
      <c r="J160" s="128">
        <v>205.7</v>
      </c>
      <c r="K160" s="128">
        <v>117.11</v>
      </c>
      <c r="L160" s="128">
        <v>1465818.0</v>
      </c>
      <c r="M160" s="128">
        <v>834525.9</v>
      </c>
      <c r="N160" s="128">
        <v>631292.3</v>
      </c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125" t="s">
        <v>466</v>
      </c>
      <c r="B161" s="125" t="s">
        <v>568</v>
      </c>
      <c r="C161" s="125" t="s">
        <v>463</v>
      </c>
      <c r="D161" s="125" t="s">
        <v>454</v>
      </c>
      <c r="E161" s="125" t="s">
        <v>284</v>
      </c>
      <c r="F161" s="126">
        <v>42066.0</v>
      </c>
      <c r="G161" s="127">
        <v>7.84E8</v>
      </c>
      <c r="H161" s="126">
        <v>42100.0</v>
      </c>
      <c r="I161" s="128">
        <v>8909.0</v>
      </c>
      <c r="J161" s="128">
        <v>205.7</v>
      </c>
      <c r="K161" s="128">
        <v>117.11</v>
      </c>
      <c r="L161" s="128">
        <v>1832581.0</v>
      </c>
      <c r="M161" s="128">
        <v>1043333.0</v>
      </c>
      <c r="N161" s="128">
        <v>789248.3</v>
      </c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125" t="s">
        <v>461</v>
      </c>
      <c r="B162" s="125" t="s">
        <v>576</v>
      </c>
      <c r="C162" s="125" t="s">
        <v>480</v>
      </c>
      <c r="D162" s="125" t="s">
        <v>457</v>
      </c>
      <c r="E162" s="125" t="s">
        <v>472</v>
      </c>
      <c r="F162" s="126">
        <v>42109.0</v>
      </c>
      <c r="G162" s="127">
        <v>8.35E8</v>
      </c>
      <c r="H162" s="126">
        <v>42144.0</v>
      </c>
      <c r="I162" s="128">
        <v>7762.0</v>
      </c>
      <c r="J162" s="128">
        <v>437.2</v>
      </c>
      <c r="K162" s="128">
        <v>263.33</v>
      </c>
      <c r="L162" s="128">
        <v>3393546.0</v>
      </c>
      <c r="M162" s="128">
        <v>2043967.0</v>
      </c>
      <c r="N162" s="128">
        <v>1349579.0</v>
      </c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125" t="s">
        <v>461</v>
      </c>
      <c r="B163" s="125" t="s">
        <v>525</v>
      </c>
      <c r="C163" s="125" t="s">
        <v>456</v>
      </c>
      <c r="D163" s="125" t="s">
        <v>457</v>
      </c>
      <c r="E163" s="125" t="s">
        <v>472</v>
      </c>
      <c r="F163" s="126">
        <v>42328.0</v>
      </c>
      <c r="G163" s="127">
        <v>9.54E8</v>
      </c>
      <c r="H163" s="126">
        <v>42363.0</v>
      </c>
      <c r="I163" s="128">
        <v>1191.0</v>
      </c>
      <c r="J163" s="128">
        <v>152.58</v>
      </c>
      <c r="K163" s="128">
        <v>97.44</v>
      </c>
      <c r="L163" s="128">
        <v>181722.8</v>
      </c>
      <c r="M163" s="128">
        <v>116051.0</v>
      </c>
      <c r="N163" s="128">
        <v>65671.74</v>
      </c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125" t="s">
        <v>488</v>
      </c>
      <c r="B164" s="125" t="s">
        <v>577</v>
      </c>
      <c r="C164" s="125" t="s">
        <v>478</v>
      </c>
      <c r="D164" s="125" t="s">
        <v>454</v>
      </c>
      <c r="E164" s="125" t="s">
        <v>464</v>
      </c>
      <c r="F164" s="126">
        <v>40320.0</v>
      </c>
      <c r="G164" s="127">
        <v>3.36E8</v>
      </c>
      <c r="H164" s="126">
        <v>40363.0</v>
      </c>
      <c r="I164" s="128">
        <v>8733.0</v>
      </c>
      <c r="J164" s="128">
        <v>651.21</v>
      </c>
      <c r="K164" s="128">
        <v>524.96</v>
      </c>
      <c r="L164" s="128">
        <v>5687017.0</v>
      </c>
      <c r="M164" s="128">
        <v>4584476.0</v>
      </c>
      <c r="N164" s="128">
        <v>1102541.0</v>
      </c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125" t="s">
        <v>461</v>
      </c>
      <c r="B165" s="125" t="s">
        <v>522</v>
      </c>
      <c r="C165" s="125" t="s">
        <v>480</v>
      </c>
      <c r="D165" s="125" t="s">
        <v>454</v>
      </c>
      <c r="E165" s="125" t="s">
        <v>472</v>
      </c>
      <c r="F165" s="126">
        <v>40986.0</v>
      </c>
      <c r="G165" s="127">
        <v>9.46E8</v>
      </c>
      <c r="H165" s="126">
        <v>40991.0</v>
      </c>
      <c r="I165" s="128">
        <v>6954.0</v>
      </c>
      <c r="J165" s="128">
        <v>437.2</v>
      </c>
      <c r="K165" s="128">
        <v>263.33</v>
      </c>
      <c r="L165" s="128">
        <v>3040289.0</v>
      </c>
      <c r="M165" s="128">
        <v>1831197.0</v>
      </c>
      <c r="N165" s="128">
        <v>1209092.0</v>
      </c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125" t="s">
        <v>458</v>
      </c>
      <c r="B166" s="125" t="s">
        <v>515</v>
      </c>
      <c r="C166" s="125" t="s">
        <v>506</v>
      </c>
      <c r="D166" s="125" t="s">
        <v>457</v>
      </c>
      <c r="E166" s="125" t="s">
        <v>464</v>
      </c>
      <c r="F166" s="126">
        <v>41319.0</v>
      </c>
      <c r="G166" s="127">
        <v>7.72E8</v>
      </c>
      <c r="H166" s="126">
        <v>41354.0</v>
      </c>
      <c r="I166" s="128">
        <v>4453.0</v>
      </c>
      <c r="J166" s="128">
        <v>154.06</v>
      </c>
      <c r="K166" s="128">
        <v>90.93</v>
      </c>
      <c r="L166" s="128">
        <v>686029.2</v>
      </c>
      <c r="M166" s="128">
        <v>404911.3</v>
      </c>
      <c r="N166" s="128">
        <v>281117.9</v>
      </c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125" t="s">
        <v>461</v>
      </c>
      <c r="B167" s="125" t="s">
        <v>578</v>
      </c>
      <c r="C167" s="125" t="s">
        <v>463</v>
      </c>
      <c r="D167" s="125" t="s">
        <v>454</v>
      </c>
      <c r="E167" s="125" t="s">
        <v>284</v>
      </c>
      <c r="F167" s="126">
        <v>42848.0</v>
      </c>
      <c r="G167" s="127">
        <v>5.68E8</v>
      </c>
      <c r="H167" s="126">
        <v>42877.0</v>
      </c>
      <c r="I167" s="128">
        <v>6860.0</v>
      </c>
      <c r="J167" s="128">
        <v>205.7</v>
      </c>
      <c r="K167" s="128">
        <v>117.11</v>
      </c>
      <c r="L167" s="128">
        <v>1411102.0</v>
      </c>
      <c r="M167" s="128">
        <v>803374.6</v>
      </c>
      <c r="N167" s="128">
        <v>607727.4</v>
      </c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125" t="s">
        <v>466</v>
      </c>
      <c r="B168" s="125" t="s">
        <v>491</v>
      </c>
      <c r="C168" s="125" t="s">
        <v>478</v>
      </c>
      <c r="D168" s="125" t="s">
        <v>457</v>
      </c>
      <c r="E168" s="125" t="s">
        <v>464</v>
      </c>
      <c r="F168" s="126">
        <v>41961.0</v>
      </c>
      <c r="G168" s="127">
        <v>7.12E8</v>
      </c>
      <c r="H168" s="126">
        <v>41961.0</v>
      </c>
      <c r="I168" s="128">
        <v>1836.0</v>
      </c>
      <c r="J168" s="128">
        <v>651.21</v>
      </c>
      <c r="K168" s="128">
        <v>524.96</v>
      </c>
      <c r="L168" s="128">
        <v>1195622.0</v>
      </c>
      <c r="M168" s="128">
        <v>963826.6</v>
      </c>
      <c r="N168" s="128">
        <v>231795.0</v>
      </c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125" t="s">
        <v>475</v>
      </c>
      <c r="B169" s="125" t="s">
        <v>579</v>
      </c>
      <c r="C169" s="125" t="s">
        <v>478</v>
      </c>
      <c r="D169" s="125" t="s">
        <v>454</v>
      </c>
      <c r="E169" s="125" t="s">
        <v>464</v>
      </c>
      <c r="F169" s="126">
        <v>42349.0</v>
      </c>
      <c r="G169" s="127">
        <v>7.5E8</v>
      </c>
      <c r="H169" s="126">
        <v>42399.0</v>
      </c>
      <c r="I169" s="128">
        <v>4074.0</v>
      </c>
      <c r="J169" s="128">
        <v>651.21</v>
      </c>
      <c r="K169" s="128">
        <v>524.96</v>
      </c>
      <c r="L169" s="128">
        <v>2653030.0</v>
      </c>
      <c r="M169" s="128">
        <v>2138687.0</v>
      </c>
      <c r="N169" s="128">
        <v>514342.5</v>
      </c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125" t="s">
        <v>466</v>
      </c>
      <c r="B170" s="125" t="s">
        <v>580</v>
      </c>
      <c r="C170" s="125" t="s">
        <v>456</v>
      </c>
      <c r="D170" s="125" t="s">
        <v>454</v>
      </c>
      <c r="E170" s="125" t="s">
        <v>284</v>
      </c>
      <c r="F170" s="126">
        <v>42560.0</v>
      </c>
      <c r="G170" s="127">
        <v>7.5E8</v>
      </c>
      <c r="H170" s="126">
        <v>42600.0</v>
      </c>
      <c r="I170" s="128">
        <v>297.0</v>
      </c>
      <c r="J170" s="128">
        <v>152.58</v>
      </c>
      <c r="K170" s="128">
        <v>97.44</v>
      </c>
      <c r="L170" s="128">
        <v>45316.26</v>
      </c>
      <c r="M170" s="128">
        <v>28939.68</v>
      </c>
      <c r="N170" s="128">
        <v>16376.58</v>
      </c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125" t="s">
        <v>451</v>
      </c>
      <c r="B171" s="125" t="s">
        <v>482</v>
      </c>
      <c r="C171" s="125" t="s">
        <v>514</v>
      </c>
      <c r="D171" s="125" t="s">
        <v>457</v>
      </c>
      <c r="E171" s="125" t="s">
        <v>472</v>
      </c>
      <c r="F171" s="126">
        <v>42914.0</v>
      </c>
      <c r="G171" s="127">
        <v>8.49E8</v>
      </c>
      <c r="H171" s="126">
        <v>42938.0</v>
      </c>
      <c r="I171" s="128">
        <v>4259.0</v>
      </c>
      <c r="J171" s="128">
        <v>668.27</v>
      </c>
      <c r="K171" s="128">
        <v>502.54</v>
      </c>
      <c r="L171" s="128">
        <v>2846162.0</v>
      </c>
      <c r="M171" s="128">
        <v>2140318.0</v>
      </c>
      <c r="N171" s="128">
        <v>705844.1</v>
      </c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125" t="s">
        <v>451</v>
      </c>
      <c r="B172" s="125" t="s">
        <v>543</v>
      </c>
      <c r="C172" s="125" t="s">
        <v>485</v>
      </c>
      <c r="D172" s="125" t="s">
        <v>454</v>
      </c>
      <c r="E172" s="125" t="s">
        <v>189</v>
      </c>
      <c r="F172" s="126">
        <v>41355.0</v>
      </c>
      <c r="G172" s="127">
        <v>8.06E8</v>
      </c>
      <c r="H172" s="126">
        <v>41372.0</v>
      </c>
      <c r="I172" s="128">
        <v>1748.0</v>
      </c>
      <c r="J172" s="128">
        <v>421.89</v>
      </c>
      <c r="K172" s="128">
        <v>364.69</v>
      </c>
      <c r="L172" s="128">
        <v>737463.7</v>
      </c>
      <c r="M172" s="128">
        <v>637478.1</v>
      </c>
      <c r="N172" s="128">
        <v>99985.6</v>
      </c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125" t="s">
        <v>475</v>
      </c>
      <c r="B173" s="125" t="s">
        <v>544</v>
      </c>
      <c r="C173" s="125" t="s">
        <v>463</v>
      </c>
      <c r="D173" s="125" t="s">
        <v>454</v>
      </c>
      <c r="E173" s="125" t="s">
        <v>472</v>
      </c>
      <c r="F173" s="126">
        <v>40363.0</v>
      </c>
      <c r="G173" s="127">
        <v>4.48E8</v>
      </c>
      <c r="H173" s="126">
        <v>40386.0</v>
      </c>
      <c r="I173" s="128">
        <v>5581.0</v>
      </c>
      <c r="J173" s="128">
        <v>205.7</v>
      </c>
      <c r="K173" s="128">
        <v>117.11</v>
      </c>
      <c r="L173" s="128">
        <v>1148012.0</v>
      </c>
      <c r="M173" s="128">
        <v>653590.9</v>
      </c>
      <c r="N173" s="128">
        <v>494420.8</v>
      </c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125" t="s">
        <v>469</v>
      </c>
      <c r="B174" s="125" t="s">
        <v>530</v>
      </c>
      <c r="C174" s="125" t="s">
        <v>460</v>
      </c>
      <c r="D174" s="125" t="s">
        <v>457</v>
      </c>
      <c r="E174" s="125" t="s">
        <v>464</v>
      </c>
      <c r="F174" s="126">
        <v>42808.0</v>
      </c>
      <c r="G174" s="127">
        <v>1.23E8</v>
      </c>
      <c r="H174" s="126">
        <v>42816.0</v>
      </c>
      <c r="I174" s="128">
        <v>606.0</v>
      </c>
      <c r="J174" s="128">
        <v>47.45</v>
      </c>
      <c r="K174" s="128">
        <v>31.79</v>
      </c>
      <c r="L174" s="128">
        <v>28754.7</v>
      </c>
      <c r="M174" s="128">
        <v>19264.74</v>
      </c>
      <c r="N174" s="128">
        <v>9489.96</v>
      </c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125" t="s">
        <v>461</v>
      </c>
      <c r="B175" s="125" t="s">
        <v>578</v>
      </c>
      <c r="C175" s="125" t="s">
        <v>514</v>
      </c>
      <c r="D175" s="125" t="s">
        <v>457</v>
      </c>
      <c r="E175" s="125" t="s">
        <v>472</v>
      </c>
      <c r="F175" s="126">
        <v>42268.0</v>
      </c>
      <c r="G175" s="127">
        <v>2.51E8</v>
      </c>
      <c r="H175" s="126">
        <v>42297.0</v>
      </c>
      <c r="I175" s="128">
        <v>8702.0</v>
      </c>
      <c r="J175" s="128">
        <v>668.27</v>
      </c>
      <c r="K175" s="128">
        <v>502.54</v>
      </c>
      <c r="L175" s="128">
        <v>5815286.0</v>
      </c>
      <c r="M175" s="128">
        <v>4373103.0</v>
      </c>
      <c r="N175" s="128">
        <v>1442182.0</v>
      </c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125" t="s">
        <v>461</v>
      </c>
      <c r="B176" s="125" t="s">
        <v>581</v>
      </c>
      <c r="C176" s="125" t="s">
        <v>514</v>
      </c>
      <c r="D176" s="125" t="s">
        <v>454</v>
      </c>
      <c r="E176" s="125" t="s">
        <v>189</v>
      </c>
      <c r="F176" s="126">
        <v>41009.0</v>
      </c>
      <c r="G176" s="127">
        <v>8.71E8</v>
      </c>
      <c r="H176" s="126">
        <v>41010.0</v>
      </c>
      <c r="I176" s="128">
        <v>3782.0</v>
      </c>
      <c r="J176" s="128">
        <v>668.27</v>
      </c>
      <c r="K176" s="128">
        <v>502.54</v>
      </c>
      <c r="L176" s="128">
        <v>2527397.0</v>
      </c>
      <c r="M176" s="128">
        <v>1900606.0</v>
      </c>
      <c r="N176" s="128">
        <v>626790.9</v>
      </c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125" t="s">
        <v>458</v>
      </c>
      <c r="B177" s="125" t="s">
        <v>582</v>
      </c>
      <c r="C177" s="125" t="s">
        <v>494</v>
      </c>
      <c r="D177" s="125" t="s">
        <v>454</v>
      </c>
      <c r="E177" s="125" t="s">
        <v>464</v>
      </c>
      <c r="F177" s="126">
        <v>40300.0</v>
      </c>
      <c r="G177" s="127">
        <v>2.92E8</v>
      </c>
      <c r="H177" s="126">
        <v>40335.0</v>
      </c>
      <c r="I177" s="128">
        <v>6788.0</v>
      </c>
      <c r="J177" s="128">
        <v>9.33</v>
      </c>
      <c r="K177" s="128">
        <v>6.92</v>
      </c>
      <c r="L177" s="128">
        <v>63332.04</v>
      </c>
      <c r="M177" s="128">
        <v>46972.96</v>
      </c>
      <c r="N177" s="128">
        <v>16359.08</v>
      </c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125" t="s">
        <v>461</v>
      </c>
      <c r="B178" s="125" t="s">
        <v>557</v>
      </c>
      <c r="C178" s="125" t="s">
        <v>471</v>
      </c>
      <c r="D178" s="125" t="s">
        <v>454</v>
      </c>
      <c r="E178" s="125" t="s">
        <v>284</v>
      </c>
      <c r="F178" s="126">
        <v>41803.0</v>
      </c>
      <c r="G178" s="127">
        <v>9.44E8</v>
      </c>
      <c r="H178" s="126">
        <v>41852.0</v>
      </c>
      <c r="I178" s="128">
        <v>692.0</v>
      </c>
      <c r="J178" s="128">
        <v>109.28</v>
      </c>
      <c r="K178" s="128">
        <v>35.84</v>
      </c>
      <c r="L178" s="128">
        <v>75621.76</v>
      </c>
      <c r="M178" s="128">
        <v>24801.28</v>
      </c>
      <c r="N178" s="128">
        <v>50820.48</v>
      </c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125" t="s">
        <v>475</v>
      </c>
      <c r="B179" s="125" t="s">
        <v>527</v>
      </c>
      <c r="C179" s="125" t="s">
        <v>478</v>
      </c>
      <c r="D179" s="125" t="s">
        <v>457</v>
      </c>
      <c r="E179" s="125" t="s">
        <v>464</v>
      </c>
      <c r="F179" s="126">
        <v>40651.0</v>
      </c>
      <c r="G179" s="127">
        <v>8.27E8</v>
      </c>
      <c r="H179" s="126">
        <v>40651.0</v>
      </c>
      <c r="I179" s="128">
        <v>5501.0</v>
      </c>
      <c r="J179" s="128">
        <v>651.21</v>
      </c>
      <c r="K179" s="128">
        <v>524.96</v>
      </c>
      <c r="L179" s="128">
        <v>3582306.0</v>
      </c>
      <c r="M179" s="128">
        <v>2887805.0</v>
      </c>
      <c r="N179" s="128">
        <v>694501.3</v>
      </c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125" t="s">
        <v>466</v>
      </c>
      <c r="B180" s="125" t="s">
        <v>484</v>
      </c>
      <c r="C180" s="125" t="s">
        <v>480</v>
      </c>
      <c r="D180" s="125" t="s">
        <v>454</v>
      </c>
      <c r="E180" s="125" t="s">
        <v>189</v>
      </c>
      <c r="F180" s="126">
        <v>40664.0</v>
      </c>
      <c r="G180" s="127">
        <v>2.61E8</v>
      </c>
      <c r="H180" s="126">
        <v>40675.0</v>
      </c>
      <c r="I180" s="128">
        <v>3250.0</v>
      </c>
      <c r="J180" s="128">
        <v>437.2</v>
      </c>
      <c r="K180" s="128">
        <v>263.33</v>
      </c>
      <c r="L180" s="128">
        <v>1420900.0</v>
      </c>
      <c r="M180" s="128">
        <v>855822.5</v>
      </c>
      <c r="N180" s="128">
        <v>565077.5</v>
      </c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125" t="s">
        <v>469</v>
      </c>
      <c r="B181" s="125" t="s">
        <v>520</v>
      </c>
      <c r="C181" s="125" t="s">
        <v>506</v>
      </c>
      <c r="D181" s="125" t="s">
        <v>454</v>
      </c>
      <c r="E181" s="125" t="s">
        <v>464</v>
      </c>
      <c r="F181" s="126">
        <v>41903.0</v>
      </c>
      <c r="G181" s="127">
        <v>5.37E8</v>
      </c>
      <c r="H181" s="126">
        <v>41946.0</v>
      </c>
      <c r="I181" s="128">
        <v>3007.0</v>
      </c>
      <c r="J181" s="128">
        <v>154.06</v>
      </c>
      <c r="K181" s="128">
        <v>90.93</v>
      </c>
      <c r="L181" s="128">
        <v>463258.4</v>
      </c>
      <c r="M181" s="128">
        <v>273426.5</v>
      </c>
      <c r="N181" s="128">
        <v>189831.9</v>
      </c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125" t="s">
        <v>469</v>
      </c>
      <c r="B182" s="125" t="s">
        <v>520</v>
      </c>
      <c r="C182" s="125" t="s">
        <v>468</v>
      </c>
      <c r="D182" s="125" t="s">
        <v>457</v>
      </c>
      <c r="E182" s="125" t="s">
        <v>464</v>
      </c>
      <c r="F182" s="126">
        <v>42052.0</v>
      </c>
      <c r="G182" s="127">
        <v>7.66E8</v>
      </c>
      <c r="H182" s="126">
        <v>42069.0</v>
      </c>
      <c r="I182" s="128">
        <v>5870.0</v>
      </c>
      <c r="J182" s="128">
        <v>81.73</v>
      </c>
      <c r="K182" s="128">
        <v>56.67</v>
      </c>
      <c r="L182" s="128">
        <v>479755.1</v>
      </c>
      <c r="M182" s="128">
        <v>332652.9</v>
      </c>
      <c r="N182" s="128">
        <v>147102.2</v>
      </c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125" t="s">
        <v>458</v>
      </c>
      <c r="B183" s="125" t="s">
        <v>583</v>
      </c>
      <c r="C183" s="125" t="s">
        <v>453</v>
      </c>
      <c r="D183" s="125" t="s">
        <v>454</v>
      </c>
      <c r="E183" s="125" t="s">
        <v>189</v>
      </c>
      <c r="F183" s="126">
        <v>40568.0</v>
      </c>
      <c r="G183" s="127">
        <v>1.29E8</v>
      </c>
      <c r="H183" s="126">
        <v>40615.0</v>
      </c>
      <c r="I183" s="128">
        <v>9968.0</v>
      </c>
      <c r="J183" s="128">
        <v>255.28</v>
      </c>
      <c r="K183" s="128">
        <v>159.42</v>
      </c>
      <c r="L183" s="128">
        <v>2544631.0</v>
      </c>
      <c r="M183" s="128">
        <v>1589099.0</v>
      </c>
      <c r="N183" s="128">
        <v>955532.5</v>
      </c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125" t="s">
        <v>466</v>
      </c>
      <c r="B184" s="125" t="s">
        <v>584</v>
      </c>
      <c r="C184" s="125" t="s">
        <v>506</v>
      </c>
      <c r="D184" s="125" t="s">
        <v>457</v>
      </c>
      <c r="E184" s="125" t="s">
        <v>464</v>
      </c>
      <c r="F184" s="126">
        <v>42826.0</v>
      </c>
      <c r="G184" s="127">
        <v>1.28E8</v>
      </c>
      <c r="H184" s="126">
        <v>42830.0</v>
      </c>
      <c r="I184" s="128">
        <v>5465.0</v>
      </c>
      <c r="J184" s="128">
        <v>154.06</v>
      </c>
      <c r="K184" s="128">
        <v>90.93</v>
      </c>
      <c r="L184" s="128">
        <v>841937.9</v>
      </c>
      <c r="M184" s="128">
        <v>496932.5</v>
      </c>
      <c r="N184" s="128">
        <v>345005.5</v>
      </c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125" t="s">
        <v>469</v>
      </c>
      <c r="B185" s="125" t="s">
        <v>569</v>
      </c>
      <c r="C185" s="125" t="s">
        <v>506</v>
      </c>
      <c r="D185" s="125" t="s">
        <v>457</v>
      </c>
      <c r="E185" s="125" t="s">
        <v>284</v>
      </c>
      <c r="F185" s="126">
        <v>42145.0</v>
      </c>
      <c r="G185" s="127">
        <v>5.34E8</v>
      </c>
      <c r="H185" s="126">
        <v>42149.0</v>
      </c>
      <c r="I185" s="128">
        <v>9550.0</v>
      </c>
      <c r="J185" s="128">
        <v>154.06</v>
      </c>
      <c r="K185" s="128">
        <v>90.93</v>
      </c>
      <c r="L185" s="128">
        <v>1471273.0</v>
      </c>
      <c r="M185" s="128">
        <v>868381.5</v>
      </c>
      <c r="N185" s="128">
        <v>602891.5</v>
      </c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125" t="s">
        <v>469</v>
      </c>
      <c r="B186" s="125" t="s">
        <v>501</v>
      </c>
      <c r="C186" s="125" t="s">
        <v>468</v>
      </c>
      <c r="D186" s="125" t="s">
        <v>454</v>
      </c>
      <c r="E186" s="125" t="s">
        <v>472</v>
      </c>
      <c r="F186" s="126">
        <v>40530.0</v>
      </c>
      <c r="G186" s="127">
        <v>7.41E8</v>
      </c>
      <c r="H186" s="126">
        <v>40553.0</v>
      </c>
      <c r="I186" s="128">
        <v>1450.0</v>
      </c>
      <c r="J186" s="128">
        <v>81.73</v>
      </c>
      <c r="K186" s="128">
        <v>56.67</v>
      </c>
      <c r="L186" s="128">
        <v>118508.5</v>
      </c>
      <c r="M186" s="128">
        <v>82171.5</v>
      </c>
      <c r="N186" s="128">
        <v>36337.0</v>
      </c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125" t="s">
        <v>469</v>
      </c>
      <c r="B187" s="125" t="s">
        <v>501</v>
      </c>
      <c r="C187" s="125" t="s">
        <v>456</v>
      </c>
      <c r="D187" s="125" t="s">
        <v>454</v>
      </c>
      <c r="E187" s="125" t="s">
        <v>189</v>
      </c>
      <c r="F187" s="126">
        <v>41761.0</v>
      </c>
      <c r="G187" s="127">
        <v>2.11E8</v>
      </c>
      <c r="H187" s="126">
        <v>41786.0</v>
      </c>
      <c r="I187" s="128">
        <v>7417.0</v>
      </c>
      <c r="J187" s="128">
        <v>152.58</v>
      </c>
      <c r="K187" s="128">
        <v>97.44</v>
      </c>
      <c r="L187" s="128">
        <v>1131686.0</v>
      </c>
      <c r="M187" s="128">
        <v>722712.5</v>
      </c>
      <c r="N187" s="128">
        <v>408973.4</v>
      </c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125" t="s">
        <v>451</v>
      </c>
      <c r="B188" s="125" t="s">
        <v>543</v>
      </c>
      <c r="C188" s="125" t="s">
        <v>506</v>
      </c>
      <c r="D188" s="125" t="s">
        <v>454</v>
      </c>
      <c r="E188" s="125" t="s">
        <v>284</v>
      </c>
      <c r="F188" s="126">
        <v>41704.0</v>
      </c>
      <c r="G188" s="127">
        <v>7.25E8</v>
      </c>
      <c r="H188" s="126">
        <v>41742.0</v>
      </c>
      <c r="I188" s="128">
        <v>5738.0</v>
      </c>
      <c r="J188" s="128">
        <v>154.06</v>
      </c>
      <c r="K188" s="128">
        <v>90.93</v>
      </c>
      <c r="L188" s="128">
        <v>883996.3</v>
      </c>
      <c r="M188" s="128">
        <v>521756.3</v>
      </c>
      <c r="N188" s="128">
        <v>362239.9</v>
      </c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125" t="s">
        <v>475</v>
      </c>
      <c r="B189" s="125" t="s">
        <v>585</v>
      </c>
      <c r="C189" s="125" t="s">
        <v>514</v>
      </c>
      <c r="D189" s="125" t="s">
        <v>457</v>
      </c>
      <c r="E189" s="125" t="s">
        <v>472</v>
      </c>
      <c r="F189" s="126">
        <v>40766.0</v>
      </c>
      <c r="G189" s="127">
        <v>5.39E8</v>
      </c>
      <c r="H189" s="126">
        <v>40793.0</v>
      </c>
      <c r="I189" s="128">
        <v>1731.0</v>
      </c>
      <c r="J189" s="128">
        <v>668.27</v>
      </c>
      <c r="K189" s="128">
        <v>502.54</v>
      </c>
      <c r="L189" s="128">
        <v>1156775.0</v>
      </c>
      <c r="M189" s="128">
        <v>869896.7</v>
      </c>
      <c r="N189" s="128">
        <v>286878.6</v>
      </c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125" t="s">
        <v>451</v>
      </c>
      <c r="B190" s="125" t="s">
        <v>497</v>
      </c>
      <c r="C190" s="125" t="s">
        <v>463</v>
      </c>
      <c r="D190" s="125" t="s">
        <v>457</v>
      </c>
      <c r="E190" s="125" t="s">
        <v>472</v>
      </c>
      <c r="F190" s="126">
        <v>42510.0</v>
      </c>
      <c r="G190" s="127">
        <v>2.24E8</v>
      </c>
      <c r="H190" s="126">
        <v>42533.0</v>
      </c>
      <c r="I190" s="128">
        <v>2745.0</v>
      </c>
      <c r="J190" s="128">
        <v>205.7</v>
      </c>
      <c r="K190" s="128">
        <v>117.11</v>
      </c>
      <c r="L190" s="128">
        <v>564646.5</v>
      </c>
      <c r="M190" s="128">
        <v>321467.0</v>
      </c>
      <c r="N190" s="128">
        <v>243179.6</v>
      </c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125" t="s">
        <v>466</v>
      </c>
      <c r="B191" s="125" t="s">
        <v>492</v>
      </c>
      <c r="C191" s="125" t="s">
        <v>460</v>
      </c>
      <c r="D191" s="125" t="s">
        <v>454</v>
      </c>
      <c r="E191" s="125" t="s">
        <v>189</v>
      </c>
      <c r="F191" s="126">
        <v>41204.0</v>
      </c>
      <c r="G191" s="127">
        <v>4.25E8</v>
      </c>
      <c r="H191" s="126">
        <v>41248.0</v>
      </c>
      <c r="I191" s="128">
        <v>3159.0</v>
      </c>
      <c r="J191" s="128">
        <v>47.45</v>
      </c>
      <c r="K191" s="128">
        <v>31.79</v>
      </c>
      <c r="L191" s="128">
        <v>149894.6</v>
      </c>
      <c r="M191" s="128">
        <v>100424.6</v>
      </c>
      <c r="N191" s="128">
        <v>49469.94</v>
      </c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125" t="s">
        <v>475</v>
      </c>
      <c r="B192" s="125" t="s">
        <v>532</v>
      </c>
      <c r="C192" s="125" t="s">
        <v>506</v>
      </c>
      <c r="D192" s="125" t="s">
        <v>457</v>
      </c>
      <c r="E192" s="125" t="s">
        <v>189</v>
      </c>
      <c r="F192" s="126">
        <v>42571.0</v>
      </c>
      <c r="G192" s="127">
        <v>5.07E8</v>
      </c>
      <c r="H192" s="126">
        <v>42590.0</v>
      </c>
      <c r="I192" s="128">
        <v>9383.0</v>
      </c>
      <c r="J192" s="128">
        <v>154.06</v>
      </c>
      <c r="K192" s="128">
        <v>90.93</v>
      </c>
      <c r="L192" s="128">
        <v>1445545.0</v>
      </c>
      <c r="M192" s="128">
        <v>853196.2</v>
      </c>
      <c r="N192" s="128">
        <v>592348.8</v>
      </c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125" t="s">
        <v>475</v>
      </c>
      <c r="B193" s="125" t="s">
        <v>565</v>
      </c>
      <c r="C193" s="125" t="s">
        <v>478</v>
      </c>
      <c r="D193" s="125" t="s">
        <v>457</v>
      </c>
      <c r="E193" s="125" t="s">
        <v>284</v>
      </c>
      <c r="F193" s="126">
        <v>40275.0</v>
      </c>
      <c r="G193" s="127">
        <v>8.02E8</v>
      </c>
      <c r="H193" s="126">
        <v>40294.0</v>
      </c>
      <c r="I193" s="128">
        <v>4862.0</v>
      </c>
      <c r="J193" s="128">
        <v>651.21</v>
      </c>
      <c r="K193" s="128">
        <v>524.96</v>
      </c>
      <c r="L193" s="128">
        <v>3166183.0</v>
      </c>
      <c r="M193" s="128">
        <v>2552356.0</v>
      </c>
      <c r="N193" s="128">
        <v>613827.5</v>
      </c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125" t="s">
        <v>461</v>
      </c>
      <c r="B194" s="125" t="s">
        <v>564</v>
      </c>
      <c r="C194" s="125" t="s">
        <v>480</v>
      </c>
      <c r="D194" s="125" t="s">
        <v>457</v>
      </c>
      <c r="E194" s="125" t="s">
        <v>472</v>
      </c>
      <c r="F194" s="126">
        <v>42199.0</v>
      </c>
      <c r="G194" s="127">
        <v>3.67E8</v>
      </c>
      <c r="H194" s="126">
        <v>42225.0</v>
      </c>
      <c r="I194" s="128">
        <v>5068.0</v>
      </c>
      <c r="J194" s="128">
        <v>437.2</v>
      </c>
      <c r="K194" s="128">
        <v>263.33</v>
      </c>
      <c r="L194" s="128">
        <v>2215730.0</v>
      </c>
      <c r="M194" s="128">
        <v>1334556.0</v>
      </c>
      <c r="N194" s="128">
        <v>881173.2</v>
      </c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125" t="s">
        <v>466</v>
      </c>
      <c r="B195" s="125" t="s">
        <v>477</v>
      </c>
      <c r="C195" s="125" t="s">
        <v>468</v>
      </c>
      <c r="D195" s="125" t="s">
        <v>457</v>
      </c>
      <c r="E195" s="125" t="s">
        <v>472</v>
      </c>
      <c r="F195" s="126">
        <v>41404.0</v>
      </c>
      <c r="G195" s="127">
        <v>1.26E8</v>
      </c>
      <c r="H195" s="126">
        <v>41415.0</v>
      </c>
      <c r="I195" s="128">
        <v>2506.0</v>
      </c>
      <c r="J195" s="128">
        <v>81.73</v>
      </c>
      <c r="K195" s="128">
        <v>56.67</v>
      </c>
      <c r="L195" s="128">
        <v>204815.4</v>
      </c>
      <c r="M195" s="128">
        <v>142015.0</v>
      </c>
      <c r="N195" s="128">
        <v>62800.36</v>
      </c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125" t="s">
        <v>461</v>
      </c>
      <c r="B196" s="125" t="s">
        <v>586</v>
      </c>
      <c r="C196" s="125" t="s">
        <v>468</v>
      </c>
      <c r="D196" s="125" t="s">
        <v>457</v>
      </c>
      <c r="E196" s="125" t="s">
        <v>472</v>
      </c>
      <c r="F196" s="126">
        <v>42401.0</v>
      </c>
      <c r="G196" s="127">
        <v>6.25E8</v>
      </c>
      <c r="H196" s="126">
        <v>42408.0</v>
      </c>
      <c r="I196" s="128">
        <v>1713.0</v>
      </c>
      <c r="J196" s="128">
        <v>81.73</v>
      </c>
      <c r="K196" s="128">
        <v>56.67</v>
      </c>
      <c r="L196" s="128">
        <v>140003.5</v>
      </c>
      <c r="M196" s="128">
        <v>97075.71</v>
      </c>
      <c r="N196" s="128">
        <v>42927.78</v>
      </c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125" t="s">
        <v>451</v>
      </c>
      <c r="B197" s="125" t="s">
        <v>587</v>
      </c>
      <c r="C197" s="125" t="s">
        <v>456</v>
      </c>
      <c r="D197" s="125" t="s">
        <v>457</v>
      </c>
      <c r="E197" s="125" t="s">
        <v>472</v>
      </c>
      <c r="F197" s="126">
        <v>40410.0</v>
      </c>
      <c r="G197" s="127">
        <v>6.79E8</v>
      </c>
      <c r="H197" s="126">
        <v>40449.0</v>
      </c>
      <c r="I197" s="128">
        <v>4255.0</v>
      </c>
      <c r="J197" s="128">
        <v>152.58</v>
      </c>
      <c r="K197" s="128">
        <v>97.44</v>
      </c>
      <c r="L197" s="128">
        <v>649227.9</v>
      </c>
      <c r="M197" s="128">
        <v>414607.2</v>
      </c>
      <c r="N197" s="128">
        <v>234620.7</v>
      </c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125" t="s">
        <v>461</v>
      </c>
      <c r="B198" s="125" t="s">
        <v>586</v>
      </c>
      <c r="C198" s="125" t="s">
        <v>463</v>
      </c>
      <c r="D198" s="125" t="s">
        <v>454</v>
      </c>
      <c r="E198" s="125" t="s">
        <v>464</v>
      </c>
      <c r="F198" s="126">
        <v>42106.0</v>
      </c>
      <c r="G198" s="127">
        <v>5.24E8</v>
      </c>
      <c r="H198" s="126">
        <v>42146.0</v>
      </c>
      <c r="I198" s="128">
        <v>3732.0</v>
      </c>
      <c r="J198" s="128">
        <v>205.7</v>
      </c>
      <c r="K198" s="128">
        <v>117.11</v>
      </c>
      <c r="L198" s="128">
        <v>767672.4</v>
      </c>
      <c r="M198" s="128">
        <v>437054.5</v>
      </c>
      <c r="N198" s="128">
        <v>330617.9</v>
      </c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125" t="s">
        <v>475</v>
      </c>
      <c r="B199" s="125" t="s">
        <v>588</v>
      </c>
      <c r="C199" s="125" t="s">
        <v>463</v>
      </c>
      <c r="D199" s="125" t="s">
        <v>457</v>
      </c>
      <c r="E199" s="125" t="s">
        <v>284</v>
      </c>
      <c r="F199" s="126">
        <v>42102.0</v>
      </c>
      <c r="G199" s="127">
        <v>4.66E8</v>
      </c>
      <c r="H199" s="126">
        <v>42136.0</v>
      </c>
      <c r="I199" s="128">
        <v>772.0</v>
      </c>
      <c r="J199" s="128">
        <v>205.7</v>
      </c>
      <c r="K199" s="128">
        <v>117.11</v>
      </c>
      <c r="L199" s="128">
        <v>158800.4</v>
      </c>
      <c r="M199" s="128">
        <v>90408.92</v>
      </c>
      <c r="N199" s="128">
        <v>68391.48</v>
      </c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125" t="s">
        <v>469</v>
      </c>
      <c r="B200" s="125" t="s">
        <v>589</v>
      </c>
      <c r="C200" s="125" t="s">
        <v>494</v>
      </c>
      <c r="D200" s="125" t="s">
        <v>454</v>
      </c>
      <c r="E200" s="125" t="s">
        <v>472</v>
      </c>
      <c r="F200" s="126">
        <v>40935.0</v>
      </c>
      <c r="G200" s="127">
        <v>4.33E8</v>
      </c>
      <c r="H200" s="126">
        <v>40945.0</v>
      </c>
      <c r="I200" s="128">
        <v>8039.0</v>
      </c>
      <c r="J200" s="128">
        <v>9.33</v>
      </c>
      <c r="K200" s="128">
        <v>6.92</v>
      </c>
      <c r="L200" s="128">
        <v>75003.87</v>
      </c>
      <c r="M200" s="128">
        <v>55629.88</v>
      </c>
      <c r="N200" s="128">
        <v>19373.99</v>
      </c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125" t="s">
        <v>458</v>
      </c>
      <c r="B201" s="125" t="s">
        <v>590</v>
      </c>
      <c r="C201" s="125" t="s">
        <v>480</v>
      </c>
      <c r="D201" s="125" t="s">
        <v>457</v>
      </c>
      <c r="E201" s="125" t="s">
        <v>464</v>
      </c>
      <c r="F201" s="126">
        <v>40914.0</v>
      </c>
      <c r="G201" s="127">
        <v>4.21E8</v>
      </c>
      <c r="H201" s="126">
        <v>40957.0</v>
      </c>
      <c r="I201" s="128">
        <v>5223.0</v>
      </c>
      <c r="J201" s="128">
        <v>437.2</v>
      </c>
      <c r="K201" s="128">
        <v>263.33</v>
      </c>
      <c r="L201" s="128">
        <v>2283496.0</v>
      </c>
      <c r="M201" s="128">
        <v>1375373.0</v>
      </c>
      <c r="N201" s="128">
        <v>908123.0</v>
      </c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125" t="s">
        <v>475</v>
      </c>
      <c r="B202" s="125" t="s">
        <v>537</v>
      </c>
      <c r="C202" s="125" t="s">
        <v>480</v>
      </c>
      <c r="D202" s="125" t="s">
        <v>454</v>
      </c>
      <c r="E202" s="125" t="s">
        <v>284</v>
      </c>
      <c r="F202" s="126">
        <v>41969.0</v>
      </c>
      <c r="G202" s="127">
        <v>9.47E8</v>
      </c>
      <c r="H202" s="126">
        <v>41989.0</v>
      </c>
      <c r="I202" s="128">
        <v>4048.0</v>
      </c>
      <c r="J202" s="128">
        <v>437.2</v>
      </c>
      <c r="K202" s="128">
        <v>263.33</v>
      </c>
      <c r="L202" s="128">
        <v>1769786.0</v>
      </c>
      <c r="M202" s="128">
        <v>1065960.0</v>
      </c>
      <c r="N202" s="128">
        <v>703825.8</v>
      </c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125" t="s">
        <v>475</v>
      </c>
      <c r="B203" s="125" t="s">
        <v>552</v>
      </c>
      <c r="C203" s="125" t="s">
        <v>514</v>
      </c>
      <c r="D203" s="125" t="s">
        <v>457</v>
      </c>
      <c r="E203" s="125" t="s">
        <v>472</v>
      </c>
      <c r="F203" s="126">
        <v>40272.0</v>
      </c>
      <c r="G203" s="127">
        <v>7.99E8</v>
      </c>
      <c r="H203" s="126">
        <v>40293.0</v>
      </c>
      <c r="I203" s="128">
        <v>3270.0</v>
      </c>
      <c r="J203" s="128">
        <v>668.27</v>
      </c>
      <c r="K203" s="128">
        <v>502.54</v>
      </c>
      <c r="L203" s="128">
        <v>2185243.0</v>
      </c>
      <c r="M203" s="128">
        <v>1643306.0</v>
      </c>
      <c r="N203" s="128">
        <v>541937.1</v>
      </c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125" t="s">
        <v>475</v>
      </c>
      <c r="B204" s="125" t="s">
        <v>591</v>
      </c>
      <c r="C204" s="125" t="s">
        <v>514</v>
      </c>
      <c r="D204" s="125" t="s">
        <v>457</v>
      </c>
      <c r="E204" s="125" t="s">
        <v>189</v>
      </c>
      <c r="F204" s="126">
        <v>40680.0</v>
      </c>
      <c r="G204" s="127">
        <v>1.84E8</v>
      </c>
      <c r="H204" s="126">
        <v>40714.0</v>
      </c>
      <c r="I204" s="128">
        <v>3674.0</v>
      </c>
      <c r="J204" s="128">
        <v>668.27</v>
      </c>
      <c r="K204" s="128">
        <v>502.54</v>
      </c>
      <c r="L204" s="128">
        <v>2455224.0</v>
      </c>
      <c r="M204" s="128">
        <v>1846332.0</v>
      </c>
      <c r="N204" s="128">
        <v>608892.0</v>
      </c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125" t="s">
        <v>451</v>
      </c>
      <c r="B205" s="125" t="s">
        <v>592</v>
      </c>
      <c r="C205" s="125" t="s">
        <v>514</v>
      </c>
      <c r="D205" s="125" t="s">
        <v>457</v>
      </c>
      <c r="E205" s="125" t="s">
        <v>189</v>
      </c>
      <c r="F205" s="126">
        <v>41526.0</v>
      </c>
      <c r="G205" s="127">
        <v>2.82E8</v>
      </c>
      <c r="H205" s="126">
        <v>41565.0</v>
      </c>
      <c r="I205" s="128">
        <v>3077.0</v>
      </c>
      <c r="J205" s="128">
        <v>668.27</v>
      </c>
      <c r="K205" s="128">
        <v>502.54</v>
      </c>
      <c r="L205" s="128">
        <v>2056267.0</v>
      </c>
      <c r="M205" s="128">
        <v>1546316.0</v>
      </c>
      <c r="N205" s="128">
        <v>509951.2</v>
      </c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125" t="s">
        <v>451</v>
      </c>
      <c r="B206" s="125" t="s">
        <v>593</v>
      </c>
      <c r="C206" s="125" t="s">
        <v>485</v>
      </c>
      <c r="D206" s="125" t="s">
        <v>454</v>
      </c>
      <c r="E206" s="125" t="s">
        <v>472</v>
      </c>
      <c r="F206" s="126">
        <v>41531.0</v>
      </c>
      <c r="G206" s="127">
        <v>9.9E8</v>
      </c>
      <c r="H206" s="126">
        <v>41558.0</v>
      </c>
      <c r="I206" s="128">
        <v>1330.0</v>
      </c>
      <c r="J206" s="128">
        <v>421.89</v>
      </c>
      <c r="K206" s="128">
        <v>364.69</v>
      </c>
      <c r="L206" s="128">
        <v>561113.7</v>
      </c>
      <c r="M206" s="128">
        <v>485037.7</v>
      </c>
      <c r="N206" s="128">
        <v>76076.0</v>
      </c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125" t="s">
        <v>458</v>
      </c>
      <c r="B207" s="125" t="s">
        <v>594</v>
      </c>
      <c r="C207" s="125" t="s">
        <v>506</v>
      </c>
      <c r="D207" s="125" t="s">
        <v>454</v>
      </c>
      <c r="E207" s="125" t="s">
        <v>284</v>
      </c>
      <c r="F207" s="126">
        <v>41187.0</v>
      </c>
      <c r="G207" s="127">
        <v>4.77E8</v>
      </c>
      <c r="H207" s="126">
        <v>41216.0</v>
      </c>
      <c r="I207" s="128">
        <v>5310.0</v>
      </c>
      <c r="J207" s="128">
        <v>154.06</v>
      </c>
      <c r="K207" s="128">
        <v>90.93</v>
      </c>
      <c r="L207" s="128">
        <v>818058.6</v>
      </c>
      <c r="M207" s="128">
        <v>482838.3</v>
      </c>
      <c r="N207" s="128">
        <v>335220.3</v>
      </c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125" t="s">
        <v>461</v>
      </c>
      <c r="B208" s="125" t="s">
        <v>595</v>
      </c>
      <c r="C208" s="125" t="s">
        <v>453</v>
      </c>
      <c r="D208" s="125" t="s">
        <v>457</v>
      </c>
      <c r="E208" s="125" t="s">
        <v>284</v>
      </c>
      <c r="F208" s="126">
        <v>41377.0</v>
      </c>
      <c r="G208" s="127">
        <v>1.32E8</v>
      </c>
      <c r="H208" s="126">
        <v>41416.0</v>
      </c>
      <c r="I208" s="128">
        <v>3930.0</v>
      </c>
      <c r="J208" s="128">
        <v>255.28</v>
      </c>
      <c r="K208" s="128">
        <v>159.42</v>
      </c>
      <c r="L208" s="128">
        <v>1003250.0</v>
      </c>
      <c r="M208" s="128">
        <v>626520.6</v>
      </c>
      <c r="N208" s="128">
        <v>376729.8</v>
      </c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125" t="s">
        <v>475</v>
      </c>
      <c r="B209" s="125" t="s">
        <v>532</v>
      </c>
      <c r="C209" s="125" t="s">
        <v>485</v>
      </c>
      <c r="D209" s="125" t="s">
        <v>457</v>
      </c>
      <c r="E209" s="125" t="s">
        <v>464</v>
      </c>
      <c r="F209" s="126">
        <v>41988.0</v>
      </c>
      <c r="G209" s="127">
        <v>5.15E8</v>
      </c>
      <c r="H209" s="126">
        <v>42025.0</v>
      </c>
      <c r="I209" s="128">
        <v>3132.0</v>
      </c>
      <c r="J209" s="128">
        <v>421.89</v>
      </c>
      <c r="K209" s="128">
        <v>364.69</v>
      </c>
      <c r="L209" s="128">
        <v>1321359.0</v>
      </c>
      <c r="M209" s="128">
        <v>1142209.0</v>
      </c>
      <c r="N209" s="128">
        <v>179150.4</v>
      </c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125" t="s">
        <v>461</v>
      </c>
      <c r="B210" s="125" t="s">
        <v>539</v>
      </c>
      <c r="C210" s="125" t="s">
        <v>478</v>
      </c>
      <c r="D210" s="125" t="s">
        <v>454</v>
      </c>
      <c r="E210" s="125" t="s">
        <v>284</v>
      </c>
      <c r="F210" s="126">
        <v>40532.0</v>
      </c>
      <c r="G210" s="127">
        <v>9.05E8</v>
      </c>
      <c r="H210" s="126">
        <v>40550.0</v>
      </c>
      <c r="I210" s="128">
        <v>889.0</v>
      </c>
      <c r="J210" s="128">
        <v>651.21</v>
      </c>
      <c r="K210" s="128">
        <v>524.96</v>
      </c>
      <c r="L210" s="128">
        <v>578925.7</v>
      </c>
      <c r="M210" s="128">
        <v>466689.4</v>
      </c>
      <c r="N210" s="128">
        <v>112236.3</v>
      </c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125" t="s">
        <v>466</v>
      </c>
      <c r="B211" s="125" t="s">
        <v>491</v>
      </c>
      <c r="C211" s="125" t="s">
        <v>468</v>
      </c>
      <c r="D211" s="125" t="s">
        <v>457</v>
      </c>
      <c r="E211" s="125" t="s">
        <v>472</v>
      </c>
      <c r="F211" s="126">
        <v>41822.0</v>
      </c>
      <c r="G211" s="127">
        <v>6.53E8</v>
      </c>
      <c r="H211" s="126">
        <v>41839.0</v>
      </c>
      <c r="I211" s="128">
        <v>2207.0</v>
      </c>
      <c r="J211" s="128">
        <v>81.73</v>
      </c>
      <c r="K211" s="128">
        <v>56.67</v>
      </c>
      <c r="L211" s="128">
        <v>180378.1</v>
      </c>
      <c r="M211" s="128">
        <v>125070.7</v>
      </c>
      <c r="N211" s="128">
        <v>55307.42</v>
      </c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125" t="s">
        <v>461</v>
      </c>
      <c r="B212" s="125" t="s">
        <v>542</v>
      </c>
      <c r="C212" s="125" t="s">
        <v>485</v>
      </c>
      <c r="D212" s="125" t="s">
        <v>454</v>
      </c>
      <c r="E212" s="125" t="s">
        <v>464</v>
      </c>
      <c r="F212" s="126">
        <v>42766.0</v>
      </c>
      <c r="G212" s="127">
        <v>5.29E8</v>
      </c>
      <c r="H212" s="126">
        <v>42796.0</v>
      </c>
      <c r="I212" s="128">
        <v>4121.0</v>
      </c>
      <c r="J212" s="128">
        <v>421.89</v>
      </c>
      <c r="K212" s="128">
        <v>364.69</v>
      </c>
      <c r="L212" s="128">
        <v>1738609.0</v>
      </c>
      <c r="M212" s="128">
        <v>1502887.0</v>
      </c>
      <c r="N212" s="128">
        <v>235721.2</v>
      </c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125" t="s">
        <v>461</v>
      </c>
      <c r="B213" s="125" t="s">
        <v>557</v>
      </c>
      <c r="C213" s="125" t="s">
        <v>456</v>
      </c>
      <c r="D213" s="125" t="s">
        <v>457</v>
      </c>
      <c r="E213" s="125" t="s">
        <v>189</v>
      </c>
      <c r="F213" s="126">
        <v>42040.0</v>
      </c>
      <c r="G213" s="127">
        <v>4.73E8</v>
      </c>
      <c r="H213" s="126">
        <v>42082.0</v>
      </c>
      <c r="I213" s="128">
        <v>699.0</v>
      </c>
      <c r="J213" s="128">
        <v>152.58</v>
      </c>
      <c r="K213" s="128">
        <v>97.44</v>
      </c>
      <c r="L213" s="128">
        <v>106653.4</v>
      </c>
      <c r="M213" s="128">
        <v>68110.56</v>
      </c>
      <c r="N213" s="128">
        <v>38542.86</v>
      </c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125" t="s">
        <v>451</v>
      </c>
      <c r="B214" s="125" t="s">
        <v>596</v>
      </c>
      <c r="C214" s="125" t="s">
        <v>453</v>
      </c>
      <c r="D214" s="125" t="s">
        <v>457</v>
      </c>
      <c r="E214" s="125" t="s">
        <v>464</v>
      </c>
      <c r="F214" s="126">
        <v>41478.0</v>
      </c>
      <c r="G214" s="127">
        <v>9.47E8</v>
      </c>
      <c r="H214" s="126">
        <v>41478.0</v>
      </c>
      <c r="I214" s="128">
        <v>8039.0</v>
      </c>
      <c r="J214" s="128">
        <v>255.28</v>
      </c>
      <c r="K214" s="128">
        <v>159.42</v>
      </c>
      <c r="L214" s="128">
        <v>2052196.0</v>
      </c>
      <c r="M214" s="128">
        <v>1281577.0</v>
      </c>
      <c r="N214" s="128">
        <v>770618.5</v>
      </c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125" t="s">
        <v>461</v>
      </c>
      <c r="B215" s="125" t="s">
        <v>465</v>
      </c>
      <c r="C215" s="125" t="s">
        <v>478</v>
      </c>
      <c r="D215" s="125" t="s">
        <v>457</v>
      </c>
      <c r="E215" s="125" t="s">
        <v>464</v>
      </c>
      <c r="F215" s="126">
        <v>41918.0</v>
      </c>
      <c r="G215" s="127">
        <v>6.81E8</v>
      </c>
      <c r="H215" s="126">
        <v>41961.0</v>
      </c>
      <c r="I215" s="128">
        <v>9272.0</v>
      </c>
      <c r="J215" s="128">
        <v>651.21</v>
      </c>
      <c r="K215" s="128">
        <v>524.96</v>
      </c>
      <c r="L215" s="128">
        <v>6038019.0</v>
      </c>
      <c r="M215" s="128">
        <v>4867429.0</v>
      </c>
      <c r="N215" s="128">
        <v>1170590.0</v>
      </c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125" t="s">
        <v>458</v>
      </c>
      <c r="B216" s="125" t="s">
        <v>559</v>
      </c>
      <c r="C216" s="125" t="s">
        <v>506</v>
      </c>
      <c r="D216" s="125" t="s">
        <v>457</v>
      </c>
      <c r="E216" s="125" t="s">
        <v>284</v>
      </c>
      <c r="F216" s="126">
        <v>41822.0</v>
      </c>
      <c r="G216" s="127">
        <v>7.28E8</v>
      </c>
      <c r="H216" s="126">
        <v>41839.0</v>
      </c>
      <c r="I216" s="128">
        <v>9558.0</v>
      </c>
      <c r="J216" s="128">
        <v>154.06</v>
      </c>
      <c r="K216" s="128">
        <v>90.93</v>
      </c>
      <c r="L216" s="128">
        <v>1472505.0</v>
      </c>
      <c r="M216" s="128">
        <v>869108.9</v>
      </c>
      <c r="N216" s="128">
        <v>603396.5</v>
      </c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125" t="s">
        <v>466</v>
      </c>
      <c r="B217" s="125" t="s">
        <v>474</v>
      </c>
      <c r="C217" s="125" t="s">
        <v>453</v>
      </c>
      <c r="D217" s="125" t="s">
        <v>454</v>
      </c>
      <c r="E217" s="125" t="s">
        <v>284</v>
      </c>
      <c r="F217" s="126">
        <v>41423.0</v>
      </c>
      <c r="G217" s="127">
        <v>4.09E8</v>
      </c>
      <c r="H217" s="126">
        <v>41436.0</v>
      </c>
      <c r="I217" s="128">
        <v>1090.0</v>
      </c>
      <c r="J217" s="128">
        <v>255.28</v>
      </c>
      <c r="K217" s="128">
        <v>159.42</v>
      </c>
      <c r="L217" s="128">
        <v>278255.2</v>
      </c>
      <c r="M217" s="128">
        <v>173767.8</v>
      </c>
      <c r="N217" s="128">
        <v>104487.4</v>
      </c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125" t="s">
        <v>458</v>
      </c>
      <c r="B218" s="125" t="s">
        <v>597</v>
      </c>
      <c r="C218" s="125" t="s">
        <v>468</v>
      </c>
      <c r="D218" s="125" t="s">
        <v>454</v>
      </c>
      <c r="E218" s="125" t="s">
        <v>189</v>
      </c>
      <c r="F218" s="126">
        <v>41344.0</v>
      </c>
      <c r="G218" s="127">
        <v>4.67E8</v>
      </c>
      <c r="H218" s="126">
        <v>41376.0</v>
      </c>
      <c r="I218" s="128">
        <v>8092.0</v>
      </c>
      <c r="J218" s="128">
        <v>81.73</v>
      </c>
      <c r="K218" s="128">
        <v>56.67</v>
      </c>
      <c r="L218" s="128">
        <v>661359.2</v>
      </c>
      <c r="M218" s="128">
        <v>458573.6</v>
      </c>
      <c r="N218" s="128">
        <v>202785.5</v>
      </c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125" t="s">
        <v>458</v>
      </c>
      <c r="B219" s="125" t="s">
        <v>582</v>
      </c>
      <c r="C219" s="125" t="s">
        <v>480</v>
      </c>
      <c r="D219" s="125" t="s">
        <v>457</v>
      </c>
      <c r="E219" s="125" t="s">
        <v>284</v>
      </c>
      <c r="F219" s="126">
        <v>41214.0</v>
      </c>
      <c r="G219" s="127">
        <v>8.14E8</v>
      </c>
      <c r="H219" s="126">
        <v>41226.0</v>
      </c>
      <c r="I219" s="128">
        <v>1818.0</v>
      </c>
      <c r="J219" s="128">
        <v>437.2</v>
      </c>
      <c r="K219" s="128">
        <v>263.33</v>
      </c>
      <c r="L219" s="128">
        <v>794829.6</v>
      </c>
      <c r="M219" s="128">
        <v>478733.9</v>
      </c>
      <c r="N219" s="128">
        <v>316095.7</v>
      </c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125" t="s">
        <v>466</v>
      </c>
      <c r="B220" s="125" t="s">
        <v>598</v>
      </c>
      <c r="C220" s="125" t="s">
        <v>514</v>
      </c>
      <c r="D220" s="125" t="s">
        <v>454</v>
      </c>
      <c r="E220" s="125" t="s">
        <v>189</v>
      </c>
      <c r="F220" s="126">
        <v>41051.0</v>
      </c>
      <c r="G220" s="127">
        <v>9.83E8</v>
      </c>
      <c r="H220" s="126">
        <v>41058.0</v>
      </c>
      <c r="I220" s="128">
        <v>5554.0</v>
      </c>
      <c r="J220" s="128">
        <v>668.27</v>
      </c>
      <c r="K220" s="128">
        <v>502.54</v>
      </c>
      <c r="L220" s="128">
        <v>3711572.0</v>
      </c>
      <c r="M220" s="128">
        <v>2791107.0</v>
      </c>
      <c r="N220" s="128">
        <v>920464.4</v>
      </c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125" t="s">
        <v>458</v>
      </c>
      <c r="B221" s="125" t="s">
        <v>594</v>
      </c>
      <c r="C221" s="125" t="s">
        <v>480</v>
      </c>
      <c r="D221" s="125" t="s">
        <v>457</v>
      </c>
      <c r="E221" s="125" t="s">
        <v>464</v>
      </c>
      <c r="F221" s="126">
        <v>42643.0</v>
      </c>
      <c r="G221" s="127">
        <v>5.77E8</v>
      </c>
      <c r="H221" s="126">
        <v>42652.0</v>
      </c>
      <c r="I221" s="128">
        <v>9619.0</v>
      </c>
      <c r="J221" s="128">
        <v>437.2</v>
      </c>
      <c r="K221" s="128">
        <v>263.33</v>
      </c>
      <c r="L221" s="128">
        <v>4205427.0</v>
      </c>
      <c r="M221" s="128">
        <v>2532971.0</v>
      </c>
      <c r="N221" s="128">
        <v>1672456.0</v>
      </c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125" t="s">
        <v>461</v>
      </c>
      <c r="B222" s="125" t="s">
        <v>557</v>
      </c>
      <c r="C222" s="125" t="s">
        <v>506</v>
      </c>
      <c r="D222" s="125" t="s">
        <v>457</v>
      </c>
      <c r="E222" s="125" t="s">
        <v>284</v>
      </c>
      <c r="F222" s="126">
        <v>42638.0</v>
      </c>
      <c r="G222" s="127">
        <v>6.2E8</v>
      </c>
      <c r="H222" s="126">
        <v>42659.0</v>
      </c>
      <c r="I222" s="128">
        <v>6360.0</v>
      </c>
      <c r="J222" s="128">
        <v>154.06</v>
      </c>
      <c r="K222" s="128">
        <v>90.93</v>
      </c>
      <c r="L222" s="128">
        <v>979821.6</v>
      </c>
      <c r="M222" s="128">
        <v>578314.8</v>
      </c>
      <c r="N222" s="128">
        <v>401506.8</v>
      </c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125" t="s">
        <v>458</v>
      </c>
      <c r="B223" s="125" t="s">
        <v>545</v>
      </c>
      <c r="C223" s="125" t="s">
        <v>453</v>
      </c>
      <c r="D223" s="125" t="s">
        <v>454</v>
      </c>
      <c r="E223" s="125" t="s">
        <v>464</v>
      </c>
      <c r="F223" s="126">
        <v>42219.0</v>
      </c>
      <c r="G223" s="127">
        <v>4.05E8</v>
      </c>
      <c r="H223" s="126">
        <v>42255.0</v>
      </c>
      <c r="I223" s="128">
        <v>5157.0</v>
      </c>
      <c r="J223" s="128">
        <v>255.28</v>
      </c>
      <c r="K223" s="128">
        <v>159.42</v>
      </c>
      <c r="L223" s="128">
        <v>1316479.0</v>
      </c>
      <c r="M223" s="128">
        <v>822128.9</v>
      </c>
      <c r="N223" s="128">
        <v>494350.0</v>
      </c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125" t="s">
        <v>461</v>
      </c>
      <c r="B224" s="125" t="s">
        <v>599</v>
      </c>
      <c r="C224" s="125" t="s">
        <v>456</v>
      </c>
      <c r="D224" s="125" t="s">
        <v>457</v>
      </c>
      <c r="E224" s="125" t="s">
        <v>189</v>
      </c>
      <c r="F224" s="126">
        <v>40194.0</v>
      </c>
      <c r="G224" s="127">
        <v>6.46E8</v>
      </c>
      <c r="H224" s="126">
        <v>40203.0</v>
      </c>
      <c r="I224" s="128">
        <v>7422.0</v>
      </c>
      <c r="J224" s="128">
        <v>152.58</v>
      </c>
      <c r="K224" s="128">
        <v>97.44</v>
      </c>
      <c r="L224" s="128">
        <v>1132449.0</v>
      </c>
      <c r="M224" s="128">
        <v>723199.7</v>
      </c>
      <c r="N224" s="128">
        <v>409249.1</v>
      </c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125" t="s">
        <v>475</v>
      </c>
      <c r="B225" s="125" t="s">
        <v>528</v>
      </c>
      <c r="C225" s="125" t="s">
        <v>485</v>
      </c>
      <c r="D225" s="125" t="s">
        <v>454</v>
      </c>
      <c r="E225" s="125" t="s">
        <v>284</v>
      </c>
      <c r="F225" s="126">
        <v>42675.0</v>
      </c>
      <c r="G225" s="127">
        <v>3.29E8</v>
      </c>
      <c r="H225" s="126">
        <v>42712.0</v>
      </c>
      <c r="I225" s="128">
        <v>1597.0</v>
      </c>
      <c r="J225" s="128">
        <v>421.89</v>
      </c>
      <c r="K225" s="128">
        <v>364.69</v>
      </c>
      <c r="L225" s="128">
        <v>673758.3</v>
      </c>
      <c r="M225" s="128">
        <v>582409.9</v>
      </c>
      <c r="N225" s="128">
        <v>91348.4</v>
      </c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125" t="s">
        <v>469</v>
      </c>
      <c r="B226" s="125" t="s">
        <v>501</v>
      </c>
      <c r="C226" s="125" t="s">
        <v>478</v>
      </c>
      <c r="D226" s="125" t="s">
        <v>457</v>
      </c>
      <c r="E226" s="125" t="s">
        <v>189</v>
      </c>
      <c r="F226" s="126">
        <v>42333.0</v>
      </c>
      <c r="G226" s="127">
        <v>7.58E8</v>
      </c>
      <c r="H226" s="126">
        <v>42357.0</v>
      </c>
      <c r="I226" s="128">
        <v>8155.0</v>
      </c>
      <c r="J226" s="128">
        <v>651.21</v>
      </c>
      <c r="K226" s="128">
        <v>524.96</v>
      </c>
      <c r="L226" s="128">
        <v>5310618.0</v>
      </c>
      <c r="M226" s="128">
        <v>4281049.0</v>
      </c>
      <c r="N226" s="128">
        <v>1029569.0</v>
      </c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125" t="s">
        <v>475</v>
      </c>
      <c r="B227" s="125" t="s">
        <v>600</v>
      </c>
      <c r="C227" s="125" t="s">
        <v>480</v>
      </c>
      <c r="D227" s="125" t="s">
        <v>454</v>
      </c>
      <c r="E227" s="125" t="s">
        <v>284</v>
      </c>
      <c r="F227" s="126">
        <v>41906.0</v>
      </c>
      <c r="G227" s="127">
        <v>6.07E8</v>
      </c>
      <c r="H227" s="126">
        <v>41925.0</v>
      </c>
      <c r="I227" s="128">
        <v>4602.0</v>
      </c>
      <c r="J227" s="128">
        <v>437.2</v>
      </c>
      <c r="K227" s="128">
        <v>263.33</v>
      </c>
      <c r="L227" s="128">
        <v>2011994.0</v>
      </c>
      <c r="M227" s="128">
        <v>1211845.0</v>
      </c>
      <c r="N227" s="128">
        <v>800149.7</v>
      </c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125" t="s">
        <v>458</v>
      </c>
      <c r="B228" s="125" t="s">
        <v>473</v>
      </c>
      <c r="C228" s="125" t="s">
        <v>453</v>
      </c>
      <c r="D228" s="125" t="s">
        <v>454</v>
      </c>
      <c r="E228" s="125" t="s">
        <v>284</v>
      </c>
      <c r="F228" s="126">
        <v>41759.0</v>
      </c>
      <c r="G228" s="127">
        <v>8.72E8</v>
      </c>
      <c r="H228" s="126">
        <v>41789.0</v>
      </c>
      <c r="I228" s="128">
        <v>474.0</v>
      </c>
      <c r="J228" s="128">
        <v>255.28</v>
      </c>
      <c r="K228" s="128">
        <v>159.42</v>
      </c>
      <c r="L228" s="128">
        <v>121002.7</v>
      </c>
      <c r="M228" s="128">
        <v>75565.08</v>
      </c>
      <c r="N228" s="128">
        <v>45437.64</v>
      </c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125" t="s">
        <v>458</v>
      </c>
      <c r="B229" s="125" t="s">
        <v>582</v>
      </c>
      <c r="C229" s="125" t="s">
        <v>506</v>
      </c>
      <c r="D229" s="125" t="s">
        <v>457</v>
      </c>
      <c r="E229" s="125" t="s">
        <v>284</v>
      </c>
      <c r="F229" s="126">
        <v>41261.0</v>
      </c>
      <c r="G229" s="127">
        <v>8.19E8</v>
      </c>
      <c r="H229" s="126">
        <v>41264.0</v>
      </c>
      <c r="I229" s="128">
        <v>2337.0</v>
      </c>
      <c r="J229" s="128">
        <v>154.06</v>
      </c>
      <c r="K229" s="128">
        <v>90.93</v>
      </c>
      <c r="L229" s="128">
        <v>360038.2</v>
      </c>
      <c r="M229" s="128">
        <v>212503.4</v>
      </c>
      <c r="N229" s="128">
        <v>147534.8</v>
      </c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125" t="s">
        <v>458</v>
      </c>
      <c r="B230" s="125" t="s">
        <v>509</v>
      </c>
      <c r="C230" s="125" t="s">
        <v>480</v>
      </c>
      <c r="D230" s="125" t="s">
        <v>454</v>
      </c>
      <c r="E230" s="125" t="s">
        <v>284</v>
      </c>
      <c r="F230" s="126">
        <v>42936.0</v>
      </c>
      <c r="G230" s="127">
        <v>2.34E8</v>
      </c>
      <c r="H230" s="126">
        <v>42936.0</v>
      </c>
      <c r="I230" s="128">
        <v>8792.0</v>
      </c>
      <c r="J230" s="128">
        <v>437.2</v>
      </c>
      <c r="K230" s="128">
        <v>263.33</v>
      </c>
      <c r="L230" s="128">
        <v>3843862.0</v>
      </c>
      <c r="M230" s="128">
        <v>2315197.0</v>
      </c>
      <c r="N230" s="128">
        <v>1528665.0</v>
      </c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125" t="s">
        <v>451</v>
      </c>
      <c r="B231" s="125" t="s">
        <v>497</v>
      </c>
      <c r="C231" s="125" t="s">
        <v>460</v>
      </c>
      <c r="D231" s="125" t="s">
        <v>457</v>
      </c>
      <c r="E231" s="125" t="s">
        <v>464</v>
      </c>
      <c r="F231" s="126">
        <v>42782.0</v>
      </c>
      <c r="G231" s="127">
        <v>7.73E8</v>
      </c>
      <c r="H231" s="126">
        <v>42803.0</v>
      </c>
      <c r="I231" s="128">
        <v>5466.0</v>
      </c>
      <c r="J231" s="128">
        <v>47.45</v>
      </c>
      <c r="K231" s="128">
        <v>31.79</v>
      </c>
      <c r="L231" s="128">
        <v>259361.7</v>
      </c>
      <c r="M231" s="128">
        <v>173764.1</v>
      </c>
      <c r="N231" s="128">
        <v>85597.56</v>
      </c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125" t="s">
        <v>458</v>
      </c>
      <c r="B232" s="125" t="s">
        <v>590</v>
      </c>
      <c r="C232" s="125" t="s">
        <v>478</v>
      </c>
      <c r="D232" s="125" t="s">
        <v>457</v>
      </c>
      <c r="E232" s="125" t="s">
        <v>284</v>
      </c>
      <c r="F232" s="126">
        <v>42719.0</v>
      </c>
      <c r="G232" s="127">
        <v>1.12E8</v>
      </c>
      <c r="H232" s="126">
        <v>42746.0</v>
      </c>
      <c r="I232" s="128">
        <v>22.0</v>
      </c>
      <c r="J232" s="128">
        <v>651.21</v>
      </c>
      <c r="K232" s="128">
        <v>524.96</v>
      </c>
      <c r="L232" s="128">
        <v>14326.62</v>
      </c>
      <c r="M232" s="128">
        <v>11549.12</v>
      </c>
      <c r="N232" s="128">
        <v>2777.5</v>
      </c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125" t="s">
        <v>466</v>
      </c>
      <c r="B233" s="125" t="s">
        <v>484</v>
      </c>
      <c r="C233" s="125" t="s">
        <v>471</v>
      </c>
      <c r="D233" s="125" t="s">
        <v>454</v>
      </c>
      <c r="E233" s="125" t="s">
        <v>189</v>
      </c>
      <c r="F233" s="126">
        <v>40905.0</v>
      </c>
      <c r="G233" s="127">
        <v>5.0E8</v>
      </c>
      <c r="H233" s="126">
        <v>40922.0</v>
      </c>
      <c r="I233" s="128">
        <v>7153.0</v>
      </c>
      <c r="J233" s="128">
        <v>109.28</v>
      </c>
      <c r="K233" s="128">
        <v>35.84</v>
      </c>
      <c r="L233" s="128">
        <v>781679.8</v>
      </c>
      <c r="M233" s="128">
        <v>256363.5</v>
      </c>
      <c r="N233" s="128">
        <v>525316.3</v>
      </c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125" t="s">
        <v>461</v>
      </c>
      <c r="B234" s="125" t="s">
        <v>462</v>
      </c>
      <c r="C234" s="125" t="s">
        <v>471</v>
      </c>
      <c r="D234" s="125" t="s">
        <v>454</v>
      </c>
      <c r="E234" s="125" t="s">
        <v>189</v>
      </c>
      <c r="F234" s="126">
        <v>41422.0</v>
      </c>
      <c r="G234" s="127">
        <v>2.02E8</v>
      </c>
      <c r="H234" s="126">
        <v>41430.0</v>
      </c>
      <c r="I234" s="128">
        <v>3581.0</v>
      </c>
      <c r="J234" s="128">
        <v>109.28</v>
      </c>
      <c r="K234" s="128">
        <v>35.84</v>
      </c>
      <c r="L234" s="128">
        <v>391331.7</v>
      </c>
      <c r="M234" s="128">
        <v>128343.0</v>
      </c>
      <c r="N234" s="128">
        <v>262988.6</v>
      </c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125" t="s">
        <v>458</v>
      </c>
      <c r="B235" s="125" t="s">
        <v>498</v>
      </c>
      <c r="C235" s="125" t="s">
        <v>478</v>
      </c>
      <c r="D235" s="125" t="s">
        <v>457</v>
      </c>
      <c r="E235" s="125" t="s">
        <v>472</v>
      </c>
      <c r="F235" s="126">
        <v>41822.0</v>
      </c>
      <c r="G235" s="127">
        <v>2.56E8</v>
      </c>
      <c r="H235" s="126">
        <v>41872.0</v>
      </c>
      <c r="I235" s="128">
        <v>3061.0</v>
      </c>
      <c r="J235" s="128">
        <v>651.21</v>
      </c>
      <c r="K235" s="128">
        <v>524.96</v>
      </c>
      <c r="L235" s="128">
        <v>1993354.0</v>
      </c>
      <c r="M235" s="128">
        <v>1606903.0</v>
      </c>
      <c r="N235" s="128">
        <v>386451.3</v>
      </c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125" t="s">
        <v>475</v>
      </c>
      <c r="B236" s="125" t="s">
        <v>537</v>
      </c>
      <c r="C236" s="125" t="s">
        <v>494</v>
      </c>
      <c r="D236" s="125" t="s">
        <v>457</v>
      </c>
      <c r="E236" s="125" t="s">
        <v>189</v>
      </c>
      <c r="F236" s="126">
        <v>42815.0</v>
      </c>
      <c r="G236" s="127">
        <v>4.21E8</v>
      </c>
      <c r="H236" s="126">
        <v>42823.0</v>
      </c>
      <c r="I236" s="128">
        <v>1380.0</v>
      </c>
      <c r="J236" s="128">
        <v>9.33</v>
      </c>
      <c r="K236" s="128">
        <v>6.92</v>
      </c>
      <c r="L236" s="128">
        <v>12875.4</v>
      </c>
      <c r="M236" s="128">
        <v>9549.6</v>
      </c>
      <c r="N236" s="128">
        <v>3325.8</v>
      </c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125" t="s">
        <v>475</v>
      </c>
      <c r="B237" s="125" t="s">
        <v>600</v>
      </c>
      <c r="C237" s="125" t="s">
        <v>463</v>
      </c>
      <c r="D237" s="125" t="s">
        <v>454</v>
      </c>
      <c r="E237" s="125" t="s">
        <v>464</v>
      </c>
      <c r="F237" s="126">
        <v>41350.0</v>
      </c>
      <c r="G237" s="127">
        <v>5.24E8</v>
      </c>
      <c r="H237" s="126">
        <v>41387.0</v>
      </c>
      <c r="I237" s="128">
        <v>1355.0</v>
      </c>
      <c r="J237" s="128">
        <v>205.7</v>
      </c>
      <c r="K237" s="128">
        <v>117.11</v>
      </c>
      <c r="L237" s="128">
        <v>278723.5</v>
      </c>
      <c r="M237" s="128">
        <v>158684.1</v>
      </c>
      <c r="N237" s="128">
        <v>120039.5</v>
      </c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125" t="s">
        <v>461</v>
      </c>
      <c r="B238" s="125" t="s">
        <v>599</v>
      </c>
      <c r="C238" s="125" t="s">
        <v>478</v>
      </c>
      <c r="D238" s="125" t="s">
        <v>454</v>
      </c>
      <c r="E238" s="125" t="s">
        <v>284</v>
      </c>
      <c r="F238" s="126">
        <v>40298.0</v>
      </c>
      <c r="G238" s="127">
        <v>9.14E8</v>
      </c>
      <c r="H238" s="126">
        <v>40301.0</v>
      </c>
      <c r="I238" s="128">
        <v>7835.0</v>
      </c>
      <c r="J238" s="128">
        <v>651.21</v>
      </c>
      <c r="K238" s="128">
        <v>524.96</v>
      </c>
      <c r="L238" s="128">
        <v>5102230.0</v>
      </c>
      <c r="M238" s="128">
        <v>4113062.0</v>
      </c>
      <c r="N238" s="128">
        <v>989168.8</v>
      </c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125" t="s">
        <v>475</v>
      </c>
      <c r="B239" s="125" t="s">
        <v>601</v>
      </c>
      <c r="C239" s="125" t="s">
        <v>456</v>
      </c>
      <c r="D239" s="125" t="s">
        <v>454</v>
      </c>
      <c r="E239" s="125" t="s">
        <v>189</v>
      </c>
      <c r="F239" s="126">
        <v>41533.0</v>
      </c>
      <c r="G239" s="127">
        <v>2.1E8</v>
      </c>
      <c r="H239" s="126">
        <v>41545.0</v>
      </c>
      <c r="I239" s="128">
        <v>2699.0</v>
      </c>
      <c r="J239" s="128">
        <v>152.58</v>
      </c>
      <c r="K239" s="128">
        <v>97.44</v>
      </c>
      <c r="L239" s="128">
        <v>411813.4</v>
      </c>
      <c r="M239" s="128">
        <v>262990.6</v>
      </c>
      <c r="N239" s="128">
        <v>148822.9</v>
      </c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125" t="s">
        <v>475</v>
      </c>
      <c r="B240" s="125" t="s">
        <v>602</v>
      </c>
      <c r="C240" s="125" t="s">
        <v>471</v>
      </c>
      <c r="D240" s="125" t="s">
        <v>457</v>
      </c>
      <c r="E240" s="125" t="s">
        <v>189</v>
      </c>
      <c r="F240" s="126">
        <v>41789.0</v>
      </c>
      <c r="G240" s="127">
        <v>2.51E8</v>
      </c>
      <c r="H240" s="126">
        <v>41821.0</v>
      </c>
      <c r="I240" s="128">
        <v>9859.0</v>
      </c>
      <c r="J240" s="128">
        <v>109.28</v>
      </c>
      <c r="K240" s="128">
        <v>35.84</v>
      </c>
      <c r="L240" s="128">
        <v>1077392.0</v>
      </c>
      <c r="M240" s="128">
        <v>353346.6</v>
      </c>
      <c r="N240" s="128">
        <v>724045.0</v>
      </c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125" t="s">
        <v>458</v>
      </c>
      <c r="B241" s="125" t="s">
        <v>603</v>
      </c>
      <c r="C241" s="125" t="s">
        <v>485</v>
      </c>
      <c r="D241" s="125" t="s">
        <v>454</v>
      </c>
      <c r="E241" s="125" t="s">
        <v>464</v>
      </c>
      <c r="F241" s="126">
        <v>42336.0</v>
      </c>
      <c r="G241" s="127">
        <v>2.45E8</v>
      </c>
      <c r="H241" s="126">
        <v>42355.0</v>
      </c>
      <c r="I241" s="128">
        <v>257.0</v>
      </c>
      <c r="J241" s="128">
        <v>421.89</v>
      </c>
      <c r="K241" s="128">
        <v>364.69</v>
      </c>
      <c r="L241" s="128">
        <v>108425.7</v>
      </c>
      <c r="M241" s="128">
        <v>93725.33</v>
      </c>
      <c r="N241" s="128">
        <v>14700.4</v>
      </c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125" t="s">
        <v>475</v>
      </c>
      <c r="B242" s="125" t="s">
        <v>604</v>
      </c>
      <c r="C242" s="125" t="s">
        <v>506</v>
      </c>
      <c r="D242" s="125" t="s">
        <v>454</v>
      </c>
      <c r="E242" s="125" t="s">
        <v>464</v>
      </c>
      <c r="F242" s="126">
        <v>42070.0</v>
      </c>
      <c r="G242" s="127">
        <v>8.24E8</v>
      </c>
      <c r="H242" s="126">
        <v>42115.0</v>
      </c>
      <c r="I242" s="128">
        <v>6867.0</v>
      </c>
      <c r="J242" s="128">
        <v>154.06</v>
      </c>
      <c r="K242" s="128">
        <v>90.93</v>
      </c>
      <c r="L242" s="128">
        <v>1057930.0</v>
      </c>
      <c r="M242" s="128">
        <v>624416.3</v>
      </c>
      <c r="N242" s="128">
        <v>433513.7</v>
      </c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125" t="s">
        <v>475</v>
      </c>
      <c r="B243" s="125" t="s">
        <v>504</v>
      </c>
      <c r="C243" s="125" t="s">
        <v>485</v>
      </c>
      <c r="D243" s="125" t="s">
        <v>454</v>
      </c>
      <c r="E243" s="125" t="s">
        <v>189</v>
      </c>
      <c r="F243" s="126">
        <v>41654.0</v>
      </c>
      <c r="G243" s="127">
        <v>8.87E8</v>
      </c>
      <c r="H243" s="126">
        <v>41670.0</v>
      </c>
      <c r="I243" s="128">
        <v>9693.0</v>
      </c>
      <c r="J243" s="128">
        <v>421.89</v>
      </c>
      <c r="K243" s="128">
        <v>364.69</v>
      </c>
      <c r="L243" s="128">
        <v>4089380.0</v>
      </c>
      <c r="M243" s="128">
        <v>3534940.0</v>
      </c>
      <c r="N243" s="128">
        <v>554439.6</v>
      </c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125" t="s">
        <v>475</v>
      </c>
      <c r="B244" s="125" t="s">
        <v>605</v>
      </c>
      <c r="C244" s="125" t="s">
        <v>463</v>
      </c>
      <c r="D244" s="125" t="s">
        <v>457</v>
      </c>
      <c r="E244" s="125" t="s">
        <v>472</v>
      </c>
      <c r="F244" s="126">
        <v>42146.0</v>
      </c>
      <c r="G244" s="127">
        <v>7.55E8</v>
      </c>
      <c r="H244" s="126">
        <v>42151.0</v>
      </c>
      <c r="I244" s="128">
        <v>772.0</v>
      </c>
      <c r="J244" s="128">
        <v>205.7</v>
      </c>
      <c r="K244" s="128">
        <v>117.11</v>
      </c>
      <c r="L244" s="128">
        <v>158800.4</v>
      </c>
      <c r="M244" s="128">
        <v>90408.92</v>
      </c>
      <c r="N244" s="128">
        <v>68391.48</v>
      </c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125" t="s">
        <v>458</v>
      </c>
      <c r="B245" s="125" t="s">
        <v>606</v>
      </c>
      <c r="C245" s="125" t="s">
        <v>494</v>
      </c>
      <c r="D245" s="125" t="s">
        <v>454</v>
      </c>
      <c r="E245" s="125" t="s">
        <v>472</v>
      </c>
      <c r="F245" s="126">
        <v>40838.0</v>
      </c>
      <c r="G245" s="127">
        <v>8.17E8</v>
      </c>
      <c r="H245" s="126">
        <v>40861.0</v>
      </c>
      <c r="I245" s="128">
        <v>9172.0</v>
      </c>
      <c r="J245" s="128">
        <v>9.33</v>
      </c>
      <c r="K245" s="128">
        <v>6.92</v>
      </c>
      <c r="L245" s="128">
        <v>85574.76</v>
      </c>
      <c r="M245" s="128">
        <v>63470.24</v>
      </c>
      <c r="N245" s="128">
        <v>22104.52</v>
      </c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125" t="s">
        <v>475</v>
      </c>
      <c r="B246" s="125" t="s">
        <v>565</v>
      </c>
      <c r="C246" s="125" t="s">
        <v>471</v>
      </c>
      <c r="D246" s="125" t="s">
        <v>457</v>
      </c>
      <c r="E246" s="125" t="s">
        <v>472</v>
      </c>
      <c r="F246" s="126">
        <v>40947.0</v>
      </c>
      <c r="G246" s="127">
        <v>1.85E8</v>
      </c>
      <c r="H246" s="126">
        <v>40988.0</v>
      </c>
      <c r="I246" s="128">
        <v>5989.0</v>
      </c>
      <c r="J246" s="128">
        <v>109.28</v>
      </c>
      <c r="K246" s="128">
        <v>35.84</v>
      </c>
      <c r="L246" s="128">
        <v>654477.9</v>
      </c>
      <c r="M246" s="128">
        <v>214645.8</v>
      </c>
      <c r="N246" s="128">
        <v>439832.2</v>
      </c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125" t="s">
        <v>461</v>
      </c>
      <c r="B247" s="125" t="s">
        <v>516</v>
      </c>
      <c r="C247" s="125" t="s">
        <v>468</v>
      </c>
      <c r="D247" s="125" t="s">
        <v>457</v>
      </c>
      <c r="E247" s="125" t="s">
        <v>284</v>
      </c>
      <c r="F247" s="126">
        <v>41928.0</v>
      </c>
      <c r="G247" s="127">
        <v>7.41E8</v>
      </c>
      <c r="H247" s="126">
        <v>41948.0</v>
      </c>
      <c r="I247" s="128">
        <v>9356.0</v>
      </c>
      <c r="J247" s="128">
        <v>81.73</v>
      </c>
      <c r="K247" s="128">
        <v>56.67</v>
      </c>
      <c r="L247" s="128">
        <v>764665.9</v>
      </c>
      <c r="M247" s="128">
        <v>530204.5</v>
      </c>
      <c r="N247" s="128">
        <v>234461.4</v>
      </c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125" t="s">
        <v>466</v>
      </c>
      <c r="B248" s="125" t="s">
        <v>607</v>
      </c>
      <c r="C248" s="125" t="s">
        <v>468</v>
      </c>
      <c r="D248" s="125" t="s">
        <v>457</v>
      </c>
      <c r="E248" s="125" t="s">
        <v>189</v>
      </c>
      <c r="F248" s="126">
        <v>40861.0</v>
      </c>
      <c r="G248" s="127">
        <v>3.86E8</v>
      </c>
      <c r="H248" s="126">
        <v>40899.0</v>
      </c>
      <c r="I248" s="128">
        <v>9432.0</v>
      </c>
      <c r="J248" s="128">
        <v>81.73</v>
      </c>
      <c r="K248" s="128">
        <v>56.67</v>
      </c>
      <c r="L248" s="128">
        <v>770877.4</v>
      </c>
      <c r="M248" s="128">
        <v>534511.4</v>
      </c>
      <c r="N248" s="128">
        <v>236365.9</v>
      </c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125" t="s">
        <v>451</v>
      </c>
      <c r="B249" s="125" t="s">
        <v>608</v>
      </c>
      <c r="C249" s="125" t="s">
        <v>485</v>
      </c>
      <c r="D249" s="125" t="s">
        <v>457</v>
      </c>
      <c r="E249" s="125" t="s">
        <v>464</v>
      </c>
      <c r="F249" s="126">
        <v>42127.0</v>
      </c>
      <c r="G249" s="127">
        <v>6.92E8</v>
      </c>
      <c r="H249" s="126">
        <v>42131.0</v>
      </c>
      <c r="I249" s="128">
        <v>3411.0</v>
      </c>
      <c r="J249" s="128">
        <v>421.89</v>
      </c>
      <c r="K249" s="128">
        <v>364.69</v>
      </c>
      <c r="L249" s="128">
        <v>1439067.0</v>
      </c>
      <c r="M249" s="128">
        <v>1243958.0</v>
      </c>
      <c r="N249" s="128">
        <v>195109.2</v>
      </c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125" t="s">
        <v>451</v>
      </c>
      <c r="B250" s="125" t="s">
        <v>609</v>
      </c>
      <c r="C250" s="125" t="s">
        <v>456</v>
      </c>
      <c r="D250" s="125" t="s">
        <v>454</v>
      </c>
      <c r="E250" s="125" t="s">
        <v>284</v>
      </c>
      <c r="F250" s="126">
        <v>42201.0</v>
      </c>
      <c r="G250" s="127">
        <v>1.51E8</v>
      </c>
      <c r="H250" s="126">
        <v>42249.0</v>
      </c>
      <c r="I250" s="128">
        <v>515.0</v>
      </c>
      <c r="J250" s="128">
        <v>152.58</v>
      </c>
      <c r="K250" s="128">
        <v>97.44</v>
      </c>
      <c r="L250" s="128">
        <v>78578.7</v>
      </c>
      <c r="M250" s="128">
        <v>50181.6</v>
      </c>
      <c r="N250" s="128">
        <v>28397.1</v>
      </c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125" t="s">
        <v>461</v>
      </c>
      <c r="B251" s="125" t="s">
        <v>525</v>
      </c>
      <c r="C251" s="125" t="s">
        <v>506</v>
      </c>
      <c r="D251" s="125" t="s">
        <v>457</v>
      </c>
      <c r="E251" s="125" t="s">
        <v>189</v>
      </c>
      <c r="F251" s="126">
        <v>42095.0</v>
      </c>
      <c r="G251" s="127">
        <v>9.25E8</v>
      </c>
      <c r="H251" s="126">
        <v>42127.0</v>
      </c>
      <c r="I251" s="128">
        <v>7000.0</v>
      </c>
      <c r="J251" s="128">
        <v>154.06</v>
      </c>
      <c r="K251" s="128">
        <v>90.93</v>
      </c>
      <c r="L251" s="128">
        <v>1078420.0</v>
      </c>
      <c r="M251" s="128">
        <v>636510.0</v>
      </c>
      <c r="N251" s="128">
        <v>441910.0</v>
      </c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125" t="s">
        <v>458</v>
      </c>
      <c r="B252" s="125" t="s">
        <v>610</v>
      </c>
      <c r="C252" s="125" t="s">
        <v>506</v>
      </c>
      <c r="D252" s="125" t="s">
        <v>454</v>
      </c>
      <c r="E252" s="125" t="s">
        <v>472</v>
      </c>
      <c r="F252" s="126">
        <v>40441.0</v>
      </c>
      <c r="G252" s="127">
        <v>2.98E8</v>
      </c>
      <c r="H252" s="126">
        <v>40476.0</v>
      </c>
      <c r="I252" s="128">
        <v>1151.0</v>
      </c>
      <c r="J252" s="128">
        <v>154.06</v>
      </c>
      <c r="K252" s="128">
        <v>90.93</v>
      </c>
      <c r="L252" s="128">
        <v>177323.1</v>
      </c>
      <c r="M252" s="128">
        <v>104660.4</v>
      </c>
      <c r="N252" s="128">
        <v>72662.63</v>
      </c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125" t="s">
        <v>469</v>
      </c>
      <c r="B253" s="125" t="s">
        <v>569</v>
      </c>
      <c r="C253" s="125" t="s">
        <v>478</v>
      </c>
      <c r="D253" s="125" t="s">
        <v>454</v>
      </c>
      <c r="E253" s="125" t="s">
        <v>464</v>
      </c>
      <c r="F253" s="126">
        <v>40414.0</v>
      </c>
      <c r="G253" s="127">
        <v>1.23E8</v>
      </c>
      <c r="H253" s="126">
        <v>40437.0</v>
      </c>
      <c r="I253" s="128">
        <v>8287.0</v>
      </c>
      <c r="J253" s="128">
        <v>651.21</v>
      </c>
      <c r="K253" s="128">
        <v>524.96</v>
      </c>
      <c r="L253" s="128">
        <v>5396577.0</v>
      </c>
      <c r="M253" s="128">
        <v>4350344.0</v>
      </c>
      <c r="N253" s="128">
        <v>1046234.0</v>
      </c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125" t="s">
        <v>458</v>
      </c>
      <c r="B254" s="125" t="s">
        <v>540</v>
      </c>
      <c r="C254" s="125" t="s">
        <v>456</v>
      </c>
      <c r="D254" s="125" t="s">
        <v>454</v>
      </c>
      <c r="E254" s="125" t="s">
        <v>284</v>
      </c>
      <c r="F254" s="126">
        <v>42809.0</v>
      </c>
      <c r="G254" s="127">
        <v>9.73E8</v>
      </c>
      <c r="H254" s="126">
        <v>42834.0</v>
      </c>
      <c r="I254" s="128">
        <v>5755.0</v>
      </c>
      <c r="J254" s="128">
        <v>152.58</v>
      </c>
      <c r="K254" s="128">
        <v>97.44</v>
      </c>
      <c r="L254" s="128">
        <v>878097.9</v>
      </c>
      <c r="M254" s="128">
        <v>560767.2</v>
      </c>
      <c r="N254" s="128">
        <v>317330.7</v>
      </c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125" t="s">
        <v>461</v>
      </c>
      <c r="B255" s="125" t="s">
        <v>611</v>
      </c>
      <c r="C255" s="125" t="s">
        <v>460</v>
      </c>
      <c r="D255" s="125" t="s">
        <v>454</v>
      </c>
      <c r="E255" s="125" t="s">
        <v>189</v>
      </c>
      <c r="F255" s="126">
        <v>41894.0</v>
      </c>
      <c r="G255" s="127">
        <v>7.92E8</v>
      </c>
      <c r="H255" s="126">
        <v>41903.0</v>
      </c>
      <c r="I255" s="128">
        <v>7937.0</v>
      </c>
      <c r="J255" s="128">
        <v>47.45</v>
      </c>
      <c r="K255" s="128">
        <v>31.79</v>
      </c>
      <c r="L255" s="128">
        <v>376610.7</v>
      </c>
      <c r="M255" s="128">
        <v>252317.2</v>
      </c>
      <c r="N255" s="128">
        <v>124293.4</v>
      </c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125" t="s">
        <v>461</v>
      </c>
      <c r="B256" s="125" t="s">
        <v>539</v>
      </c>
      <c r="C256" s="125" t="s">
        <v>514</v>
      </c>
      <c r="D256" s="125" t="s">
        <v>454</v>
      </c>
      <c r="E256" s="125" t="s">
        <v>284</v>
      </c>
      <c r="F256" s="126">
        <v>40627.0</v>
      </c>
      <c r="G256" s="127">
        <v>7.44E8</v>
      </c>
      <c r="H256" s="126">
        <v>40633.0</v>
      </c>
      <c r="I256" s="128">
        <v>1242.0</v>
      </c>
      <c r="J256" s="128">
        <v>668.27</v>
      </c>
      <c r="K256" s="128">
        <v>502.54</v>
      </c>
      <c r="L256" s="128">
        <v>829991.3</v>
      </c>
      <c r="M256" s="128">
        <v>624154.7</v>
      </c>
      <c r="N256" s="128">
        <v>205836.7</v>
      </c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125" t="s">
        <v>461</v>
      </c>
      <c r="B257" s="125" t="s">
        <v>581</v>
      </c>
      <c r="C257" s="125" t="s">
        <v>478</v>
      </c>
      <c r="D257" s="125" t="s">
        <v>457</v>
      </c>
      <c r="E257" s="125" t="s">
        <v>464</v>
      </c>
      <c r="F257" s="126">
        <v>40971.0</v>
      </c>
      <c r="G257" s="127">
        <v>2.64E8</v>
      </c>
      <c r="H257" s="126">
        <v>41007.0</v>
      </c>
      <c r="I257" s="128">
        <v>9113.0</v>
      </c>
      <c r="J257" s="128">
        <v>651.21</v>
      </c>
      <c r="K257" s="128">
        <v>524.96</v>
      </c>
      <c r="L257" s="128">
        <v>5934477.0</v>
      </c>
      <c r="M257" s="128">
        <v>4783960.0</v>
      </c>
      <c r="N257" s="128">
        <v>1150516.0</v>
      </c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125" t="s">
        <v>451</v>
      </c>
      <c r="B258" s="125" t="s">
        <v>455</v>
      </c>
      <c r="C258" s="125" t="s">
        <v>453</v>
      </c>
      <c r="D258" s="125" t="s">
        <v>454</v>
      </c>
      <c r="E258" s="125" t="s">
        <v>472</v>
      </c>
      <c r="F258" s="126">
        <v>42509.0</v>
      </c>
      <c r="G258" s="127">
        <v>2.06E8</v>
      </c>
      <c r="H258" s="126">
        <v>42539.0</v>
      </c>
      <c r="I258" s="128">
        <v>7024.0</v>
      </c>
      <c r="J258" s="128">
        <v>255.28</v>
      </c>
      <c r="K258" s="128">
        <v>159.42</v>
      </c>
      <c r="L258" s="128">
        <v>1793087.0</v>
      </c>
      <c r="M258" s="128">
        <v>1119766.0</v>
      </c>
      <c r="N258" s="128">
        <v>673320.6</v>
      </c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125" t="s">
        <v>458</v>
      </c>
      <c r="B259" s="125" t="s">
        <v>563</v>
      </c>
      <c r="C259" s="125" t="s">
        <v>468</v>
      </c>
      <c r="D259" s="125" t="s">
        <v>457</v>
      </c>
      <c r="E259" s="125" t="s">
        <v>189</v>
      </c>
      <c r="F259" s="126">
        <v>41068.0</v>
      </c>
      <c r="G259" s="127">
        <v>5.95E8</v>
      </c>
      <c r="H259" s="126">
        <v>41077.0</v>
      </c>
      <c r="I259" s="128">
        <v>7480.0</v>
      </c>
      <c r="J259" s="128">
        <v>81.73</v>
      </c>
      <c r="K259" s="128">
        <v>56.67</v>
      </c>
      <c r="L259" s="128">
        <v>611340.4</v>
      </c>
      <c r="M259" s="128">
        <v>423891.6</v>
      </c>
      <c r="N259" s="128">
        <v>187448.8</v>
      </c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125" t="s">
        <v>458</v>
      </c>
      <c r="B260" s="125" t="s">
        <v>493</v>
      </c>
      <c r="C260" s="125" t="s">
        <v>471</v>
      </c>
      <c r="D260" s="125" t="s">
        <v>454</v>
      </c>
      <c r="E260" s="125" t="s">
        <v>472</v>
      </c>
      <c r="F260" s="126">
        <v>41160.0</v>
      </c>
      <c r="G260" s="127">
        <v>1.77E8</v>
      </c>
      <c r="H260" s="126">
        <v>41168.0</v>
      </c>
      <c r="I260" s="128">
        <v>5016.0</v>
      </c>
      <c r="J260" s="128">
        <v>109.28</v>
      </c>
      <c r="K260" s="128">
        <v>35.84</v>
      </c>
      <c r="L260" s="128">
        <v>548148.5</v>
      </c>
      <c r="M260" s="128">
        <v>179773.4</v>
      </c>
      <c r="N260" s="128">
        <v>368375.0</v>
      </c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125" t="s">
        <v>458</v>
      </c>
      <c r="B261" s="125" t="s">
        <v>555</v>
      </c>
      <c r="C261" s="125" t="s">
        <v>468</v>
      </c>
      <c r="D261" s="125" t="s">
        <v>457</v>
      </c>
      <c r="E261" s="125" t="s">
        <v>189</v>
      </c>
      <c r="F261" s="126">
        <v>40771.0</v>
      </c>
      <c r="G261" s="127">
        <v>4.67E8</v>
      </c>
      <c r="H261" s="126">
        <v>40771.0</v>
      </c>
      <c r="I261" s="128">
        <v>1201.0</v>
      </c>
      <c r="J261" s="128">
        <v>81.73</v>
      </c>
      <c r="K261" s="128">
        <v>56.67</v>
      </c>
      <c r="L261" s="128">
        <v>98157.73</v>
      </c>
      <c r="M261" s="128">
        <v>68060.67</v>
      </c>
      <c r="N261" s="128">
        <v>30097.06</v>
      </c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125" t="s">
        <v>475</v>
      </c>
      <c r="B262" s="125" t="s">
        <v>537</v>
      </c>
      <c r="C262" s="125" t="s">
        <v>468</v>
      </c>
      <c r="D262" s="125" t="s">
        <v>457</v>
      </c>
      <c r="E262" s="125" t="s">
        <v>464</v>
      </c>
      <c r="F262" s="126">
        <v>41043.0</v>
      </c>
      <c r="G262" s="127">
        <v>8.02E8</v>
      </c>
      <c r="H262" s="126">
        <v>41062.0</v>
      </c>
      <c r="I262" s="128">
        <v>9633.0</v>
      </c>
      <c r="J262" s="128">
        <v>81.73</v>
      </c>
      <c r="K262" s="128">
        <v>56.67</v>
      </c>
      <c r="L262" s="128">
        <v>787305.1</v>
      </c>
      <c r="M262" s="128">
        <v>545902.1</v>
      </c>
      <c r="N262" s="128">
        <v>241403.0</v>
      </c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125" t="s">
        <v>475</v>
      </c>
      <c r="B263" s="125" t="s">
        <v>601</v>
      </c>
      <c r="C263" s="125" t="s">
        <v>485</v>
      </c>
      <c r="D263" s="125" t="s">
        <v>457</v>
      </c>
      <c r="E263" s="125" t="s">
        <v>189</v>
      </c>
      <c r="F263" s="126">
        <v>42122.0</v>
      </c>
      <c r="G263" s="127">
        <v>5.87E8</v>
      </c>
      <c r="H263" s="126">
        <v>42163.0</v>
      </c>
      <c r="I263" s="128">
        <v>941.0</v>
      </c>
      <c r="J263" s="128">
        <v>421.89</v>
      </c>
      <c r="K263" s="128">
        <v>364.69</v>
      </c>
      <c r="L263" s="128">
        <v>396998.5</v>
      </c>
      <c r="M263" s="128">
        <v>343173.3</v>
      </c>
      <c r="N263" s="128">
        <v>53825.2</v>
      </c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125" t="s">
        <v>451</v>
      </c>
      <c r="B264" s="125" t="s">
        <v>490</v>
      </c>
      <c r="C264" s="125" t="s">
        <v>456</v>
      </c>
      <c r="D264" s="125" t="s">
        <v>457</v>
      </c>
      <c r="E264" s="125" t="s">
        <v>472</v>
      </c>
      <c r="F264" s="126">
        <v>41780.0</v>
      </c>
      <c r="G264" s="127">
        <v>6.49E8</v>
      </c>
      <c r="H264" s="126">
        <v>41780.0</v>
      </c>
      <c r="I264" s="128">
        <v>7787.0</v>
      </c>
      <c r="J264" s="128">
        <v>152.58</v>
      </c>
      <c r="K264" s="128">
        <v>97.44</v>
      </c>
      <c r="L264" s="128">
        <v>1188140.0</v>
      </c>
      <c r="M264" s="128">
        <v>758765.3</v>
      </c>
      <c r="N264" s="128">
        <v>429375.2</v>
      </c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125" t="s">
        <v>466</v>
      </c>
      <c r="B265" s="125" t="s">
        <v>612</v>
      </c>
      <c r="C265" s="125" t="s">
        <v>463</v>
      </c>
      <c r="D265" s="125" t="s">
        <v>457</v>
      </c>
      <c r="E265" s="125" t="s">
        <v>472</v>
      </c>
      <c r="F265" s="126">
        <v>42323.0</v>
      </c>
      <c r="G265" s="127">
        <v>9.86E8</v>
      </c>
      <c r="H265" s="126">
        <v>42348.0</v>
      </c>
      <c r="I265" s="128">
        <v>9864.0</v>
      </c>
      <c r="J265" s="128">
        <v>205.7</v>
      </c>
      <c r="K265" s="128">
        <v>117.11</v>
      </c>
      <c r="L265" s="128">
        <v>2029025.0</v>
      </c>
      <c r="M265" s="128">
        <v>1155173.0</v>
      </c>
      <c r="N265" s="128">
        <v>873851.8</v>
      </c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125" t="s">
        <v>461</v>
      </c>
      <c r="B266" s="125" t="s">
        <v>581</v>
      </c>
      <c r="C266" s="125" t="s">
        <v>514</v>
      </c>
      <c r="D266" s="125" t="s">
        <v>457</v>
      </c>
      <c r="E266" s="125" t="s">
        <v>472</v>
      </c>
      <c r="F266" s="126">
        <v>40918.0</v>
      </c>
      <c r="G266" s="127">
        <v>3.14E8</v>
      </c>
      <c r="H266" s="126">
        <v>40920.0</v>
      </c>
      <c r="I266" s="128">
        <v>8894.0</v>
      </c>
      <c r="J266" s="128">
        <v>668.27</v>
      </c>
      <c r="K266" s="128">
        <v>502.54</v>
      </c>
      <c r="L266" s="128">
        <v>5943593.0</v>
      </c>
      <c r="M266" s="128">
        <v>4469591.0</v>
      </c>
      <c r="N266" s="128">
        <v>1474003.0</v>
      </c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125" t="s">
        <v>466</v>
      </c>
      <c r="B267" s="125" t="s">
        <v>508</v>
      </c>
      <c r="C267" s="125" t="s">
        <v>460</v>
      </c>
      <c r="D267" s="125" t="s">
        <v>457</v>
      </c>
      <c r="E267" s="125" t="s">
        <v>472</v>
      </c>
      <c r="F267" s="126">
        <v>42032.0</v>
      </c>
      <c r="G267" s="127">
        <v>1.21E8</v>
      </c>
      <c r="H267" s="126">
        <v>42042.0</v>
      </c>
      <c r="I267" s="128">
        <v>3634.0</v>
      </c>
      <c r="J267" s="128">
        <v>47.45</v>
      </c>
      <c r="K267" s="128">
        <v>31.79</v>
      </c>
      <c r="L267" s="128">
        <v>172433.3</v>
      </c>
      <c r="M267" s="128">
        <v>115524.9</v>
      </c>
      <c r="N267" s="128">
        <v>56908.44</v>
      </c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125" t="s">
        <v>458</v>
      </c>
      <c r="B268" s="125" t="s">
        <v>545</v>
      </c>
      <c r="C268" s="125" t="s">
        <v>463</v>
      </c>
      <c r="D268" s="125" t="s">
        <v>454</v>
      </c>
      <c r="E268" s="125" t="s">
        <v>284</v>
      </c>
      <c r="F268" s="126">
        <v>42227.0</v>
      </c>
      <c r="G268" s="127">
        <v>6.15E8</v>
      </c>
      <c r="H268" s="126">
        <v>42266.0</v>
      </c>
      <c r="I268" s="128">
        <v>4868.0</v>
      </c>
      <c r="J268" s="128">
        <v>205.7</v>
      </c>
      <c r="K268" s="128">
        <v>117.11</v>
      </c>
      <c r="L268" s="128">
        <v>1001348.0</v>
      </c>
      <c r="M268" s="128">
        <v>570091.5</v>
      </c>
      <c r="N268" s="128">
        <v>431256.1</v>
      </c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125" t="s">
        <v>461</v>
      </c>
      <c r="B269" s="125" t="s">
        <v>511</v>
      </c>
      <c r="C269" s="125" t="s">
        <v>494</v>
      </c>
      <c r="D269" s="125" t="s">
        <v>457</v>
      </c>
      <c r="E269" s="125" t="s">
        <v>464</v>
      </c>
      <c r="F269" s="126">
        <v>42601.0</v>
      </c>
      <c r="G269" s="127">
        <v>2.74E8</v>
      </c>
      <c r="H269" s="126">
        <v>42618.0</v>
      </c>
      <c r="I269" s="128">
        <v>414.0</v>
      </c>
      <c r="J269" s="128">
        <v>9.33</v>
      </c>
      <c r="K269" s="128">
        <v>6.92</v>
      </c>
      <c r="L269" s="128">
        <v>3862.62</v>
      </c>
      <c r="M269" s="128">
        <v>2864.88</v>
      </c>
      <c r="N269" s="128">
        <v>997.74</v>
      </c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125" t="s">
        <v>466</v>
      </c>
      <c r="B270" s="125" t="s">
        <v>484</v>
      </c>
      <c r="C270" s="125" t="s">
        <v>468</v>
      </c>
      <c r="D270" s="125" t="s">
        <v>457</v>
      </c>
      <c r="E270" s="125" t="s">
        <v>472</v>
      </c>
      <c r="F270" s="126">
        <v>41873.0</v>
      </c>
      <c r="G270" s="127">
        <v>7.96E8</v>
      </c>
      <c r="H270" s="126">
        <v>41909.0</v>
      </c>
      <c r="I270" s="128">
        <v>121.0</v>
      </c>
      <c r="J270" s="128">
        <v>81.73</v>
      </c>
      <c r="K270" s="128">
        <v>56.67</v>
      </c>
      <c r="L270" s="128">
        <v>9889.33</v>
      </c>
      <c r="M270" s="128">
        <v>6857.07</v>
      </c>
      <c r="N270" s="128">
        <v>3032.26</v>
      </c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125" t="s">
        <v>458</v>
      </c>
      <c r="B271" s="125" t="s">
        <v>613</v>
      </c>
      <c r="C271" s="125" t="s">
        <v>480</v>
      </c>
      <c r="D271" s="125" t="s">
        <v>454</v>
      </c>
      <c r="E271" s="125" t="s">
        <v>284</v>
      </c>
      <c r="F271" s="126">
        <v>40538.0</v>
      </c>
      <c r="G271" s="127">
        <v>3.51E8</v>
      </c>
      <c r="H271" s="126">
        <v>40565.0</v>
      </c>
      <c r="I271" s="128">
        <v>869.0</v>
      </c>
      <c r="J271" s="128">
        <v>437.2</v>
      </c>
      <c r="K271" s="128">
        <v>263.33</v>
      </c>
      <c r="L271" s="128">
        <v>379926.8</v>
      </c>
      <c r="M271" s="128">
        <v>228833.8</v>
      </c>
      <c r="N271" s="128">
        <v>151093.0</v>
      </c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125" t="s">
        <v>466</v>
      </c>
      <c r="B272" s="125" t="s">
        <v>492</v>
      </c>
      <c r="C272" s="125" t="s">
        <v>471</v>
      </c>
      <c r="D272" s="125" t="s">
        <v>457</v>
      </c>
      <c r="E272" s="125" t="s">
        <v>189</v>
      </c>
      <c r="F272" s="126">
        <v>42243.0</v>
      </c>
      <c r="G272" s="127">
        <v>3.27E8</v>
      </c>
      <c r="H272" s="126">
        <v>42276.0</v>
      </c>
      <c r="I272" s="128">
        <v>1570.0</v>
      </c>
      <c r="J272" s="128">
        <v>109.28</v>
      </c>
      <c r="K272" s="128">
        <v>35.84</v>
      </c>
      <c r="L272" s="128">
        <v>171569.6</v>
      </c>
      <c r="M272" s="128">
        <v>56268.8</v>
      </c>
      <c r="N272" s="128">
        <v>115300.8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125" t="s">
        <v>466</v>
      </c>
      <c r="B273" s="125" t="s">
        <v>524</v>
      </c>
      <c r="C273" s="125" t="s">
        <v>506</v>
      </c>
      <c r="D273" s="125" t="s">
        <v>454</v>
      </c>
      <c r="E273" s="125" t="s">
        <v>472</v>
      </c>
      <c r="F273" s="126">
        <v>41344.0</v>
      </c>
      <c r="G273" s="127">
        <v>3.84E8</v>
      </c>
      <c r="H273" s="126">
        <v>41379.0</v>
      </c>
      <c r="I273" s="128">
        <v>8164.0</v>
      </c>
      <c r="J273" s="128">
        <v>154.06</v>
      </c>
      <c r="K273" s="128">
        <v>90.93</v>
      </c>
      <c r="L273" s="128">
        <v>1257746.0</v>
      </c>
      <c r="M273" s="128">
        <v>742352.5</v>
      </c>
      <c r="N273" s="128">
        <v>515393.3</v>
      </c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125" t="s">
        <v>458</v>
      </c>
      <c r="B274" s="125" t="s">
        <v>614</v>
      </c>
      <c r="C274" s="125" t="s">
        <v>468</v>
      </c>
      <c r="D274" s="125" t="s">
        <v>457</v>
      </c>
      <c r="E274" s="125" t="s">
        <v>189</v>
      </c>
      <c r="F274" s="126">
        <v>40885.0</v>
      </c>
      <c r="G274" s="127">
        <v>7.01E8</v>
      </c>
      <c r="H274" s="126">
        <v>40914.0</v>
      </c>
      <c r="I274" s="128">
        <v>8626.0</v>
      </c>
      <c r="J274" s="128">
        <v>81.73</v>
      </c>
      <c r="K274" s="128">
        <v>56.67</v>
      </c>
      <c r="L274" s="128">
        <v>705003.0</v>
      </c>
      <c r="M274" s="128">
        <v>488835.4</v>
      </c>
      <c r="N274" s="128">
        <v>216167.6</v>
      </c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125" t="s">
        <v>475</v>
      </c>
      <c r="B275" s="125" t="s">
        <v>507</v>
      </c>
      <c r="C275" s="125" t="s">
        <v>494</v>
      </c>
      <c r="D275" s="125" t="s">
        <v>454</v>
      </c>
      <c r="E275" s="125" t="s">
        <v>189</v>
      </c>
      <c r="F275" s="126">
        <v>42913.0</v>
      </c>
      <c r="G275" s="127">
        <v>6.29E8</v>
      </c>
      <c r="H275" s="126">
        <v>42961.0</v>
      </c>
      <c r="I275" s="128">
        <v>7961.0</v>
      </c>
      <c r="J275" s="128">
        <v>9.33</v>
      </c>
      <c r="K275" s="128">
        <v>6.92</v>
      </c>
      <c r="L275" s="128">
        <v>74276.13</v>
      </c>
      <c r="M275" s="128">
        <v>55090.12</v>
      </c>
      <c r="N275" s="128">
        <v>19186.01</v>
      </c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125" t="s">
        <v>461</v>
      </c>
      <c r="B276" s="125" t="s">
        <v>522</v>
      </c>
      <c r="C276" s="125" t="s">
        <v>453</v>
      </c>
      <c r="D276" s="125" t="s">
        <v>457</v>
      </c>
      <c r="E276" s="125" t="s">
        <v>284</v>
      </c>
      <c r="F276" s="126">
        <v>41568.0</v>
      </c>
      <c r="G276" s="127">
        <v>9.38E8</v>
      </c>
      <c r="H276" s="126">
        <v>41607.0</v>
      </c>
      <c r="I276" s="128">
        <v>3205.0</v>
      </c>
      <c r="J276" s="128">
        <v>255.28</v>
      </c>
      <c r="K276" s="128">
        <v>159.42</v>
      </c>
      <c r="L276" s="128">
        <v>818172.4</v>
      </c>
      <c r="M276" s="128">
        <v>510941.1</v>
      </c>
      <c r="N276" s="128">
        <v>307231.3</v>
      </c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125" t="s">
        <v>466</v>
      </c>
      <c r="B277" s="125" t="s">
        <v>534</v>
      </c>
      <c r="C277" s="125" t="s">
        <v>506</v>
      </c>
      <c r="D277" s="125" t="s">
        <v>454</v>
      </c>
      <c r="E277" s="125" t="s">
        <v>464</v>
      </c>
      <c r="F277" s="126">
        <v>41061.0</v>
      </c>
      <c r="G277" s="127">
        <v>6.69E8</v>
      </c>
      <c r="H277" s="126">
        <v>41097.0</v>
      </c>
      <c r="I277" s="128">
        <v>8426.0</v>
      </c>
      <c r="J277" s="128">
        <v>154.06</v>
      </c>
      <c r="K277" s="128">
        <v>90.93</v>
      </c>
      <c r="L277" s="128">
        <v>1298110.0</v>
      </c>
      <c r="M277" s="128">
        <v>766176.2</v>
      </c>
      <c r="N277" s="128">
        <v>531933.4</v>
      </c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125" t="s">
        <v>461</v>
      </c>
      <c r="B278" s="125" t="s">
        <v>615</v>
      </c>
      <c r="C278" s="125" t="s">
        <v>471</v>
      </c>
      <c r="D278" s="125" t="s">
        <v>454</v>
      </c>
      <c r="E278" s="125" t="s">
        <v>284</v>
      </c>
      <c r="F278" s="126">
        <v>40459.0</v>
      </c>
      <c r="G278" s="127">
        <v>2.82E8</v>
      </c>
      <c r="H278" s="126">
        <v>40497.0</v>
      </c>
      <c r="I278" s="128">
        <v>9721.0</v>
      </c>
      <c r="J278" s="128">
        <v>109.28</v>
      </c>
      <c r="K278" s="128">
        <v>35.84</v>
      </c>
      <c r="L278" s="128">
        <v>1062311.0</v>
      </c>
      <c r="M278" s="128">
        <v>348400.6</v>
      </c>
      <c r="N278" s="128">
        <v>713910.2</v>
      </c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125" t="s">
        <v>458</v>
      </c>
      <c r="B279" s="125" t="s">
        <v>616</v>
      </c>
      <c r="C279" s="125" t="s">
        <v>468</v>
      </c>
      <c r="D279" s="125" t="s">
        <v>454</v>
      </c>
      <c r="E279" s="125" t="s">
        <v>284</v>
      </c>
      <c r="F279" s="126">
        <v>40599.0</v>
      </c>
      <c r="G279" s="127">
        <v>3.09E8</v>
      </c>
      <c r="H279" s="126">
        <v>40630.0</v>
      </c>
      <c r="I279" s="128">
        <v>222.0</v>
      </c>
      <c r="J279" s="128">
        <v>81.73</v>
      </c>
      <c r="K279" s="128">
        <v>56.67</v>
      </c>
      <c r="L279" s="128">
        <v>18144.06</v>
      </c>
      <c r="M279" s="128">
        <v>12580.74</v>
      </c>
      <c r="N279" s="128">
        <v>5563.32</v>
      </c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125" t="s">
        <v>475</v>
      </c>
      <c r="B280" s="125" t="s">
        <v>536</v>
      </c>
      <c r="C280" s="125" t="s">
        <v>480</v>
      </c>
      <c r="D280" s="125" t="s">
        <v>454</v>
      </c>
      <c r="E280" s="125" t="s">
        <v>472</v>
      </c>
      <c r="F280" s="126">
        <v>42709.0</v>
      </c>
      <c r="G280" s="127">
        <v>9.02E8</v>
      </c>
      <c r="H280" s="126">
        <v>42724.0</v>
      </c>
      <c r="I280" s="128">
        <v>5088.0</v>
      </c>
      <c r="J280" s="128">
        <v>437.2</v>
      </c>
      <c r="K280" s="128">
        <v>263.33</v>
      </c>
      <c r="L280" s="128">
        <v>2224474.0</v>
      </c>
      <c r="M280" s="128">
        <v>1339823.0</v>
      </c>
      <c r="N280" s="128">
        <v>884650.6</v>
      </c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125" t="s">
        <v>466</v>
      </c>
      <c r="B281" s="125" t="s">
        <v>612</v>
      </c>
      <c r="C281" s="125" t="s">
        <v>471</v>
      </c>
      <c r="D281" s="125" t="s">
        <v>454</v>
      </c>
      <c r="E281" s="125" t="s">
        <v>472</v>
      </c>
      <c r="F281" s="126">
        <v>41492.0</v>
      </c>
      <c r="G281" s="127">
        <v>4.82E8</v>
      </c>
      <c r="H281" s="126">
        <v>41520.0</v>
      </c>
      <c r="I281" s="128">
        <v>6513.0</v>
      </c>
      <c r="J281" s="128">
        <v>109.28</v>
      </c>
      <c r="K281" s="128">
        <v>35.84</v>
      </c>
      <c r="L281" s="128">
        <v>711740.6</v>
      </c>
      <c r="M281" s="128">
        <v>233425.9</v>
      </c>
      <c r="N281" s="128">
        <v>478314.7</v>
      </c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125" t="s">
        <v>451</v>
      </c>
      <c r="B282" s="125" t="s">
        <v>497</v>
      </c>
      <c r="C282" s="125" t="s">
        <v>506</v>
      </c>
      <c r="D282" s="125" t="s">
        <v>457</v>
      </c>
      <c r="E282" s="125" t="s">
        <v>284</v>
      </c>
      <c r="F282" s="126">
        <v>40336.0</v>
      </c>
      <c r="G282" s="127">
        <v>6.92E8</v>
      </c>
      <c r="H282" s="126">
        <v>40357.0</v>
      </c>
      <c r="I282" s="128">
        <v>8719.0</v>
      </c>
      <c r="J282" s="128">
        <v>154.06</v>
      </c>
      <c r="K282" s="128">
        <v>90.93</v>
      </c>
      <c r="L282" s="128">
        <v>1343249.0</v>
      </c>
      <c r="M282" s="128">
        <v>792818.7</v>
      </c>
      <c r="N282" s="128">
        <v>550430.5</v>
      </c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125" t="s">
        <v>469</v>
      </c>
      <c r="B283" s="125" t="s">
        <v>569</v>
      </c>
      <c r="C283" s="125" t="s">
        <v>494</v>
      </c>
      <c r="D283" s="125" t="s">
        <v>454</v>
      </c>
      <c r="E283" s="125" t="s">
        <v>464</v>
      </c>
      <c r="F283" s="126">
        <v>41635.0</v>
      </c>
      <c r="G283" s="127">
        <v>5.44E8</v>
      </c>
      <c r="H283" s="126">
        <v>41669.0</v>
      </c>
      <c r="I283" s="128">
        <v>2963.0</v>
      </c>
      <c r="J283" s="128">
        <v>9.33</v>
      </c>
      <c r="K283" s="128">
        <v>6.92</v>
      </c>
      <c r="L283" s="128">
        <v>27644.79</v>
      </c>
      <c r="M283" s="128">
        <v>20503.96</v>
      </c>
      <c r="N283" s="128">
        <v>7140.83</v>
      </c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125" t="s">
        <v>451</v>
      </c>
      <c r="B284" s="125" t="s">
        <v>499</v>
      </c>
      <c r="C284" s="125" t="s">
        <v>506</v>
      </c>
      <c r="D284" s="125" t="s">
        <v>454</v>
      </c>
      <c r="E284" s="125" t="s">
        <v>189</v>
      </c>
      <c r="F284" s="126">
        <v>42641.0</v>
      </c>
      <c r="G284" s="127">
        <v>4.71E8</v>
      </c>
      <c r="H284" s="126">
        <v>42660.0</v>
      </c>
      <c r="I284" s="128">
        <v>2530.0</v>
      </c>
      <c r="J284" s="128">
        <v>154.06</v>
      </c>
      <c r="K284" s="128">
        <v>90.93</v>
      </c>
      <c r="L284" s="128">
        <v>389771.8</v>
      </c>
      <c r="M284" s="128">
        <v>230052.9</v>
      </c>
      <c r="N284" s="128">
        <v>159718.9</v>
      </c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125" t="s">
        <v>469</v>
      </c>
      <c r="B285" s="125" t="s">
        <v>617</v>
      </c>
      <c r="C285" s="125" t="s">
        <v>468</v>
      </c>
      <c r="D285" s="125" t="s">
        <v>454</v>
      </c>
      <c r="E285" s="125" t="s">
        <v>464</v>
      </c>
      <c r="F285" s="126">
        <v>42377.0</v>
      </c>
      <c r="G285" s="127">
        <v>9.77E8</v>
      </c>
      <c r="H285" s="126">
        <v>42396.0</v>
      </c>
      <c r="I285" s="128">
        <v>7737.0</v>
      </c>
      <c r="J285" s="128">
        <v>81.73</v>
      </c>
      <c r="K285" s="128">
        <v>56.67</v>
      </c>
      <c r="L285" s="128">
        <v>632345.0</v>
      </c>
      <c r="M285" s="128">
        <v>438455.8</v>
      </c>
      <c r="N285" s="128">
        <v>193889.2</v>
      </c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125" t="s">
        <v>458</v>
      </c>
      <c r="B286" s="125" t="s">
        <v>563</v>
      </c>
      <c r="C286" s="125" t="s">
        <v>514</v>
      </c>
      <c r="D286" s="125" t="s">
        <v>457</v>
      </c>
      <c r="E286" s="125" t="s">
        <v>189</v>
      </c>
      <c r="F286" s="126">
        <v>40257.0</v>
      </c>
      <c r="G286" s="127">
        <v>3.84E8</v>
      </c>
      <c r="H286" s="126">
        <v>40294.0</v>
      </c>
      <c r="I286" s="128">
        <v>933.0</v>
      </c>
      <c r="J286" s="128">
        <v>668.27</v>
      </c>
      <c r="K286" s="128">
        <v>502.54</v>
      </c>
      <c r="L286" s="128">
        <v>623495.9</v>
      </c>
      <c r="M286" s="128">
        <v>468869.8</v>
      </c>
      <c r="N286" s="128">
        <v>154626.1</v>
      </c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125" t="s">
        <v>475</v>
      </c>
      <c r="B287" s="125" t="s">
        <v>527</v>
      </c>
      <c r="C287" s="125" t="s">
        <v>468</v>
      </c>
      <c r="D287" s="125" t="s">
        <v>454</v>
      </c>
      <c r="E287" s="125" t="s">
        <v>472</v>
      </c>
      <c r="F287" s="126">
        <v>40230.0</v>
      </c>
      <c r="G287" s="127">
        <v>6.87E8</v>
      </c>
      <c r="H287" s="126">
        <v>40245.0</v>
      </c>
      <c r="I287" s="128">
        <v>1498.0</v>
      </c>
      <c r="J287" s="128">
        <v>81.73</v>
      </c>
      <c r="K287" s="128">
        <v>56.67</v>
      </c>
      <c r="L287" s="128">
        <v>122431.5</v>
      </c>
      <c r="M287" s="128">
        <v>84891.66</v>
      </c>
      <c r="N287" s="128">
        <v>37539.88</v>
      </c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125" t="s">
        <v>475</v>
      </c>
      <c r="B288" s="125" t="s">
        <v>552</v>
      </c>
      <c r="C288" s="125" t="s">
        <v>456</v>
      </c>
      <c r="D288" s="125" t="s">
        <v>457</v>
      </c>
      <c r="E288" s="125" t="s">
        <v>189</v>
      </c>
      <c r="F288" s="126">
        <v>41104.0</v>
      </c>
      <c r="G288" s="127">
        <v>7.99E8</v>
      </c>
      <c r="H288" s="126">
        <v>41114.0</v>
      </c>
      <c r="I288" s="128">
        <v>843.0</v>
      </c>
      <c r="J288" s="128">
        <v>152.58</v>
      </c>
      <c r="K288" s="128">
        <v>97.44</v>
      </c>
      <c r="L288" s="128">
        <v>128624.9</v>
      </c>
      <c r="M288" s="128">
        <v>82141.92</v>
      </c>
      <c r="N288" s="128">
        <v>46483.02</v>
      </c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125" t="s">
        <v>451</v>
      </c>
      <c r="B289" s="125" t="s">
        <v>592</v>
      </c>
      <c r="C289" s="125" t="s">
        <v>463</v>
      </c>
      <c r="D289" s="125" t="s">
        <v>454</v>
      </c>
      <c r="E289" s="125" t="s">
        <v>189</v>
      </c>
      <c r="F289" s="126">
        <v>40692.0</v>
      </c>
      <c r="G289" s="127">
        <v>6.06E8</v>
      </c>
      <c r="H289" s="126">
        <v>40709.0</v>
      </c>
      <c r="I289" s="128">
        <v>7410.0</v>
      </c>
      <c r="J289" s="128">
        <v>205.7</v>
      </c>
      <c r="K289" s="128">
        <v>117.11</v>
      </c>
      <c r="L289" s="128">
        <v>1524237.0</v>
      </c>
      <c r="M289" s="128">
        <v>867785.1</v>
      </c>
      <c r="N289" s="128">
        <v>656451.9</v>
      </c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125" t="s">
        <v>461</v>
      </c>
      <c r="B290" s="125" t="s">
        <v>611</v>
      </c>
      <c r="C290" s="125" t="s">
        <v>460</v>
      </c>
      <c r="D290" s="125" t="s">
        <v>457</v>
      </c>
      <c r="E290" s="125" t="s">
        <v>472</v>
      </c>
      <c r="F290" s="126">
        <v>42729.0</v>
      </c>
      <c r="G290" s="127">
        <v>5.11E8</v>
      </c>
      <c r="H290" s="126">
        <v>42771.0</v>
      </c>
      <c r="I290" s="128">
        <v>1674.0</v>
      </c>
      <c r="J290" s="128">
        <v>47.45</v>
      </c>
      <c r="K290" s="128">
        <v>31.79</v>
      </c>
      <c r="L290" s="128">
        <v>79431.3</v>
      </c>
      <c r="M290" s="128">
        <v>53216.46</v>
      </c>
      <c r="N290" s="128">
        <v>26214.84</v>
      </c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125" t="s">
        <v>458</v>
      </c>
      <c r="B291" s="125" t="s">
        <v>529</v>
      </c>
      <c r="C291" s="125" t="s">
        <v>514</v>
      </c>
      <c r="D291" s="125" t="s">
        <v>457</v>
      </c>
      <c r="E291" s="125" t="s">
        <v>284</v>
      </c>
      <c r="F291" s="126">
        <v>41656.0</v>
      </c>
      <c r="G291" s="127">
        <v>9.91E8</v>
      </c>
      <c r="H291" s="126">
        <v>41688.0</v>
      </c>
      <c r="I291" s="128">
        <v>1138.0</v>
      </c>
      <c r="J291" s="128">
        <v>668.27</v>
      </c>
      <c r="K291" s="128">
        <v>502.54</v>
      </c>
      <c r="L291" s="128">
        <v>760491.3</v>
      </c>
      <c r="M291" s="128">
        <v>571890.5</v>
      </c>
      <c r="N291" s="128">
        <v>188600.7</v>
      </c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125" t="s">
        <v>461</v>
      </c>
      <c r="B292" s="125" t="s">
        <v>564</v>
      </c>
      <c r="C292" s="125" t="s">
        <v>456</v>
      </c>
      <c r="D292" s="125" t="s">
        <v>457</v>
      </c>
      <c r="E292" s="125" t="s">
        <v>189</v>
      </c>
      <c r="F292" s="126">
        <v>40604.0</v>
      </c>
      <c r="G292" s="127">
        <v>3.39E8</v>
      </c>
      <c r="H292" s="126">
        <v>40649.0</v>
      </c>
      <c r="I292" s="128">
        <v>5340.0</v>
      </c>
      <c r="J292" s="128">
        <v>152.58</v>
      </c>
      <c r="K292" s="128">
        <v>97.44</v>
      </c>
      <c r="L292" s="128">
        <v>814777.2</v>
      </c>
      <c r="M292" s="128">
        <v>520329.6</v>
      </c>
      <c r="N292" s="128">
        <v>294447.6</v>
      </c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125" t="s">
        <v>475</v>
      </c>
      <c r="B293" s="125" t="s">
        <v>601</v>
      </c>
      <c r="C293" s="125" t="s">
        <v>468</v>
      </c>
      <c r="D293" s="125" t="s">
        <v>457</v>
      </c>
      <c r="E293" s="125" t="s">
        <v>284</v>
      </c>
      <c r="F293" s="126">
        <v>41708.0</v>
      </c>
      <c r="G293" s="127">
        <v>5.23E8</v>
      </c>
      <c r="H293" s="126">
        <v>41737.0</v>
      </c>
      <c r="I293" s="128">
        <v>846.0</v>
      </c>
      <c r="J293" s="128">
        <v>81.73</v>
      </c>
      <c r="K293" s="128">
        <v>56.67</v>
      </c>
      <c r="L293" s="128">
        <v>69143.58</v>
      </c>
      <c r="M293" s="128">
        <v>47942.82</v>
      </c>
      <c r="N293" s="128">
        <v>21200.76</v>
      </c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125" t="s">
        <v>475</v>
      </c>
      <c r="B294" s="125" t="s">
        <v>532</v>
      </c>
      <c r="C294" s="125" t="s">
        <v>494</v>
      </c>
      <c r="D294" s="125" t="s">
        <v>457</v>
      </c>
      <c r="E294" s="125" t="s">
        <v>189</v>
      </c>
      <c r="F294" s="126">
        <v>41960.0</v>
      </c>
      <c r="G294" s="127">
        <v>4.27E8</v>
      </c>
      <c r="H294" s="126">
        <v>42006.0</v>
      </c>
      <c r="I294" s="128">
        <v>6255.0</v>
      </c>
      <c r="J294" s="128">
        <v>9.33</v>
      </c>
      <c r="K294" s="128">
        <v>6.92</v>
      </c>
      <c r="L294" s="128">
        <v>58359.15</v>
      </c>
      <c r="M294" s="128">
        <v>43284.6</v>
      </c>
      <c r="N294" s="128">
        <v>15074.55</v>
      </c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125" t="s">
        <v>461</v>
      </c>
      <c r="B295" s="125" t="s">
        <v>618</v>
      </c>
      <c r="C295" s="125" t="s">
        <v>460</v>
      </c>
      <c r="D295" s="125" t="s">
        <v>457</v>
      </c>
      <c r="E295" s="125" t="s">
        <v>284</v>
      </c>
      <c r="F295" s="126">
        <v>42889.0</v>
      </c>
      <c r="G295" s="127">
        <v>8.09E8</v>
      </c>
      <c r="H295" s="126">
        <v>42931.0</v>
      </c>
      <c r="I295" s="128">
        <v>7197.0</v>
      </c>
      <c r="J295" s="128">
        <v>47.45</v>
      </c>
      <c r="K295" s="128">
        <v>31.79</v>
      </c>
      <c r="L295" s="128">
        <v>341497.7</v>
      </c>
      <c r="M295" s="128">
        <v>228792.6</v>
      </c>
      <c r="N295" s="128">
        <v>112705.0</v>
      </c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125" t="s">
        <v>475</v>
      </c>
      <c r="B296" s="125" t="s">
        <v>619</v>
      </c>
      <c r="C296" s="125" t="s">
        <v>485</v>
      </c>
      <c r="D296" s="125" t="s">
        <v>457</v>
      </c>
      <c r="E296" s="125" t="s">
        <v>464</v>
      </c>
      <c r="F296" s="126">
        <v>40884.0</v>
      </c>
      <c r="G296" s="127">
        <v>2.44E8</v>
      </c>
      <c r="H296" s="126">
        <v>40915.0</v>
      </c>
      <c r="I296" s="128">
        <v>1334.0</v>
      </c>
      <c r="J296" s="128">
        <v>421.89</v>
      </c>
      <c r="K296" s="128">
        <v>364.69</v>
      </c>
      <c r="L296" s="128">
        <v>562801.3</v>
      </c>
      <c r="M296" s="128">
        <v>486496.5</v>
      </c>
      <c r="N296" s="128">
        <v>76304.8</v>
      </c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125" t="s">
        <v>451</v>
      </c>
      <c r="B297" s="125" t="s">
        <v>620</v>
      </c>
      <c r="C297" s="125" t="s">
        <v>494</v>
      </c>
      <c r="D297" s="125" t="s">
        <v>457</v>
      </c>
      <c r="E297" s="125" t="s">
        <v>464</v>
      </c>
      <c r="F297" s="126">
        <v>42401.0</v>
      </c>
      <c r="G297" s="127">
        <v>9.8E8</v>
      </c>
      <c r="H297" s="126">
        <v>42415.0</v>
      </c>
      <c r="I297" s="128">
        <v>3357.0</v>
      </c>
      <c r="J297" s="128">
        <v>9.33</v>
      </c>
      <c r="K297" s="128">
        <v>6.92</v>
      </c>
      <c r="L297" s="128">
        <v>31320.81</v>
      </c>
      <c r="M297" s="128">
        <v>23230.44</v>
      </c>
      <c r="N297" s="128">
        <v>8090.37</v>
      </c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125" t="s">
        <v>469</v>
      </c>
      <c r="B298" s="125" t="s">
        <v>520</v>
      </c>
      <c r="C298" s="125" t="s">
        <v>460</v>
      </c>
      <c r="D298" s="125" t="s">
        <v>454</v>
      </c>
      <c r="E298" s="125" t="s">
        <v>189</v>
      </c>
      <c r="F298" s="126">
        <v>40457.0</v>
      </c>
      <c r="G298" s="127">
        <v>3.84E8</v>
      </c>
      <c r="H298" s="126">
        <v>40461.0</v>
      </c>
      <c r="I298" s="128">
        <v>9990.0</v>
      </c>
      <c r="J298" s="128">
        <v>47.45</v>
      </c>
      <c r="K298" s="128">
        <v>31.79</v>
      </c>
      <c r="L298" s="128">
        <v>474025.5</v>
      </c>
      <c r="M298" s="128">
        <v>317582.1</v>
      </c>
      <c r="N298" s="128">
        <v>156443.4</v>
      </c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125" t="s">
        <v>458</v>
      </c>
      <c r="B299" s="125" t="s">
        <v>517</v>
      </c>
      <c r="C299" s="125" t="s">
        <v>506</v>
      </c>
      <c r="D299" s="125" t="s">
        <v>457</v>
      </c>
      <c r="E299" s="125" t="s">
        <v>284</v>
      </c>
      <c r="F299" s="126">
        <v>40903.0</v>
      </c>
      <c r="G299" s="127">
        <v>3.94E8</v>
      </c>
      <c r="H299" s="126">
        <v>40906.0</v>
      </c>
      <c r="I299" s="128">
        <v>4988.0</v>
      </c>
      <c r="J299" s="128">
        <v>154.06</v>
      </c>
      <c r="K299" s="128">
        <v>90.93</v>
      </c>
      <c r="L299" s="128">
        <v>768451.3</v>
      </c>
      <c r="M299" s="128">
        <v>453558.8</v>
      </c>
      <c r="N299" s="128">
        <v>314892.4</v>
      </c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125" t="s">
        <v>469</v>
      </c>
      <c r="B300" s="125" t="s">
        <v>470</v>
      </c>
      <c r="C300" s="125" t="s">
        <v>480</v>
      </c>
      <c r="D300" s="125" t="s">
        <v>454</v>
      </c>
      <c r="E300" s="125" t="s">
        <v>464</v>
      </c>
      <c r="F300" s="126">
        <v>41682.0</v>
      </c>
      <c r="G300" s="127">
        <v>7.67E8</v>
      </c>
      <c r="H300" s="126">
        <v>41709.0</v>
      </c>
      <c r="I300" s="128">
        <v>4137.0</v>
      </c>
      <c r="J300" s="128">
        <v>437.2</v>
      </c>
      <c r="K300" s="128">
        <v>263.33</v>
      </c>
      <c r="L300" s="128">
        <v>1808696.0</v>
      </c>
      <c r="M300" s="128">
        <v>1089396.0</v>
      </c>
      <c r="N300" s="128">
        <v>719300.2</v>
      </c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125" t="s">
        <v>475</v>
      </c>
      <c r="B301" s="125" t="s">
        <v>619</v>
      </c>
      <c r="C301" s="125" t="s">
        <v>494</v>
      </c>
      <c r="D301" s="125" t="s">
        <v>454</v>
      </c>
      <c r="E301" s="125" t="s">
        <v>464</v>
      </c>
      <c r="F301" s="126">
        <v>42511.0</v>
      </c>
      <c r="G301" s="127">
        <v>4.32E8</v>
      </c>
      <c r="H301" s="126">
        <v>42540.0</v>
      </c>
      <c r="I301" s="128">
        <v>254.0</v>
      </c>
      <c r="J301" s="128">
        <v>9.33</v>
      </c>
      <c r="K301" s="128">
        <v>6.92</v>
      </c>
      <c r="L301" s="128">
        <v>2369.82</v>
      </c>
      <c r="M301" s="128">
        <v>1757.68</v>
      </c>
      <c r="N301" s="128">
        <v>612.14</v>
      </c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125" t="s">
        <v>461</v>
      </c>
      <c r="B302" s="125" t="s">
        <v>621</v>
      </c>
      <c r="C302" s="125" t="s">
        <v>463</v>
      </c>
      <c r="D302" s="125" t="s">
        <v>454</v>
      </c>
      <c r="E302" s="125" t="s">
        <v>464</v>
      </c>
      <c r="F302" s="126">
        <v>40726.0</v>
      </c>
      <c r="G302" s="127">
        <v>6.36E8</v>
      </c>
      <c r="H302" s="126">
        <v>40752.0</v>
      </c>
      <c r="I302" s="128">
        <v>8189.0</v>
      </c>
      <c r="J302" s="128">
        <v>205.7</v>
      </c>
      <c r="K302" s="128">
        <v>117.11</v>
      </c>
      <c r="L302" s="128">
        <v>1684477.0</v>
      </c>
      <c r="M302" s="128">
        <v>959013.8</v>
      </c>
      <c r="N302" s="128">
        <v>725463.5</v>
      </c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125" t="s">
        <v>458</v>
      </c>
      <c r="B303" s="125" t="s">
        <v>582</v>
      </c>
      <c r="C303" s="125" t="s">
        <v>494</v>
      </c>
      <c r="D303" s="125" t="s">
        <v>454</v>
      </c>
      <c r="E303" s="125" t="s">
        <v>284</v>
      </c>
      <c r="F303" s="126">
        <v>40970.0</v>
      </c>
      <c r="G303" s="127">
        <v>9.0E8</v>
      </c>
      <c r="H303" s="126">
        <v>40994.0</v>
      </c>
      <c r="I303" s="128">
        <v>9821.0</v>
      </c>
      <c r="J303" s="128">
        <v>9.33</v>
      </c>
      <c r="K303" s="128">
        <v>6.92</v>
      </c>
      <c r="L303" s="128">
        <v>91629.93</v>
      </c>
      <c r="M303" s="128">
        <v>67961.32</v>
      </c>
      <c r="N303" s="128">
        <v>23668.61</v>
      </c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125" t="s">
        <v>458</v>
      </c>
      <c r="B304" s="125" t="s">
        <v>622</v>
      </c>
      <c r="C304" s="125" t="s">
        <v>453</v>
      </c>
      <c r="D304" s="125" t="s">
        <v>457</v>
      </c>
      <c r="E304" s="125" t="s">
        <v>464</v>
      </c>
      <c r="F304" s="126">
        <v>42741.0</v>
      </c>
      <c r="G304" s="127">
        <v>3.61E8</v>
      </c>
      <c r="H304" s="126">
        <v>42781.0</v>
      </c>
      <c r="I304" s="128">
        <v>9061.0</v>
      </c>
      <c r="J304" s="128">
        <v>255.28</v>
      </c>
      <c r="K304" s="128">
        <v>159.42</v>
      </c>
      <c r="L304" s="128">
        <v>2313092.0</v>
      </c>
      <c r="M304" s="128">
        <v>1444505.0</v>
      </c>
      <c r="N304" s="128">
        <v>868587.5</v>
      </c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125" t="s">
        <v>458</v>
      </c>
      <c r="B305" s="125" t="s">
        <v>583</v>
      </c>
      <c r="C305" s="125" t="s">
        <v>460</v>
      </c>
      <c r="D305" s="125" t="s">
        <v>454</v>
      </c>
      <c r="E305" s="125" t="s">
        <v>464</v>
      </c>
      <c r="F305" s="126">
        <v>41779.0</v>
      </c>
      <c r="G305" s="127">
        <v>9.3E8</v>
      </c>
      <c r="H305" s="126">
        <v>41811.0</v>
      </c>
      <c r="I305" s="128">
        <v>6852.0</v>
      </c>
      <c r="J305" s="128">
        <v>47.45</v>
      </c>
      <c r="K305" s="128">
        <v>31.79</v>
      </c>
      <c r="L305" s="128">
        <v>325127.4</v>
      </c>
      <c r="M305" s="128">
        <v>217825.1</v>
      </c>
      <c r="N305" s="128">
        <v>107302.3</v>
      </c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125" t="s">
        <v>451</v>
      </c>
      <c r="B306" s="125" t="s">
        <v>482</v>
      </c>
      <c r="C306" s="125" t="s">
        <v>463</v>
      </c>
      <c r="D306" s="125" t="s">
        <v>454</v>
      </c>
      <c r="E306" s="125" t="s">
        <v>464</v>
      </c>
      <c r="F306" s="126">
        <v>42509.0</v>
      </c>
      <c r="G306" s="127">
        <v>5.36E8</v>
      </c>
      <c r="H306" s="126">
        <v>42528.0</v>
      </c>
      <c r="I306" s="128">
        <v>6167.0</v>
      </c>
      <c r="J306" s="128">
        <v>205.7</v>
      </c>
      <c r="K306" s="128">
        <v>117.11</v>
      </c>
      <c r="L306" s="128">
        <v>1268552.0</v>
      </c>
      <c r="M306" s="128">
        <v>722217.4</v>
      </c>
      <c r="N306" s="128">
        <v>546334.5</v>
      </c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125" t="s">
        <v>475</v>
      </c>
      <c r="B307" s="125" t="s">
        <v>575</v>
      </c>
      <c r="C307" s="125" t="s">
        <v>456</v>
      </c>
      <c r="D307" s="125" t="s">
        <v>454</v>
      </c>
      <c r="E307" s="125" t="s">
        <v>189</v>
      </c>
      <c r="F307" s="126">
        <v>42831.0</v>
      </c>
      <c r="G307" s="127">
        <v>7.79E8</v>
      </c>
      <c r="H307" s="126">
        <v>42842.0</v>
      </c>
      <c r="I307" s="128">
        <v>7011.0</v>
      </c>
      <c r="J307" s="128">
        <v>152.58</v>
      </c>
      <c r="K307" s="128">
        <v>97.44</v>
      </c>
      <c r="L307" s="128">
        <v>1069738.0</v>
      </c>
      <c r="M307" s="128">
        <v>683151.8</v>
      </c>
      <c r="N307" s="128">
        <v>386586.5</v>
      </c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125" t="s">
        <v>458</v>
      </c>
      <c r="B308" s="125" t="s">
        <v>487</v>
      </c>
      <c r="C308" s="125" t="s">
        <v>480</v>
      </c>
      <c r="D308" s="125" t="s">
        <v>454</v>
      </c>
      <c r="E308" s="125" t="s">
        <v>284</v>
      </c>
      <c r="F308" s="126">
        <v>41034.0</v>
      </c>
      <c r="G308" s="127">
        <v>1.8E8</v>
      </c>
      <c r="H308" s="126">
        <v>41062.0</v>
      </c>
      <c r="I308" s="128">
        <v>1420.0</v>
      </c>
      <c r="J308" s="128">
        <v>437.2</v>
      </c>
      <c r="K308" s="128">
        <v>263.33</v>
      </c>
      <c r="L308" s="128">
        <v>620824.0</v>
      </c>
      <c r="M308" s="128">
        <v>373928.6</v>
      </c>
      <c r="N308" s="128">
        <v>246895.4</v>
      </c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125" t="s">
        <v>461</v>
      </c>
      <c r="B309" s="125" t="s">
        <v>539</v>
      </c>
      <c r="C309" s="125" t="s">
        <v>506</v>
      </c>
      <c r="D309" s="125" t="s">
        <v>454</v>
      </c>
      <c r="E309" s="125" t="s">
        <v>472</v>
      </c>
      <c r="F309" s="126">
        <v>42711.0</v>
      </c>
      <c r="G309" s="127">
        <v>9.29E8</v>
      </c>
      <c r="H309" s="126">
        <v>42742.0</v>
      </c>
      <c r="I309" s="128">
        <v>8461.0</v>
      </c>
      <c r="J309" s="128">
        <v>154.06</v>
      </c>
      <c r="K309" s="128">
        <v>90.93</v>
      </c>
      <c r="L309" s="128">
        <v>1303502.0</v>
      </c>
      <c r="M309" s="128">
        <v>769358.7</v>
      </c>
      <c r="N309" s="128">
        <v>534142.9</v>
      </c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125" t="s">
        <v>475</v>
      </c>
      <c r="B310" s="125" t="s">
        <v>623</v>
      </c>
      <c r="C310" s="125" t="s">
        <v>453</v>
      </c>
      <c r="D310" s="125" t="s">
        <v>457</v>
      </c>
      <c r="E310" s="125" t="s">
        <v>472</v>
      </c>
      <c r="F310" s="126">
        <v>42780.0</v>
      </c>
      <c r="G310" s="127">
        <v>3.37E8</v>
      </c>
      <c r="H310" s="126">
        <v>42822.0</v>
      </c>
      <c r="I310" s="128">
        <v>9234.0</v>
      </c>
      <c r="J310" s="128">
        <v>255.28</v>
      </c>
      <c r="K310" s="128">
        <v>159.42</v>
      </c>
      <c r="L310" s="128">
        <v>2357256.0</v>
      </c>
      <c r="M310" s="128">
        <v>1472084.0</v>
      </c>
      <c r="N310" s="128">
        <v>885171.2</v>
      </c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125" t="s">
        <v>469</v>
      </c>
      <c r="B311" s="125" t="s">
        <v>503</v>
      </c>
      <c r="C311" s="125" t="s">
        <v>506</v>
      </c>
      <c r="D311" s="125" t="s">
        <v>454</v>
      </c>
      <c r="E311" s="125" t="s">
        <v>284</v>
      </c>
      <c r="F311" s="126">
        <v>40696.0</v>
      </c>
      <c r="G311" s="127">
        <v>2.85E8</v>
      </c>
      <c r="H311" s="126">
        <v>40719.0</v>
      </c>
      <c r="I311" s="128">
        <v>1869.0</v>
      </c>
      <c r="J311" s="128">
        <v>154.06</v>
      </c>
      <c r="K311" s="128">
        <v>90.93</v>
      </c>
      <c r="L311" s="128">
        <v>287938.1</v>
      </c>
      <c r="M311" s="128">
        <v>169948.2</v>
      </c>
      <c r="N311" s="128">
        <v>117990.0</v>
      </c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125" t="s">
        <v>466</v>
      </c>
      <c r="B312" s="125" t="s">
        <v>467</v>
      </c>
      <c r="C312" s="125" t="s">
        <v>453</v>
      </c>
      <c r="D312" s="125" t="s">
        <v>457</v>
      </c>
      <c r="E312" s="125" t="s">
        <v>189</v>
      </c>
      <c r="F312" s="126">
        <v>41835.0</v>
      </c>
      <c r="G312" s="127">
        <v>4.76E8</v>
      </c>
      <c r="H312" s="126">
        <v>41885.0</v>
      </c>
      <c r="I312" s="128">
        <v>6525.0</v>
      </c>
      <c r="J312" s="128">
        <v>255.28</v>
      </c>
      <c r="K312" s="128">
        <v>159.42</v>
      </c>
      <c r="L312" s="128">
        <v>1665702.0</v>
      </c>
      <c r="M312" s="128">
        <v>1040216.0</v>
      </c>
      <c r="N312" s="128">
        <v>625486.5</v>
      </c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125" t="s">
        <v>466</v>
      </c>
      <c r="B313" s="125" t="s">
        <v>524</v>
      </c>
      <c r="C313" s="125" t="s">
        <v>471</v>
      </c>
      <c r="D313" s="125" t="s">
        <v>457</v>
      </c>
      <c r="E313" s="125" t="s">
        <v>464</v>
      </c>
      <c r="F313" s="126">
        <v>42283.0</v>
      </c>
      <c r="G313" s="127">
        <v>6.8E8</v>
      </c>
      <c r="H313" s="126">
        <v>42316.0</v>
      </c>
      <c r="I313" s="128">
        <v>396.0</v>
      </c>
      <c r="J313" s="128">
        <v>109.28</v>
      </c>
      <c r="K313" s="128">
        <v>35.84</v>
      </c>
      <c r="L313" s="128">
        <v>43274.88</v>
      </c>
      <c r="M313" s="128">
        <v>14192.64</v>
      </c>
      <c r="N313" s="128">
        <v>29082.24</v>
      </c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125" t="s">
        <v>458</v>
      </c>
      <c r="B314" s="125" t="s">
        <v>473</v>
      </c>
      <c r="C314" s="125" t="s">
        <v>494</v>
      </c>
      <c r="D314" s="125" t="s">
        <v>454</v>
      </c>
      <c r="E314" s="125" t="s">
        <v>472</v>
      </c>
      <c r="F314" s="126">
        <v>41279.0</v>
      </c>
      <c r="G314" s="127">
        <v>2.91E8</v>
      </c>
      <c r="H314" s="126">
        <v>41280.0</v>
      </c>
      <c r="I314" s="128">
        <v>2705.0</v>
      </c>
      <c r="J314" s="128">
        <v>9.33</v>
      </c>
      <c r="K314" s="128">
        <v>6.92</v>
      </c>
      <c r="L314" s="128">
        <v>25237.65</v>
      </c>
      <c r="M314" s="128">
        <v>18718.6</v>
      </c>
      <c r="N314" s="128">
        <v>6519.05</v>
      </c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125" t="s">
        <v>466</v>
      </c>
      <c r="B315" s="125" t="s">
        <v>535</v>
      </c>
      <c r="C315" s="125" t="s">
        <v>453</v>
      </c>
      <c r="D315" s="125" t="s">
        <v>457</v>
      </c>
      <c r="E315" s="125" t="s">
        <v>464</v>
      </c>
      <c r="F315" s="126">
        <v>42601.0</v>
      </c>
      <c r="G315" s="127">
        <v>5.71E8</v>
      </c>
      <c r="H315" s="126">
        <v>42619.0</v>
      </c>
      <c r="I315" s="128">
        <v>9707.0</v>
      </c>
      <c r="J315" s="128">
        <v>255.28</v>
      </c>
      <c r="K315" s="128">
        <v>159.42</v>
      </c>
      <c r="L315" s="128">
        <v>2478003.0</v>
      </c>
      <c r="M315" s="128">
        <v>1547490.0</v>
      </c>
      <c r="N315" s="128">
        <v>930513.0</v>
      </c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125" t="s">
        <v>458</v>
      </c>
      <c r="B316" s="125" t="s">
        <v>533</v>
      </c>
      <c r="C316" s="125" t="s">
        <v>468</v>
      </c>
      <c r="D316" s="125" t="s">
        <v>454</v>
      </c>
      <c r="E316" s="125" t="s">
        <v>464</v>
      </c>
      <c r="F316" s="126">
        <v>42118.0</v>
      </c>
      <c r="G316" s="127">
        <v>6.02E8</v>
      </c>
      <c r="H316" s="126">
        <v>42129.0</v>
      </c>
      <c r="I316" s="128">
        <v>9689.0</v>
      </c>
      <c r="J316" s="128">
        <v>81.73</v>
      </c>
      <c r="K316" s="128">
        <v>56.67</v>
      </c>
      <c r="L316" s="128">
        <v>791882.0</v>
      </c>
      <c r="M316" s="128">
        <v>549075.6</v>
      </c>
      <c r="N316" s="128">
        <v>242806.3</v>
      </c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125" t="s">
        <v>466</v>
      </c>
      <c r="B317" s="125" t="s">
        <v>484</v>
      </c>
      <c r="C317" s="125" t="s">
        <v>485</v>
      </c>
      <c r="D317" s="125" t="s">
        <v>454</v>
      </c>
      <c r="E317" s="125" t="s">
        <v>189</v>
      </c>
      <c r="F317" s="126">
        <v>40235.0</v>
      </c>
      <c r="G317" s="127">
        <v>4.39E8</v>
      </c>
      <c r="H317" s="126">
        <v>40282.0</v>
      </c>
      <c r="I317" s="128">
        <v>7967.0</v>
      </c>
      <c r="J317" s="128">
        <v>421.89</v>
      </c>
      <c r="K317" s="128">
        <v>364.69</v>
      </c>
      <c r="L317" s="128">
        <v>3361198.0</v>
      </c>
      <c r="M317" s="128">
        <v>2905485.0</v>
      </c>
      <c r="N317" s="128">
        <v>455712.4</v>
      </c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125" t="s">
        <v>458</v>
      </c>
      <c r="B318" s="125" t="s">
        <v>594</v>
      </c>
      <c r="C318" s="125" t="s">
        <v>456</v>
      </c>
      <c r="D318" s="125" t="s">
        <v>454</v>
      </c>
      <c r="E318" s="125" t="s">
        <v>472</v>
      </c>
      <c r="F318" s="126">
        <v>40514.0</v>
      </c>
      <c r="G318" s="127">
        <v>6.53E8</v>
      </c>
      <c r="H318" s="126">
        <v>40519.0</v>
      </c>
      <c r="I318" s="128">
        <v>1891.0</v>
      </c>
      <c r="J318" s="128">
        <v>152.58</v>
      </c>
      <c r="K318" s="128">
        <v>97.44</v>
      </c>
      <c r="L318" s="128">
        <v>288528.8</v>
      </c>
      <c r="M318" s="128">
        <v>184259.0</v>
      </c>
      <c r="N318" s="128">
        <v>104269.7</v>
      </c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125" t="s">
        <v>469</v>
      </c>
      <c r="B319" s="125" t="s">
        <v>520</v>
      </c>
      <c r="C319" s="125" t="s">
        <v>463</v>
      </c>
      <c r="D319" s="125" t="s">
        <v>457</v>
      </c>
      <c r="E319" s="125" t="s">
        <v>284</v>
      </c>
      <c r="F319" s="126">
        <v>42758.0</v>
      </c>
      <c r="G319" s="127">
        <v>9.9E8</v>
      </c>
      <c r="H319" s="126">
        <v>42760.0</v>
      </c>
      <c r="I319" s="128">
        <v>5840.0</v>
      </c>
      <c r="J319" s="128">
        <v>205.7</v>
      </c>
      <c r="K319" s="128">
        <v>117.11</v>
      </c>
      <c r="L319" s="128">
        <v>1201288.0</v>
      </c>
      <c r="M319" s="128">
        <v>683922.4</v>
      </c>
      <c r="N319" s="128">
        <v>517365.6</v>
      </c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125" t="s">
        <v>458</v>
      </c>
      <c r="B320" s="125" t="s">
        <v>554</v>
      </c>
      <c r="C320" s="125" t="s">
        <v>494</v>
      </c>
      <c r="D320" s="125" t="s">
        <v>457</v>
      </c>
      <c r="E320" s="125" t="s">
        <v>189</v>
      </c>
      <c r="F320" s="126">
        <v>41623.0</v>
      </c>
      <c r="G320" s="127">
        <v>8.13E8</v>
      </c>
      <c r="H320" s="126">
        <v>41644.0</v>
      </c>
      <c r="I320" s="128">
        <v>6225.0</v>
      </c>
      <c r="J320" s="128">
        <v>9.33</v>
      </c>
      <c r="K320" s="128">
        <v>6.92</v>
      </c>
      <c r="L320" s="128">
        <v>58079.25</v>
      </c>
      <c r="M320" s="128">
        <v>43077.0</v>
      </c>
      <c r="N320" s="128">
        <v>15002.25</v>
      </c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125" t="s">
        <v>458</v>
      </c>
      <c r="B321" s="125" t="s">
        <v>613</v>
      </c>
      <c r="C321" s="125" t="s">
        <v>468</v>
      </c>
      <c r="D321" s="125" t="s">
        <v>454</v>
      </c>
      <c r="E321" s="125" t="s">
        <v>464</v>
      </c>
      <c r="F321" s="126">
        <v>41839.0</v>
      </c>
      <c r="G321" s="127">
        <v>4.56E8</v>
      </c>
      <c r="H321" s="126">
        <v>41869.0</v>
      </c>
      <c r="I321" s="128">
        <v>6489.0</v>
      </c>
      <c r="J321" s="128">
        <v>81.73</v>
      </c>
      <c r="K321" s="128">
        <v>56.67</v>
      </c>
      <c r="L321" s="128">
        <v>530346.0</v>
      </c>
      <c r="M321" s="128">
        <v>367731.6</v>
      </c>
      <c r="N321" s="128">
        <v>162614.3</v>
      </c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125" t="s">
        <v>466</v>
      </c>
      <c r="B322" s="125" t="s">
        <v>484</v>
      </c>
      <c r="C322" s="125" t="s">
        <v>463</v>
      </c>
      <c r="D322" s="125" t="s">
        <v>454</v>
      </c>
      <c r="E322" s="125" t="s">
        <v>464</v>
      </c>
      <c r="F322" s="126">
        <v>40226.0</v>
      </c>
      <c r="G322" s="127">
        <v>7.75E8</v>
      </c>
      <c r="H322" s="126">
        <v>40237.0</v>
      </c>
      <c r="I322" s="128">
        <v>2105.0</v>
      </c>
      <c r="J322" s="128">
        <v>205.7</v>
      </c>
      <c r="K322" s="128">
        <v>117.11</v>
      </c>
      <c r="L322" s="128">
        <v>432998.5</v>
      </c>
      <c r="M322" s="128">
        <v>246516.6</v>
      </c>
      <c r="N322" s="128">
        <v>186482.0</v>
      </c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125" t="s">
        <v>475</v>
      </c>
      <c r="B323" s="125" t="s">
        <v>602</v>
      </c>
      <c r="C323" s="125" t="s">
        <v>514</v>
      </c>
      <c r="D323" s="125" t="s">
        <v>457</v>
      </c>
      <c r="E323" s="125" t="s">
        <v>189</v>
      </c>
      <c r="F323" s="126">
        <v>40905.0</v>
      </c>
      <c r="G323" s="127">
        <v>8.95E8</v>
      </c>
      <c r="H323" s="126">
        <v>40941.0</v>
      </c>
      <c r="I323" s="128">
        <v>5578.0</v>
      </c>
      <c r="J323" s="128">
        <v>668.27</v>
      </c>
      <c r="K323" s="128">
        <v>502.54</v>
      </c>
      <c r="L323" s="128">
        <v>3727610.0</v>
      </c>
      <c r="M323" s="128">
        <v>2803168.0</v>
      </c>
      <c r="N323" s="128">
        <v>924441.9</v>
      </c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125" t="s">
        <v>475</v>
      </c>
      <c r="B324" s="125" t="s">
        <v>558</v>
      </c>
      <c r="C324" s="125" t="s">
        <v>480</v>
      </c>
      <c r="D324" s="125" t="s">
        <v>457</v>
      </c>
      <c r="E324" s="125" t="s">
        <v>472</v>
      </c>
      <c r="F324" s="126">
        <v>42858.0</v>
      </c>
      <c r="G324" s="127">
        <v>4.6E8</v>
      </c>
      <c r="H324" s="126">
        <v>42896.0</v>
      </c>
      <c r="I324" s="128">
        <v>1445.0</v>
      </c>
      <c r="J324" s="128">
        <v>437.2</v>
      </c>
      <c r="K324" s="128">
        <v>263.33</v>
      </c>
      <c r="L324" s="128">
        <v>631754.0</v>
      </c>
      <c r="M324" s="128">
        <v>380511.9</v>
      </c>
      <c r="N324" s="128">
        <v>251242.2</v>
      </c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125" t="s">
        <v>458</v>
      </c>
      <c r="B325" s="125" t="s">
        <v>594</v>
      </c>
      <c r="C325" s="125" t="s">
        <v>485</v>
      </c>
      <c r="D325" s="125" t="s">
        <v>457</v>
      </c>
      <c r="E325" s="125" t="s">
        <v>472</v>
      </c>
      <c r="F325" s="126">
        <v>41305.0</v>
      </c>
      <c r="G325" s="127">
        <v>9.86E8</v>
      </c>
      <c r="H325" s="126">
        <v>41346.0</v>
      </c>
      <c r="I325" s="128">
        <v>1272.0</v>
      </c>
      <c r="J325" s="128">
        <v>421.89</v>
      </c>
      <c r="K325" s="128">
        <v>364.69</v>
      </c>
      <c r="L325" s="128">
        <v>536644.1</v>
      </c>
      <c r="M325" s="128">
        <v>463885.7</v>
      </c>
      <c r="N325" s="128">
        <v>72758.4</v>
      </c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125" t="s">
        <v>458</v>
      </c>
      <c r="B326" s="125" t="s">
        <v>610</v>
      </c>
      <c r="C326" s="125" t="s">
        <v>480</v>
      </c>
      <c r="D326" s="125" t="s">
        <v>454</v>
      </c>
      <c r="E326" s="125" t="s">
        <v>464</v>
      </c>
      <c r="F326" s="126">
        <v>42919.0</v>
      </c>
      <c r="G326" s="127">
        <v>9.11E8</v>
      </c>
      <c r="H326" s="126">
        <v>42947.0</v>
      </c>
      <c r="I326" s="128">
        <v>8659.0</v>
      </c>
      <c r="J326" s="128">
        <v>437.2</v>
      </c>
      <c r="K326" s="128">
        <v>263.33</v>
      </c>
      <c r="L326" s="128">
        <v>3785715.0</v>
      </c>
      <c r="M326" s="128">
        <v>2280174.0</v>
      </c>
      <c r="N326" s="128">
        <v>1505540.0</v>
      </c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125" t="s">
        <v>475</v>
      </c>
      <c r="B327" s="125" t="s">
        <v>591</v>
      </c>
      <c r="C327" s="125" t="s">
        <v>463</v>
      </c>
      <c r="D327" s="125" t="s">
        <v>457</v>
      </c>
      <c r="E327" s="125" t="s">
        <v>472</v>
      </c>
      <c r="F327" s="126">
        <v>42316.0</v>
      </c>
      <c r="G327" s="127">
        <v>5.39E8</v>
      </c>
      <c r="H327" s="126">
        <v>42341.0</v>
      </c>
      <c r="I327" s="128">
        <v>4235.0</v>
      </c>
      <c r="J327" s="128">
        <v>205.7</v>
      </c>
      <c r="K327" s="128">
        <v>117.11</v>
      </c>
      <c r="L327" s="128">
        <v>871139.5</v>
      </c>
      <c r="M327" s="128">
        <v>495960.9</v>
      </c>
      <c r="N327" s="128">
        <v>375178.7</v>
      </c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125" t="s">
        <v>458</v>
      </c>
      <c r="B328" s="125" t="s">
        <v>563</v>
      </c>
      <c r="C328" s="125" t="s">
        <v>485</v>
      </c>
      <c r="D328" s="125" t="s">
        <v>454</v>
      </c>
      <c r="E328" s="125" t="s">
        <v>189</v>
      </c>
      <c r="F328" s="126">
        <v>42797.0</v>
      </c>
      <c r="G328" s="127">
        <v>6.97E8</v>
      </c>
      <c r="H328" s="126">
        <v>42816.0</v>
      </c>
      <c r="I328" s="128">
        <v>661.0</v>
      </c>
      <c r="J328" s="128">
        <v>421.89</v>
      </c>
      <c r="K328" s="128">
        <v>364.69</v>
      </c>
      <c r="L328" s="128">
        <v>278869.3</v>
      </c>
      <c r="M328" s="128">
        <v>241060.1</v>
      </c>
      <c r="N328" s="128">
        <v>37809.2</v>
      </c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125" t="s">
        <v>466</v>
      </c>
      <c r="B329" s="125" t="s">
        <v>607</v>
      </c>
      <c r="C329" s="125" t="s">
        <v>494</v>
      </c>
      <c r="D329" s="125" t="s">
        <v>454</v>
      </c>
      <c r="E329" s="125" t="s">
        <v>472</v>
      </c>
      <c r="F329" s="126">
        <v>41139.0</v>
      </c>
      <c r="G329" s="127">
        <v>4.82E8</v>
      </c>
      <c r="H329" s="126">
        <v>41174.0</v>
      </c>
      <c r="I329" s="128">
        <v>7630.0</v>
      </c>
      <c r="J329" s="128">
        <v>9.33</v>
      </c>
      <c r="K329" s="128">
        <v>6.92</v>
      </c>
      <c r="L329" s="128">
        <v>71187.9</v>
      </c>
      <c r="M329" s="128">
        <v>52799.6</v>
      </c>
      <c r="N329" s="128">
        <v>18388.3</v>
      </c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125" t="s">
        <v>451</v>
      </c>
      <c r="B330" s="125" t="s">
        <v>497</v>
      </c>
      <c r="C330" s="125" t="s">
        <v>478</v>
      </c>
      <c r="D330" s="125" t="s">
        <v>457</v>
      </c>
      <c r="E330" s="125" t="s">
        <v>464</v>
      </c>
      <c r="F330" s="126">
        <v>42805.0</v>
      </c>
      <c r="G330" s="127">
        <v>4.13E8</v>
      </c>
      <c r="H330" s="126">
        <v>42817.0</v>
      </c>
      <c r="I330" s="128">
        <v>6866.0</v>
      </c>
      <c r="J330" s="128">
        <v>651.21</v>
      </c>
      <c r="K330" s="128">
        <v>524.96</v>
      </c>
      <c r="L330" s="128">
        <v>4471208.0</v>
      </c>
      <c r="M330" s="128">
        <v>3604375.0</v>
      </c>
      <c r="N330" s="128">
        <v>866832.5</v>
      </c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125" t="s">
        <v>451</v>
      </c>
      <c r="B331" s="125" t="s">
        <v>587</v>
      </c>
      <c r="C331" s="125" t="s">
        <v>485</v>
      </c>
      <c r="D331" s="125" t="s">
        <v>457</v>
      </c>
      <c r="E331" s="125" t="s">
        <v>189</v>
      </c>
      <c r="F331" s="126">
        <v>41199.0</v>
      </c>
      <c r="G331" s="127">
        <v>1.75E8</v>
      </c>
      <c r="H331" s="126">
        <v>41227.0</v>
      </c>
      <c r="I331" s="128">
        <v>7123.0</v>
      </c>
      <c r="J331" s="128">
        <v>421.89</v>
      </c>
      <c r="K331" s="128">
        <v>364.69</v>
      </c>
      <c r="L331" s="128">
        <v>3005122.0</v>
      </c>
      <c r="M331" s="128">
        <v>2597687.0</v>
      </c>
      <c r="N331" s="128">
        <v>407435.6</v>
      </c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125" t="s">
        <v>466</v>
      </c>
      <c r="B332" s="125" t="s">
        <v>580</v>
      </c>
      <c r="C332" s="125" t="s">
        <v>468</v>
      </c>
      <c r="D332" s="125" t="s">
        <v>457</v>
      </c>
      <c r="E332" s="125" t="s">
        <v>464</v>
      </c>
      <c r="F332" s="126">
        <v>41181.0</v>
      </c>
      <c r="G332" s="127">
        <v>8.77E8</v>
      </c>
      <c r="H332" s="126">
        <v>41203.0</v>
      </c>
      <c r="I332" s="128">
        <v>9187.0</v>
      </c>
      <c r="J332" s="128">
        <v>81.73</v>
      </c>
      <c r="K332" s="128">
        <v>56.67</v>
      </c>
      <c r="L332" s="128">
        <v>750853.5</v>
      </c>
      <c r="M332" s="128">
        <v>520627.3</v>
      </c>
      <c r="N332" s="128">
        <v>230226.2</v>
      </c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125" t="s">
        <v>488</v>
      </c>
      <c r="B333" s="125" t="s">
        <v>577</v>
      </c>
      <c r="C333" s="125" t="s">
        <v>463</v>
      </c>
      <c r="D333" s="125" t="s">
        <v>457</v>
      </c>
      <c r="E333" s="125" t="s">
        <v>189</v>
      </c>
      <c r="F333" s="126">
        <v>41082.0</v>
      </c>
      <c r="G333" s="127">
        <v>9.97E8</v>
      </c>
      <c r="H333" s="126">
        <v>41105.0</v>
      </c>
      <c r="I333" s="128">
        <v>876.0</v>
      </c>
      <c r="J333" s="128">
        <v>205.7</v>
      </c>
      <c r="K333" s="128">
        <v>117.11</v>
      </c>
      <c r="L333" s="128">
        <v>180193.2</v>
      </c>
      <c r="M333" s="128">
        <v>102588.4</v>
      </c>
      <c r="N333" s="128">
        <v>77604.84</v>
      </c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125" t="s">
        <v>475</v>
      </c>
      <c r="B334" s="125" t="s">
        <v>604</v>
      </c>
      <c r="C334" s="125" t="s">
        <v>456</v>
      </c>
      <c r="D334" s="125" t="s">
        <v>457</v>
      </c>
      <c r="E334" s="125" t="s">
        <v>189</v>
      </c>
      <c r="F334" s="126">
        <v>42388.0</v>
      </c>
      <c r="G334" s="127">
        <v>4.34E8</v>
      </c>
      <c r="H334" s="126">
        <v>42411.0</v>
      </c>
      <c r="I334" s="128">
        <v>2038.0</v>
      </c>
      <c r="J334" s="128">
        <v>152.58</v>
      </c>
      <c r="K334" s="128">
        <v>97.44</v>
      </c>
      <c r="L334" s="128">
        <v>310958.0</v>
      </c>
      <c r="M334" s="128">
        <v>198582.7</v>
      </c>
      <c r="N334" s="128">
        <v>112375.3</v>
      </c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125" t="s">
        <v>451</v>
      </c>
      <c r="B335" s="125" t="s">
        <v>593</v>
      </c>
      <c r="C335" s="125" t="s">
        <v>463</v>
      </c>
      <c r="D335" s="125" t="s">
        <v>454</v>
      </c>
      <c r="E335" s="125" t="s">
        <v>284</v>
      </c>
      <c r="F335" s="126">
        <v>42828.0</v>
      </c>
      <c r="G335" s="127">
        <v>9.57E8</v>
      </c>
      <c r="H335" s="126">
        <v>42830.0</v>
      </c>
      <c r="I335" s="128">
        <v>9554.0</v>
      </c>
      <c r="J335" s="128">
        <v>205.7</v>
      </c>
      <c r="K335" s="128">
        <v>117.11</v>
      </c>
      <c r="L335" s="128">
        <v>1965258.0</v>
      </c>
      <c r="M335" s="128">
        <v>1118869.0</v>
      </c>
      <c r="N335" s="128">
        <v>846388.9</v>
      </c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125" t="s">
        <v>458</v>
      </c>
      <c r="B336" s="125" t="s">
        <v>459</v>
      </c>
      <c r="C336" s="125" t="s">
        <v>468</v>
      </c>
      <c r="D336" s="125" t="s">
        <v>454</v>
      </c>
      <c r="E336" s="125" t="s">
        <v>189</v>
      </c>
      <c r="F336" s="126">
        <v>40516.0</v>
      </c>
      <c r="G336" s="127">
        <v>3.53E8</v>
      </c>
      <c r="H336" s="126">
        <v>40520.0</v>
      </c>
      <c r="I336" s="128">
        <v>2334.0</v>
      </c>
      <c r="J336" s="128">
        <v>81.73</v>
      </c>
      <c r="K336" s="128">
        <v>56.67</v>
      </c>
      <c r="L336" s="128">
        <v>190757.8</v>
      </c>
      <c r="M336" s="128">
        <v>132267.8</v>
      </c>
      <c r="N336" s="128">
        <v>58490.04</v>
      </c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125" t="s">
        <v>475</v>
      </c>
      <c r="B337" s="125" t="s">
        <v>624</v>
      </c>
      <c r="C337" s="125" t="s">
        <v>506</v>
      </c>
      <c r="D337" s="125" t="s">
        <v>454</v>
      </c>
      <c r="E337" s="125" t="s">
        <v>472</v>
      </c>
      <c r="F337" s="126">
        <v>40874.0</v>
      </c>
      <c r="G337" s="127">
        <v>9.84E8</v>
      </c>
      <c r="H337" s="126">
        <v>40885.0</v>
      </c>
      <c r="I337" s="128">
        <v>6321.0</v>
      </c>
      <c r="J337" s="128">
        <v>154.06</v>
      </c>
      <c r="K337" s="128">
        <v>90.93</v>
      </c>
      <c r="L337" s="128">
        <v>973813.3</v>
      </c>
      <c r="M337" s="128">
        <v>574768.5</v>
      </c>
      <c r="N337" s="128">
        <v>399044.7</v>
      </c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125" t="s">
        <v>475</v>
      </c>
      <c r="B338" s="125" t="s">
        <v>521</v>
      </c>
      <c r="C338" s="125" t="s">
        <v>460</v>
      </c>
      <c r="D338" s="125" t="s">
        <v>457</v>
      </c>
      <c r="E338" s="125" t="s">
        <v>472</v>
      </c>
      <c r="F338" s="126">
        <v>41410.0</v>
      </c>
      <c r="G338" s="127">
        <v>3.29E8</v>
      </c>
      <c r="H338" s="126">
        <v>41427.0</v>
      </c>
      <c r="I338" s="128">
        <v>9488.0</v>
      </c>
      <c r="J338" s="128">
        <v>47.45</v>
      </c>
      <c r="K338" s="128">
        <v>31.79</v>
      </c>
      <c r="L338" s="128">
        <v>450205.6</v>
      </c>
      <c r="M338" s="128">
        <v>301623.5</v>
      </c>
      <c r="N338" s="128">
        <v>148582.1</v>
      </c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125" t="s">
        <v>466</v>
      </c>
      <c r="B339" s="125" t="s">
        <v>568</v>
      </c>
      <c r="C339" s="125" t="s">
        <v>480</v>
      </c>
      <c r="D339" s="125" t="s">
        <v>457</v>
      </c>
      <c r="E339" s="125" t="s">
        <v>284</v>
      </c>
      <c r="F339" s="126">
        <v>41410.0</v>
      </c>
      <c r="G339" s="127">
        <v>4.37E8</v>
      </c>
      <c r="H339" s="126">
        <v>41416.0</v>
      </c>
      <c r="I339" s="128">
        <v>6841.0</v>
      </c>
      <c r="J339" s="128">
        <v>437.2</v>
      </c>
      <c r="K339" s="128">
        <v>263.33</v>
      </c>
      <c r="L339" s="128">
        <v>2990885.0</v>
      </c>
      <c r="M339" s="128">
        <v>1801441.0</v>
      </c>
      <c r="N339" s="128">
        <v>1189445.0</v>
      </c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125" t="s">
        <v>466</v>
      </c>
      <c r="B340" s="125" t="s">
        <v>625</v>
      </c>
      <c r="C340" s="125" t="s">
        <v>514</v>
      </c>
      <c r="D340" s="125" t="s">
        <v>457</v>
      </c>
      <c r="E340" s="125" t="s">
        <v>189</v>
      </c>
      <c r="F340" s="126">
        <v>40544.0</v>
      </c>
      <c r="G340" s="127">
        <v>2.79E8</v>
      </c>
      <c r="H340" s="126">
        <v>40569.0</v>
      </c>
      <c r="I340" s="128">
        <v>5415.0</v>
      </c>
      <c r="J340" s="128">
        <v>668.27</v>
      </c>
      <c r="K340" s="128">
        <v>502.54</v>
      </c>
      <c r="L340" s="128">
        <v>3618682.0</v>
      </c>
      <c r="M340" s="128">
        <v>2721254.0</v>
      </c>
      <c r="N340" s="128">
        <v>897428.0</v>
      </c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125" t="s">
        <v>458</v>
      </c>
      <c r="B341" s="125" t="s">
        <v>626</v>
      </c>
      <c r="C341" s="125" t="s">
        <v>463</v>
      </c>
      <c r="D341" s="125" t="s">
        <v>454</v>
      </c>
      <c r="E341" s="125" t="s">
        <v>472</v>
      </c>
      <c r="F341" s="126">
        <v>40256.0</v>
      </c>
      <c r="G341" s="127">
        <v>6.96E8</v>
      </c>
      <c r="H341" s="126">
        <v>40263.0</v>
      </c>
      <c r="I341" s="128">
        <v>9278.0</v>
      </c>
      <c r="J341" s="128">
        <v>205.7</v>
      </c>
      <c r="K341" s="128">
        <v>117.11</v>
      </c>
      <c r="L341" s="128">
        <v>1908485.0</v>
      </c>
      <c r="M341" s="128">
        <v>1086547.0</v>
      </c>
      <c r="N341" s="128">
        <v>821938.0</v>
      </c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125" t="s">
        <v>488</v>
      </c>
      <c r="B342" s="125" t="s">
        <v>577</v>
      </c>
      <c r="C342" s="125" t="s">
        <v>514</v>
      </c>
      <c r="D342" s="125" t="s">
        <v>457</v>
      </c>
      <c r="E342" s="125" t="s">
        <v>189</v>
      </c>
      <c r="F342" s="126">
        <v>42378.0</v>
      </c>
      <c r="G342" s="127">
        <v>3.49E8</v>
      </c>
      <c r="H342" s="126">
        <v>42381.0</v>
      </c>
      <c r="I342" s="128">
        <v>4529.0</v>
      </c>
      <c r="J342" s="128">
        <v>668.27</v>
      </c>
      <c r="K342" s="128">
        <v>502.54</v>
      </c>
      <c r="L342" s="128">
        <v>3026595.0</v>
      </c>
      <c r="M342" s="128">
        <v>2276004.0</v>
      </c>
      <c r="N342" s="128">
        <v>750591.2</v>
      </c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125" t="s">
        <v>475</v>
      </c>
      <c r="B343" s="125" t="s">
        <v>605</v>
      </c>
      <c r="C343" s="125" t="s">
        <v>460</v>
      </c>
      <c r="D343" s="125" t="s">
        <v>457</v>
      </c>
      <c r="E343" s="125" t="s">
        <v>464</v>
      </c>
      <c r="F343" s="126">
        <v>42219.0</v>
      </c>
      <c r="G343" s="127">
        <v>6.69E8</v>
      </c>
      <c r="H343" s="126">
        <v>42267.0</v>
      </c>
      <c r="I343" s="128">
        <v>4297.0</v>
      </c>
      <c r="J343" s="128">
        <v>47.45</v>
      </c>
      <c r="K343" s="128">
        <v>31.79</v>
      </c>
      <c r="L343" s="128">
        <v>203892.7</v>
      </c>
      <c r="M343" s="128">
        <v>136601.6</v>
      </c>
      <c r="N343" s="128">
        <v>67291.02</v>
      </c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125" t="s">
        <v>458</v>
      </c>
      <c r="B344" s="125" t="s">
        <v>627</v>
      </c>
      <c r="C344" s="125" t="s">
        <v>480</v>
      </c>
      <c r="D344" s="125" t="s">
        <v>454</v>
      </c>
      <c r="E344" s="125" t="s">
        <v>284</v>
      </c>
      <c r="F344" s="126">
        <v>41004.0</v>
      </c>
      <c r="G344" s="127">
        <v>9.07E8</v>
      </c>
      <c r="H344" s="126">
        <v>41045.0</v>
      </c>
      <c r="I344" s="128">
        <v>3743.0</v>
      </c>
      <c r="J344" s="128">
        <v>437.2</v>
      </c>
      <c r="K344" s="128">
        <v>263.33</v>
      </c>
      <c r="L344" s="128">
        <v>1636440.0</v>
      </c>
      <c r="M344" s="128">
        <v>985644.2</v>
      </c>
      <c r="N344" s="128">
        <v>650795.4</v>
      </c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125" t="s">
        <v>458</v>
      </c>
      <c r="B345" s="125" t="s">
        <v>547</v>
      </c>
      <c r="C345" s="125" t="s">
        <v>468</v>
      </c>
      <c r="D345" s="125" t="s">
        <v>457</v>
      </c>
      <c r="E345" s="125" t="s">
        <v>284</v>
      </c>
      <c r="F345" s="126">
        <v>41734.0</v>
      </c>
      <c r="G345" s="127">
        <v>3.86E8</v>
      </c>
      <c r="H345" s="126">
        <v>41754.0</v>
      </c>
      <c r="I345" s="128">
        <v>5060.0</v>
      </c>
      <c r="J345" s="128">
        <v>81.73</v>
      </c>
      <c r="K345" s="128">
        <v>56.67</v>
      </c>
      <c r="L345" s="128">
        <v>413553.8</v>
      </c>
      <c r="M345" s="128">
        <v>286750.2</v>
      </c>
      <c r="N345" s="128">
        <v>126803.6</v>
      </c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125" t="s">
        <v>475</v>
      </c>
      <c r="B346" s="125" t="s">
        <v>575</v>
      </c>
      <c r="C346" s="125" t="s">
        <v>506</v>
      </c>
      <c r="D346" s="125" t="s">
        <v>457</v>
      </c>
      <c r="E346" s="125" t="s">
        <v>284</v>
      </c>
      <c r="F346" s="126">
        <v>42266.0</v>
      </c>
      <c r="G346" s="127">
        <v>7.48E8</v>
      </c>
      <c r="H346" s="126">
        <v>42304.0</v>
      </c>
      <c r="I346" s="128">
        <v>2472.0</v>
      </c>
      <c r="J346" s="128">
        <v>154.06</v>
      </c>
      <c r="K346" s="128">
        <v>90.93</v>
      </c>
      <c r="L346" s="128">
        <v>380836.3</v>
      </c>
      <c r="M346" s="128">
        <v>224779.0</v>
      </c>
      <c r="N346" s="128">
        <v>156057.4</v>
      </c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125" t="s">
        <v>451</v>
      </c>
      <c r="B347" s="125" t="s">
        <v>592</v>
      </c>
      <c r="C347" s="125" t="s">
        <v>468</v>
      </c>
      <c r="D347" s="125" t="s">
        <v>454</v>
      </c>
      <c r="E347" s="125" t="s">
        <v>464</v>
      </c>
      <c r="F347" s="126">
        <v>42228.0</v>
      </c>
      <c r="G347" s="127">
        <v>1.06E8</v>
      </c>
      <c r="H347" s="126">
        <v>42262.0</v>
      </c>
      <c r="I347" s="128">
        <v>7233.0</v>
      </c>
      <c r="J347" s="128">
        <v>81.73</v>
      </c>
      <c r="K347" s="128">
        <v>56.67</v>
      </c>
      <c r="L347" s="128">
        <v>591153.1</v>
      </c>
      <c r="M347" s="128">
        <v>409894.1</v>
      </c>
      <c r="N347" s="128">
        <v>181259.0</v>
      </c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125" t="s">
        <v>461</v>
      </c>
      <c r="B348" s="125" t="s">
        <v>465</v>
      </c>
      <c r="C348" s="125" t="s">
        <v>480</v>
      </c>
      <c r="D348" s="125" t="s">
        <v>457</v>
      </c>
      <c r="E348" s="125" t="s">
        <v>464</v>
      </c>
      <c r="F348" s="126">
        <v>41638.0</v>
      </c>
      <c r="G348" s="127">
        <v>6.91E8</v>
      </c>
      <c r="H348" s="126">
        <v>41647.0</v>
      </c>
      <c r="I348" s="128">
        <v>2630.0</v>
      </c>
      <c r="J348" s="128">
        <v>437.2</v>
      </c>
      <c r="K348" s="128">
        <v>263.33</v>
      </c>
      <c r="L348" s="128">
        <v>1149836.0</v>
      </c>
      <c r="M348" s="128">
        <v>692557.9</v>
      </c>
      <c r="N348" s="128">
        <v>457278.1</v>
      </c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125" t="s">
        <v>475</v>
      </c>
      <c r="B349" s="125" t="s">
        <v>602</v>
      </c>
      <c r="C349" s="125" t="s">
        <v>480</v>
      </c>
      <c r="D349" s="125" t="s">
        <v>457</v>
      </c>
      <c r="E349" s="125" t="s">
        <v>472</v>
      </c>
      <c r="F349" s="126">
        <v>42285.0</v>
      </c>
      <c r="G349" s="127">
        <v>3.08E8</v>
      </c>
      <c r="H349" s="126">
        <v>42292.0</v>
      </c>
      <c r="I349" s="128">
        <v>8980.0</v>
      </c>
      <c r="J349" s="128">
        <v>437.2</v>
      </c>
      <c r="K349" s="128">
        <v>263.33</v>
      </c>
      <c r="L349" s="128">
        <v>3926056.0</v>
      </c>
      <c r="M349" s="128">
        <v>2364703.0</v>
      </c>
      <c r="N349" s="128">
        <v>1561353.0</v>
      </c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125" t="s">
        <v>475</v>
      </c>
      <c r="B350" s="125" t="s">
        <v>548</v>
      </c>
      <c r="C350" s="125" t="s">
        <v>494</v>
      </c>
      <c r="D350" s="125" t="s">
        <v>457</v>
      </c>
      <c r="E350" s="125" t="s">
        <v>472</v>
      </c>
      <c r="F350" s="126">
        <v>40815.0</v>
      </c>
      <c r="G350" s="127">
        <v>8.8E8</v>
      </c>
      <c r="H350" s="126">
        <v>40846.0</v>
      </c>
      <c r="I350" s="128">
        <v>8631.0</v>
      </c>
      <c r="J350" s="128">
        <v>9.33</v>
      </c>
      <c r="K350" s="128">
        <v>6.92</v>
      </c>
      <c r="L350" s="128">
        <v>80527.23</v>
      </c>
      <c r="M350" s="128">
        <v>59726.52</v>
      </c>
      <c r="N350" s="128">
        <v>20800.71</v>
      </c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125" t="s">
        <v>458</v>
      </c>
      <c r="B351" s="125" t="s">
        <v>515</v>
      </c>
      <c r="C351" s="125" t="s">
        <v>506</v>
      </c>
      <c r="D351" s="125" t="s">
        <v>454</v>
      </c>
      <c r="E351" s="125" t="s">
        <v>472</v>
      </c>
      <c r="F351" s="126">
        <v>41180.0</v>
      </c>
      <c r="G351" s="127">
        <v>8.0E8</v>
      </c>
      <c r="H351" s="126">
        <v>41203.0</v>
      </c>
      <c r="I351" s="128">
        <v>963.0</v>
      </c>
      <c r="J351" s="128">
        <v>154.06</v>
      </c>
      <c r="K351" s="128">
        <v>90.93</v>
      </c>
      <c r="L351" s="128">
        <v>148359.8</v>
      </c>
      <c r="M351" s="128">
        <v>87565.59</v>
      </c>
      <c r="N351" s="128">
        <v>60794.19</v>
      </c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125" t="s">
        <v>475</v>
      </c>
      <c r="B352" s="125" t="s">
        <v>628</v>
      </c>
      <c r="C352" s="125" t="s">
        <v>453</v>
      </c>
      <c r="D352" s="125" t="s">
        <v>454</v>
      </c>
      <c r="E352" s="125" t="s">
        <v>464</v>
      </c>
      <c r="F352" s="126">
        <v>42186.0</v>
      </c>
      <c r="G352" s="127">
        <v>7.84E8</v>
      </c>
      <c r="H352" s="126">
        <v>42226.0</v>
      </c>
      <c r="I352" s="128">
        <v>7388.0</v>
      </c>
      <c r="J352" s="128">
        <v>255.28</v>
      </c>
      <c r="K352" s="128">
        <v>159.42</v>
      </c>
      <c r="L352" s="128">
        <v>1886009.0</v>
      </c>
      <c r="M352" s="128">
        <v>1177795.0</v>
      </c>
      <c r="N352" s="128">
        <v>708213.7</v>
      </c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125" t="s">
        <v>458</v>
      </c>
      <c r="B353" s="125" t="s">
        <v>547</v>
      </c>
      <c r="C353" s="125" t="s">
        <v>460</v>
      </c>
      <c r="D353" s="125" t="s">
        <v>457</v>
      </c>
      <c r="E353" s="125" t="s">
        <v>284</v>
      </c>
      <c r="F353" s="126">
        <v>41647.0</v>
      </c>
      <c r="G353" s="127">
        <v>7.14E8</v>
      </c>
      <c r="H353" s="126">
        <v>41672.0</v>
      </c>
      <c r="I353" s="128">
        <v>6348.0</v>
      </c>
      <c r="J353" s="128">
        <v>47.45</v>
      </c>
      <c r="K353" s="128">
        <v>31.79</v>
      </c>
      <c r="L353" s="128">
        <v>301212.6</v>
      </c>
      <c r="M353" s="128">
        <v>201802.9</v>
      </c>
      <c r="N353" s="128">
        <v>99409.68</v>
      </c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125" t="s">
        <v>461</v>
      </c>
      <c r="B354" s="125" t="s">
        <v>581</v>
      </c>
      <c r="C354" s="125" t="s">
        <v>485</v>
      </c>
      <c r="D354" s="125" t="s">
        <v>457</v>
      </c>
      <c r="E354" s="125" t="s">
        <v>472</v>
      </c>
      <c r="F354" s="126">
        <v>40532.0</v>
      </c>
      <c r="G354" s="127">
        <v>9.97E8</v>
      </c>
      <c r="H354" s="126">
        <v>40570.0</v>
      </c>
      <c r="I354" s="128">
        <v>8317.0</v>
      </c>
      <c r="J354" s="128">
        <v>421.89</v>
      </c>
      <c r="K354" s="128">
        <v>364.69</v>
      </c>
      <c r="L354" s="128">
        <v>3508859.0</v>
      </c>
      <c r="M354" s="128">
        <v>3033127.0</v>
      </c>
      <c r="N354" s="128">
        <v>475732.4</v>
      </c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125" t="s">
        <v>466</v>
      </c>
      <c r="B355" s="125" t="s">
        <v>496</v>
      </c>
      <c r="C355" s="125" t="s">
        <v>478</v>
      </c>
      <c r="D355" s="125" t="s">
        <v>457</v>
      </c>
      <c r="E355" s="125" t="s">
        <v>189</v>
      </c>
      <c r="F355" s="126">
        <v>41580.0</v>
      </c>
      <c r="G355" s="127">
        <v>3.06E8</v>
      </c>
      <c r="H355" s="126">
        <v>41602.0</v>
      </c>
      <c r="I355" s="128">
        <v>799.0</v>
      </c>
      <c r="J355" s="128">
        <v>651.21</v>
      </c>
      <c r="K355" s="128">
        <v>524.96</v>
      </c>
      <c r="L355" s="128">
        <v>520316.8</v>
      </c>
      <c r="M355" s="128">
        <v>419443.0</v>
      </c>
      <c r="N355" s="128">
        <v>100873.8</v>
      </c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125" t="s">
        <v>461</v>
      </c>
      <c r="B356" s="125" t="s">
        <v>629</v>
      </c>
      <c r="C356" s="125" t="s">
        <v>456</v>
      </c>
      <c r="D356" s="125" t="s">
        <v>457</v>
      </c>
      <c r="E356" s="125" t="s">
        <v>189</v>
      </c>
      <c r="F356" s="126">
        <v>42389.0</v>
      </c>
      <c r="G356" s="127">
        <v>5.38E8</v>
      </c>
      <c r="H356" s="126">
        <v>42428.0</v>
      </c>
      <c r="I356" s="128">
        <v>3331.0</v>
      </c>
      <c r="J356" s="128">
        <v>152.58</v>
      </c>
      <c r="K356" s="128">
        <v>97.44</v>
      </c>
      <c r="L356" s="128">
        <v>508244.0</v>
      </c>
      <c r="M356" s="128">
        <v>324572.6</v>
      </c>
      <c r="N356" s="128">
        <v>183671.3</v>
      </c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125" t="s">
        <v>461</v>
      </c>
      <c r="B357" s="125" t="s">
        <v>578</v>
      </c>
      <c r="C357" s="125" t="s">
        <v>463</v>
      </c>
      <c r="D357" s="125" t="s">
        <v>454</v>
      </c>
      <c r="E357" s="125" t="s">
        <v>189</v>
      </c>
      <c r="F357" s="126">
        <v>42328.0</v>
      </c>
      <c r="G357" s="127">
        <v>9.58E8</v>
      </c>
      <c r="H357" s="126">
        <v>42361.0</v>
      </c>
      <c r="I357" s="128">
        <v>2480.0</v>
      </c>
      <c r="J357" s="128">
        <v>205.7</v>
      </c>
      <c r="K357" s="128">
        <v>117.11</v>
      </c>
      <c r="L357" s="128">
        <v>510136.0</v>
      </c>
      <c r="M357" s="128">
        <v>290432.8</v>
      </c>
      <c r="N357" s="128">
        <v>219703.2</v>
      </c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125" t="s">
        <v>461</v>
      </c>
      <c r="B358" s="125" t="s">
        <v>599</v>
      </c>
      <c r="C358" s="125" t="s">
        <v>478</v>
      </c>
      <c r="D358" s="125" t="s">
        <v>454</v>
      </c>
      <c r="E358" s="125" t="s">
        <v>189</v>
      </c>
      <c r="F358" s="126">
        <v>41156.0</v>
      </c>
      <c r="G358" s="127">
        <v>4.52E8</v>
      </c>
      <c r="H358" s="126">
        <v>41173.0</v>
      </c>
      <c r="I358" s="128">
        <v>6844.0</v>
      </c>
      <c r="J358" s="128">
        <v>651.21</v>
      </c>
      <c r="K358" s="128">
        <v>524.96</v>
      </c>
      <c r="L358" s="128">
        <v>4456881.0</v>
      </c>
      <c r="M358" s="128">
        <v>3592826.0</v>
      </c>
      <c r="N358" s="128">
        <v>864055.0</v>
      </c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125" t="s">
        <v>475</v>
      </c>
      <c r="B359" s="125" t="s">
        <v>605</v>
      </c>
      <c r="C359" s="125" t="s">
        <v>453</v>
      </c>
      <c r="D359" s="125" t="s">
        <v>454</v>
      </c>
      <c r="E359" s="125" t="s">
        <v>472</v>
      </c>
      <c r="F359" s="126">
        <v>40403.0</v>
      </c>
      <c r="G359" s="127">
        <v>6.76E8</v>
      </c>
      <c r="H359" s="126">
        <v>40444.0</v>
      </c>
      <c r="I359" s="128">
        <v>2054.0</v>
      </c>
      <c r="J359" s="128">
        <v>255.28</v>
      </c>
      <c r="K359" s="128">
        <v>159.42</v>
      </c>
      <c r="L359" s="128">
        <v>524345.1</v>
      </c>
      <c r="M359" s="128">
        <v>327448.7</v>
      </c>
      <c r="N359" s="128">
        <v>196896.4</v>
      </c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125" t="s">
        <v>469</v>
      </c>
      <c r="B360" s="125" t="s">
        <v>501</v>
      </c>
      <c r="C360" s="125" t="s">
        <v>456</v>
      </c>
      <c r="D360" s="125" t="s">
        <v>457</v>
      </c>
      <c r="E360" s="125" t="s">
        <v>189</v>
      </c>
      <c r="F360" s="126">
        <v>41988.0</v>
      </c>
      <c r="G360" s="127">
        <v>2.07E8</v>
      </c>
      <c r="H360" s="126">
        <v>42002.0</v>
      </c>
      <c r="I360" s="128">
        <v>5770.0</v>
      </c>
      <c r="J360" s="128">
        <v>152.58</v>
      </c>
      <c r="K360" s="128">
        <v>97.44</v>
      </c>
      <c r="L360" s="128">
        <v>880386.6</v>
      </c>
      <c r="M360" s="128">
        <v>562228.8</v>
      </c>
      <c r="N360" s="128">
        <v>318157.8</v>
      </c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125" t="s">
        <v>461</v>
      </c>
      <c r="B361" s="125" t="s">
        <v>595</v>
      </c>
      <c r="C361" s="125" t="s">
        <v>453</v>
      </c>
      <c r="D361" s="125" t="s">
        <v>457</v>
      </c>
      <c r="E361" s="125" t="s">
        <v>472</v>
      </c>
      <c r="F361" s="126">
        <v>41303.0</v>
      </c>
      <c r="G361" s="127">
        <v>3.92E8</v>
      </c>
      <c r="H361" s="126">
        <v>41342.0</v>
      </c>
      <c r="I361" s="128">
        <v>2685.0</v>
      </c>
      <c r="J361" s="128">
        <v>255.28</v>
      </c>
      <c r="K361" s="128">
        <v>159.42</v>
      </c>
      <c r="L361" s="128">
        <v>685426.8</v>
      </c>
      <c r="M361" s="128">
        <v>428042.7</v>
      </c>
      <c r="N361" s="128">
        <v>257384.1</v>
      </c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125" t="s">
        <v>469</v>
      </c>
      <c r="B362" s="125" t="s">
        <v>630</v>
      </c>
      <c r="C362" s="125" t="s">
        <v>480</v>
      </c>
      <c r="D362" s="125" t="s">
        <v>454</v>
      </c>
      <c r="E362" s="125" t="s">
        <v>189</v>
      </c>
      <c r="F362" s="126">
        <v>42430.0</v>
      </c>
      <c r="G362" s="127">
        <v>3.99E8</v>
      </c>
      <c r="H362" s="126">
        <v>42458.0</v>
      </c>
      <c r="I362" s="128">
        <v>9524.0</v>
      </c>
      <c r="J362" s="128">
        <v>437.2</v>
      </c>
      <c r="K362" s="128">
        <v>263.33</v>
      </c>
      <c r="L362" s="128">
        <v>4163893.0</v>
      </c>
      <c r="M362" s="128">
        <v>2507955.0</v>
      </c>
      <c r="N362" s="128">
        <v>1655938.0</v>
      </c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125" t="s">
        <v>466</v>
      </c>
      <c r="B363" s="125" t="s">
        <v>584</v>
      </c>
      <c r="C363" s="125" t="s">
        <v>478</v>
      </c>
      <c r="D363" s="125" t="s">
        <v>457</v>
      </c>
      <c r="E363" s="125" t="s">
        <v>464</v>
      </c>
      <c r="F363" s="126">
        <v>42922.0</v>
      </c>
      <c r="G363" s="127">
        <v>3.63E8</v>
      </c>
      <c r="H363" s="126">
        <v>42957.0</v>
      </c>
      <c r="I363" s="128">
        <v>39.0</v>
      </c>
      <c r="J363" s="128">
        <v>651.21</v>
      </c>
      <c r="K363" s="128">
        <v>524.96</v>
      </c>
      <c r="L363" s="128">
        <v>25397.19</v>
      </c>
      <c r="M363" s="128">
        <v>20473.44</v>
      </c>
      <c r="N363" s="128">
        <v>4923.75</v>
      </c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125" t="s">
        <v>466</v>
      </c>
      <c r="B364" s="125" t="s">
        <v>467</v>
      </c>
      <c r="C364" s="125" t="s">
        <v>506</v>
      </c>
      <c r="D364" s="125" t="s">
        <v>457</v>
      </c>
      <c r="E364" s="125" t="s">
        <v>472</v>
      </c>
      <c r="F364" s="126">
        <v>40723.0</v>
      </c>
      <c r="G364" s="127">
        <v>9.45E8</v>
      </c>
      <c r="H364" s="126">
        <v>40747.0</v>
      </c>
      <c r="I364" s="128">
        <v>18.0</v>
      </c>
      <c r="J364" s="128">
        <v>154.06</v>
      </c>
      <c r="K364" s="128">
        <v>90.93</v>
      </c>
      <c r="L364" s="128">
        <v>2773.08</v>
      </c>
      <c r="M364" s="128">
        <v>1636.74</v>
      </c>
      <c r="N364" s="128">
        <v>1136.34</v>
      </c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125" t="s">
        <v>475</v>
      </c>
      <c r="B365" s="125" t="s">
        <v>558</v>
      </c>
      <c r="C365" s="125" t="s">
        <v>514</v>
      </c>
      <c r="D365" s="125" t="s">
        <v>454</v>
      </c>
      <c r="E365" s="125" t="s">
        <v>284</v>
      </c>
      <c r="F365" s="126">
        <v>41078.0</v>
      </c>
      <c r="G365" s="127">
        <v>1.71E8</v>
      </c>
      <c r="H365" s="126">
        <v>41128.0</v>
      </c>
      <c r="I365" s="128">
        <v>2279.0</v>
      </c>
      <c r="J365" s="128">
        <v>668.27</v>
      </c>
      <c r="K365" s="128">
        <v>502.54</v>
      </c>
      <c r="L365" s="128">
        <v>1522987.0</v>
      </c>
      <c r="M365" s="128">
        <v>1145289.0</v>
      </c>
      <c r="N365" s="128">
        <v>377698.7</v>
      </c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125" t="s">
        <v>458</v>
      </c>
      <c r="B366" s="125" t="s">
        <v>631</v>
      </c>
      <c r="C366" s="125" t="s">
        <v>460</v>
      </c>
      <c r="D366" s="125" t="s">
        <v>457</v>
      </c>
      <c r="E366" s="125" t="s">
        <v>464</v>
      </c>
      <c r="F366" s="126">
        <v>41327.0</v>
      </c>
      <c r="G366" s="127">
        <v>1.9E8</v>
      </c>
      <c r="H366" s="126">
        <v>41354.0</v>
      </c>
      <c r="I366" s="128">
        <v>1668.0</v>
      </c>
      <c r="J366" s="128">
        <v>47.45</v>
      </c>
      <c r="K366" s="128">
        <v>31.79</v>
      </c>
      <c r="L366" s="128">
        <v>79146.6</v>
      </c>
      <c r="M366" s="128">
        <v>53025.72</v>
      </c>
      <c r="N366" s="128">
        <v>26120.88</v>
      </c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125" t="s">
        <v>461</v>
      </c>
      <c r="B367" s="125" t="s">
        <v>564</v>
      </c>
      <c r="C367" s="125" t="s">
        <v>471</v>
      </c>
      <c r="D367" s="125" t="s">
        <v>457</v>
      </c>
      <c r="E367" s="125" t="s">
        <v>464</v>
      </c>
      <c r="F367" s="126">
        <v>40580.0</v>
      </c>
      <c r="G367" s="127">
        <v>5.21E8</v>
      </c>
      <c r="H367" s="126">
        <v>40593.0</v>
      </c>
      <c r="I367" s="128">
        <v>68.0</v>
      </c>
      <c r="J367" s="128">
        <v>109.28</v>
      </c>
      <c r="K367" s="128">
        <v>35.84</v>
      </c>
      <c r="L367" s="128">
        <v>7431.04</v>
      </c>
      <c r="M367" s="128">
        <v>2437.12</v>
      </c>
      <c r="N367" s="128">
        <v>4993.92</v>
      </c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125" t="s">
        <v>461</v>
      </c>
      <c r="B368" s="125" t="s">
        <v>511</v>
      </c>
      <c r="C368" s="125" t="s">
        <v>485</v>
      </c>
      <c r="D368" s="125" t="s">
        <v>454</v>
      </c>
      <c r="E368" s="125" t="s">
        <v>189</v>
      </c>
      <c r="F368" s="126">
        <v>41101.0</v>
      </c>
      <c r="G368" s="127">
        <v>3.03E8</v>
      </c>
      <c r="H368" s="126">
        <v>41127.0</v>
      </c>
      <c r="I368" s="128">
        <v>1388.0</v>
      </c>
      <c r="J368" s="128">
        <v>421.89</v>
      </c>
      <c r="K368" s="128">
        <v>364.69</v>
      </c>
      <c r="L368" s="128">
        <v>585583.3</v>
      </c>
      <c r="M368" s="128">
        <v>506189.7</v>
      </c>
      <c r="N368" s="128">
        <v>79393.6</v>
      </c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125" t="s">
        <v>458</v>
      </c>
      <c r="B369" s="125" t="s">
        <v>547</v>
      </c>
      <c r="C369" s="125" t="s">
        <v>485</v>
      </c>
      <c r="D369" s="125" t="s">
        <v>454</v>
      </c>
      <c r="E369" s="125" t="s">
        <v>472</v>
      </c>
      <c r="F369" s="126">
        <v>41394.0</v>
      </c>
      <c r="G369" s="127">
        <v>5.46E8</v>
      </c>
      <c r="H369" s="126">
        <v>41416.0</v>
      </c>
      <c r="I369" s="128">
        <v>6571.0</v>
      </c>
      <c r="J369" s="128">
        <v>421.89</v>
      </c>
      <c r="K369" s="128">
        <v>364.69</v>
      </c>
      <c r="L369" s="128">
        <v>2772239.0</v>
      </c>
      <c r="M369" s="128">
        <v>2396378.0</v>
      </c>
      <c r="N369" s="128">
        <v>375861.2</v>
      </c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125" t="s">
        <v>458</v>
      </c>
      <c r="B370" s="125" t="s">
        <v>509</v>
      </c>
      <c r="C370" s="125" t="s">
        <v>453</v>
      </c>
      <c r="D370" s="125" t="s">
        <v>454</v>
      </c>
      <c r="E370" s="125" t="s">
        <v>284</v>
      </c>
      <c r="F370" s="126">
        <v>40355.0</v>
      </c>
      <c r="G370" s="127">
        <v>9.79E8</v>
      </c>
      <c r="H370" s="126">
        <v>40377.0</v>
      </c>
      <c r="I370" s="128">
        <v>8591.0</v>
      </c>
      <c r="J370" s="128">
        <v>255.28</v>
      </c>
      <c r="K370" s="128">
        <v>159.42</v>
      </c>
      <c r="L370" s="128">
        <v>2193110.0</v>
      </c>
      <c r="M370" s="128">
        <v>1369577.0</v>
      </c>
      <c r="N370" s="128">
        <v>823533.3</v>
      </c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125" t="s">
        <v>475</v>
      </c>
      <c r="B371" s="125" t="s">
        <v>628</v>
      </c>
      <c r="C371" s="125" t="s">
        <v>506</v>
      </c>
      <c r="D371" s="125" t="s">
        <v>457</v>
      </c>
      <c r="E371" s="125" t="s">
        <v>464</v>
      </c>
      <c r="F371" s="126">
        <v>41415.0</v>
      </c>
      <c r="G371" s="127">
        <v>5.02E8</v>
      </c>
      <c r="H371" s="126">
        <v>41449.0</v>
      </c>
      <c r="I371" s="128">
        <v>7453.0</v>
      </c>
      <c r="J371" s="128">
        <v>154.06</v>
      </c>
      <c r="K371" s="128">
        <v>90.93</v>
      </c>
      <c r="L371" s="128">
        <v>1148209.0</v>
      </c>
      <c r="M371" s="128">
        <v>677701.3</v>
      </c>
      <c r="N371" s="128">
        <v>470507.9</v>
      </c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125" t="s">
        <v>469</v>
      </c>
      <c r="B372" s="125" t="s">
        <v>617</v>
      </c>
      <c r="C372" s="125" t="s">
        <v>485</v>
      </c>
      <c r="D372" s="125" t="s">
        <v>454</v>
      </c>
      <c r="E372" s="125" t="s">
        <v>472</v>
      </c>
      <c r="F372" s="126">
        <v>42862.0</v>
      </c>
      <c r="G372" s="127">
        <v>3.36E8</v>
      </c>
      <c r="H372" s="126">
        <v>42891.0</v>
      </c>
      <c r="I372" s="128">
        <v>5192.0</v>
      </c>
      <c r="J372" s="128">
        <v>421.89</v>
      </c>
      <c r="K372" s="128">
        <v>364.69</v>
      </c>
      <c r="L372" s="128">
        <v>2190453.0</v>
      </c>
      <c r="M372" s="128">
        <v>1893470.0</v>
      </c>
      <c r="N372" s="128">
        <v>296982.4</v>
      </c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125" t="s">
        <v>475</v>
      </c>
      <c r="B373" s="125" t="s">
        <v>532</v>
      </c>
      <c r="C373" s="125" t="s">
        <v>468</v>
      </c>
      <c r="D373" s="125" t="s">
        <v>454</v>
      </c>
      <c r="E373" s="125" t="s">
        <v>472</v>
      </c>
      <c r="F373" s="126">
        <v>41992.0</v>
      </c>
      <c r="G373" s="127">
        <v>8.72E8</v>
      </c>
      <c r="H373" s="126">
        <v>42009.0</v>
      </c>
      <c r="I373" s="128">
        <v>876.0</v>
      </c>
      <c r="J373" s="128">
        <v>81.73</v>
      </c>
      <c r="K373" s="128">
        <v>56.67</v>
      </c>
      <c r="L373" s="128">
        <v>71595.48</v>
      </c>
      <c r="M373" s="128">
        <v>49642.92</v>
      </c>
      <c r="N373" s="128">
        <v>21952.56</v>
      </c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125" t="s">
        <v>469</v>
      </c>
      <c r="B374" s="125" t="s">
        <v>617</v>
      </c>
      <c r="C374" s="125" t="s">
        <v>468</v>
      </c>
      <c r="D374" s="125" t="s">
        <v>457</v>
      </c>
      <c r="E374" s="125" t="s">
        <v>472</v>
      </c>
      <c r="F374" s="126">
        <v>42020.0</v>
      </c>
      <c r="G374" s="127">
        <v>3.19E8</v>
      </c>
      <c r="H374" s="126">
        <v>42041.0</v>
      </c>
      <c r="I374" s="128">
        <v>5604.0</v>
      </c>
      <c r="J374" s="128">
        <v>81.73</v>
      </c>
      <c r="K374" s="128">
        <v>56.67</v>
      </c>
      <c r="L374" s="128">
        <v>458014.9</v>
      </c>
      <c r="M374" s="128">
        <v>317578.7</v>
      </c>
      <c r="N374" s="128">
        <v>140436.2</v>
      </c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125" t="s">
        <v>475</v>
      </c>
      <c r="B375" s="125" t="s">
        <v>591</v>
      </c>
      <c r="C375" s="125" t="s">
        <v>506</v>
      </c>
      <c r="D375" s="125" t="s">
        <v>454</v>
      </c>
      <c r="E375" s="125" t="s">
        <v>472</v>
      </c>
      <c r="F375" s="126">
        <v>42402.0</v>
      </c>
      <c r="G375" s="127">
        <v>5.6E8</v>
      </c>
      <c r="H375" s="126">
        <v>42405.0</v>
      </c>
      <c r="I375" s="128">
        <v>7506.0</v>
      </c>
      <c r="J375" s="128">
        <v>154.06</v>
      </c>
      <c r="K375" s="128">
        <v>90.93</v>
      </c>
      <c r="L375" s="128">
        <v>1156374.0</v>
      </c>
      <c r="M375" s="128">
        <v>682520.6</v>
      </c>
      <c r="N375" s="128">
        <v>473853.8</v>
      </c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125" t="s">
        <v>458</v>
      </c>
      <c r="B376" s="125" t="s">
        <v>473</v>
      </c>
      <c r="C376" s="125" t="s">
        <v>468</v>
      </c>
      <c r="D376" s="125" t="s">
        <v>457</v>
      </c>
      <c r="E376" s="125" t="s">
        <v>464</v>
      </c>
      <c r="F376" s="126">
        <v>40216.0</v>
      </c>
      <c r="G376" s="127">
        <v>3.97E8</v>
      </c>
      <c r="H376" s="126">
        <v>40255.0</v>
      </c>
      <c r="I376" s="128">
        <v>6742.0</v>
      </c>
      <c r="J376" s="128">
        <v>81.73</v>
      </c>
      <c r="K376" s="128">
        <v>56.67</v>
      </c>
      <c r="L376" s="128">
        <v>551023.7</v>
      </c>
      <c r="M376" s="128">
        <v>382069.1</v>
      </c>
      <c r="N376" s="128">
        <v>168954.5</v>
      </c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125" t="s">
        <v>469</v>
      </c>
      <c r="B377" s="125" t="s">
        <v>632</v>
      </c>
      <c r="C377" s="125" t="s">
        <v>494</v>
      </c>
      <c r="D377" s="125" t="s">
        <v>454</v>
      </c>
      <c r="E377" s="125" t="s">
        <v>472</v>
      </c>
      <c r="F377" s="126">
        <v>42612.0</v>
      </c>
      <c r="G377" s="127">
        <v>5.0E8</v>
      </c>
      <c r="H377" s="126">
        <v>42652.0</v>
      </c>
      <c r="I377" s="128">
        <v>506.0</v>
      </c>
      <c r="J377" s="128">
        <v>9.33</v>
      </c>
      <c r="K377" s="128">
        <v>6.92</v>
      </c>
      <c r="L377" s="128">
        <v>4720.98</v>
      </c>
      <c r="M377" s="128">
        <v>3501.52</v>
      </c>
      <c r="N377" s="128">
        <v>1219.46</v>
      </c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125" t="s">
        <v>461</v>
      </c>
      <c r="B378" s="125" t="s">
        <v>525</v>
      </c>
      <c r="C378" s="125" t="s">
        <v>456</v>
      </c>
      <c r="D378" s="125" t="s">
        <v>454</v>
      </c>
      <c r="E378" s="125" t="s">
        <v>464</v>
      </c>
      <c r="F378" s="126">
        <v>40530.0</v>
      </c>
      <c r="G378" s="127">
        <v>2.63E8</v>
      </c>
      <c r="H378" s="126">
        <v>40563.0</v>
      </c>
      <c r="I378" s="128">
        <v>8020.0</v>
      </c>
      <c r="J378" s="128">
        <v>152.58</v>
      </c>
      <c r="K378" s="128">
        <v>97.44</v>
      </c>
      <c r="L378" s="128">
        <v>1223692.0</v>
      </c>
      <c r="M378" s="128">
        <v>781468.8</v>
      </c>
      <c r="N378" s="128">
        <v>442222.8</v>
      </c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125" t="s">
        <v>458</v>
      </c>
      <c r="B379" s="125" t="s">
        <v>583</v>
      </c>
      <c r="C379" s="125" t="s">
        <v>460</v>
      </c>
      <c r="D379" s="125" t="s">
        <v>457</v>
      </c>
      <c r="E379" s="125" t="s">
        <v>189</v>
      </c>
      <c r="F379" s="126">
        <v>40515.0</v>
      </c>
      <c r="G379" s="127">
        <v>9.48E8</v>
      </c>
      <c r="H379" s="126">
        <v>40547.0</v>
      </c>
      <c r="I379" s="128">
        <v>5540.0</v>
      </c>
      <c r="J379" s="128">
        <v>47.45</v>
      </c>
      <c r="K379" s="128">
        <v>31.79</v>
      </c>
      <c r="L379" s="128">
        <v>262873.0</v>
      </c>
      <c r="M379" s="128">
        <v>176116.6</v>
      </c>
      <c r="N379" s="128">
        <v>86756.4</v>
      </c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125" t="s">
        <v>458</v>
      </c>
      <c r="B380" s="125" t="s">
        <v>610</v>
      </c>
      <c r="C380" s="125" t="s">
        <v>463</v>
      </c>
      <c r="D380" s="125" t="s">
        <v>457</v>
      </c>
      <c r="E380" s="125" t="s">
        <v>464</v>
      </c>
      <c r="F380" s="126">
        <v>41201.0</v>
      </c>
      <c r="G380" s="127">
        <v>7.38E8</v>
      </c>
      <c r="H380" s="126">
        <v>41216.0</v>
      </c>
      <c r="I380" s="128">
        <v>1352.0</v>
      </c>
      <c r="J380" s="128">
        <v>205.7</v>
      </c>
      <c r="K380" s="128">
        <v>117.11</v>
      </c>
      <c r="L380" s="128">
        <v>278106.4</v>
      </c>
      <c r="M380" s="128">
        <v>158332.7</v>
      </c>
      <c r="N380" s="128">
        <v>119773.7</v>
      </c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125" t="s">
        <v>458</v>
      </c>
      <c r="B381" s="125" t="s">
        <v>633</v>
      </c>
      <c r="C381" s="125" t="s">
        <v>514</v>
      </c>
      <c r="D381" s="125" t="s">
        <v>457</v>
      </c>
      <c r="E381" s="125" t="s">
        <v>464</v>
      </c>
      <c r="F381" s="126">
        <v>40229.0</v>
      </c>
      <c r="G381" s="127">
        <v>5.85E8</v>
      </c>
      <c r="H381" s="126">
        <v>40279.0</v>
      </c>
      <c r="I381" s="128">
        <v>773.0</v>
      </c>
      <c r="J381" s="128">
        <v>668.27</v>
      </c>
      <c r="K381" s="128">
        <v>502.54</v>
      </c>
      <c r="L381" s="128">
        <v>516572.7</v>
      </c>
      <c r="M381" s="128">
        <v>388463.4</v>
      </c>
      <c r="N381" s="128">
        <v>128109.3</v>
      </c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125" t="s">
        <v>466</v>
      </c>
      <c r="B382" s="125" t="s">
        <v>467</v>
      </c>
      <c r="C382" s="125" t="s">
        <v>453</v>
      </c>
      <c r="D382" s="125" t="s">
        <v>457</v>
      </c>
      <c r="E382" s="125" t="s">
        <v>189</v>
      </c>
      <c r="F382" s="126">
        <v>41159.0</v>
      </c>
      <c r="G382" s="127">
        <v>1.64E8</v>
      </c>
      <c r="H382" s="126">
        <v>41172.0</v>
      </c>
      <c r="I382" s="128">
        <v>1152.0</v>
      </c>
      <c r="J382" s="128">
        <v>255.28</v>
      </c>
      <c r="K382" s="128">
        <v>159.42</v>
      </c>
      <c r="L382" s="128">
        <v>294082.6</v>
      </c>
      <c r="M382" s="128">
        <v>183651.8</v>
      </c>
      <c r="N382" s="128">
        <v>110430.7</v>
      </c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125" t="s">
        <v>469</v>
      </c>
      <c r="B383" s="125" t="s">
        <v>520</v>
      </c>
      <c r="C383" s="125" t="s">
        <v>478</v>
      </c>
      <c r="D383" s="125" t="s">
        <v>454</v>
      </c>
      <c r="E383" s="125" t="s">
        <v>189</v>
      </c>
      <c r="F383" s="126">
        <v>41028.0</v>
      </c>
      <c r="G383" s="127">
        <v>1.19E8</v>
      </c>
      <c r="H383" s="126">
        <v>41053.0</v>
      </c>
      <c r="I383" s="128">
        <v>6868.0</v>
      </c>
      <c r="J383" s="128">
        <v>651.21</v>
      </c>
      <c r="K383" s="128">
        <v>524.96</v>
      </c>
      <c r="L383" s="128">
        <v>4472510.0</v>
      </c>
      <c r="M383" s="128">
        <v>3605425.0</v>
      </c>
      <c r="N383" s="128">
        <v>867085.0</v>
      </c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125" t="s">
        <v>469</v>
      </c>
      <c r="B384" s="125" t="s">
        <v>634</v>
      </c>
      <c r="C384" s="125" t="s">
        <v>453</v>
      </c>
      <c r="D384" s="125" t="s">
        <v>454</v>
      </c>
      <c r="E384" s="125" t="s">
        <v>189</v>
      </c>
      <c r="F384" s="126">
        <v>42792.0</v>
      </c>
      <c r="G384" s="127">
        <v>7.12E8</v>
      </c>
      <c r="H384" s="126">
        <v>42806.0</v>
      </c>
      <c r="I384" s="128">
        <v>4333.0</v>
      </c>
      <c r="J384" s="128">
        <v>255.28</v>
      </c>
      <c r="K384" s="128">
        <v>159.42</v>
      </c>
      <c r="L384" s="128">
        <v>1106128.0</v>
      </c>
      <c r="M384" s="128">
        <v>690766.9</v>
      </c>
      <c r="N384" s="128">
        <v>415361.4</v>
      </c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125" t="s">
        <v>475</v>
      </c>
      <c r="B385" s="125" t="s">
        <v>635</v>
      </c>
      <c r="C385" s="125" t="s">
        <v>453</v>
      </c>
      <c r="D385" s="125" t="s">
        <v>457</v>
      </c>
      <c r="E385" s="125" t="s">
        <v>284</v>
      </c>
      <c r="F385" s="126">
        <v>42881.0</v>
      </c>
      <c r="G385" s="127">
        <v>4.8E8</v>
      </c>
      <c r="H385" s="126">
        <v>42883.0</v>
      </c>
      <c r="I385" s="128">
        <v>6989.0</v>
      </c>
      <c r="J385" s="128">
        <v>255.28</v>
      </c>
      <c r="K385" s="128">
        <v>159.42</v>
      </c>
      <c r="L385" s="128">
        <v>1784152.0</v>
      </c>
      <c r="M385" s="128">
        <v>1114186.0</v>
      </c>
      <c r="N385" s="128">
        <v>669965.5</v>
      </c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125" t="s">
        <v>475</v>
      </c>
      <c r="B386" s="125" t="s">
        <v>636</v>
      </c>
      <c r="C386" s="125" t="s">
        <v>506</v>
      </c>
      <c r="D386" s="125" t="s">
        <v>454</v>
      </c>
      <c r="E386" s="125" t="s">
        <v>472</v>
      </c>
      <c r="F386" s="126">
        <v>40881.0</v>
      </c>
      <c r="G386" s="127">
        <v>2.76E8</v>
      </c>
      <c r="H386" s="126">
        <v>40902.0</v>
      </c>
      <c r="I386" s="128">
        <v>311.0</v>
      </c>
      <c r="J386" s="128">
        <v>154.06</v>
      </c>
      <c r="K386" s="128">
        <v>90.93</v>
      </c>
      <c r="L386" s="128">
        <v>47912.66</v>
      </c>
      <c r="M386" s="128">
        <v>28279.23</v>
      </c>
      <c r="N386" s="128">
        <v>19633.43</v>
      </c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125" t="s">
        <v>461</v>
      </c>
      <c r="B387" s="125" t="s">
        <v>599</v>
      </c>
      <c r="C387" s="125" t="s">
        <v>453</v>
      </c>
      <c r="D387" s="125" t="s">
        <v>457</v>
      </c>
      <c r="E387" s="125" t="s">
        <v>189</v>
      </c>
      <c r="F387" s="126">
        <v>40915.0</v>
      </c>
      <c r="G387" s="127">
        <v>1.26E8</v>
      </c>
      <c r="H387" s="126">
        <v>40956.0</v>
      </c>
      <c r="I387" s="128">
        <v>6802.0</v>
      </c>
      <c r="J387" s="128">
        <v>255.28</v>
      </c>
      <c r="K387" s="128">
        <v>159.42</v>
      </c>
      <c r="L387" s="128">
        <v>1736415.0</v>
      </c>
      <c r="M387" s="128">
        <v>1084375.0</v>
      </c>
      <c r="N387" s="128">
        <v>652039.7</v>
      </c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125" t="s">
        <v>461</v>
      </c>
      <c r="B388" s="125" t="s">
        <v>578</v>
      </c>
      <c r="C388" s="125" t="s">
        <v>471</v>
      </c>
      <c r="D388" s="125" t="s">
        <v>454</v>
      </c>
      <c r="E388" s="125" t="s">
        <v>284</v>
      </c>
      <c r="F388" s="126">
        <v>41963.0</v>
      </c>
      <c r="G388" s="127">
        <v>5.74E8</v>
      </c>
      <c r="H388" s="126">
        <v>42009.0</v>
      </c>
      <c r="I388" s="128">
        <v>998.0</v>
      </c>
      <c r="J388" s="128">
        <v>109.28</v>
      </c>
      <c r="K388" s="128">
        <v>35.84</v>
      </c>
      <c r="L388" s="128">
        <v>109061.4</v>
      </c>
      <c r="M388" s="128">
        <v>35768.32</v>
      </c>
      <c r="N388" s="128">
        <v>73293.12</v>
      </c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125" t="s">
        <v>466</v>
      </c>
      <c r="B389" s="125" t="s">
        <v>568</v>
      </c>
      <c r="C389" s="125" t="s">
        <v>468</v>
      </c>
      <c r="D389" s="125" t="s">
        <v>454</v>
      </c>
      <c r="E389" s="125" t="s">
        <v>472</v>
      </c>
      <c r="F389" s="126">
        <v>42012.0</v>
      </c>
      <c r="G389" s="127">
        <v>4.37E8</v>
      </c>
      <c r="H389" s="126">
        <v>42020.0</v>
      </c>
      <c r="I389" s="128">
        <v>4468.0</v>
      </c>
      <c r="J389" s="128">
        <v>81.73</v>
      </c>
      <c r="K389" s="128">
        <v>56.67</v>
      </c>
      <c r="L389" s="128">
        <v>365169.6</v>
      </c>
      <c r="M389" s="128">
        <v>253201.6</v>
      </c>
      <c r="N389" s="128">
        <v>111968.1</v>
      </c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125" t="s">
        <v>458</v>
      </c>
      <c r="B390" s="125" t="s">
        <v>459</v>
      </c>
      <c r="C390" s="125" t="s">
        <v>453</v>
      </c>
      <c r="D390" s="125" t="s">
        <v>457</v>
      </c>
      <c r="E390" s="125" t="s">
        <v>472</v>
      </c>
      <c r="F390" s="126">
        <v>42203.0</v>
      </c>
      <c r="G390" s="127">
        <v>8.51E8</v>
      </c>
      <c r="H390" s="126">
        <v>42217.0</v>
      </c>
      <c r="I390" s="128">
        <v>810.0</v>
      </c>
      <c r="J390" s="128">
        <v>255.28</v>
      </c>
      <c r="K390" s="128">
        <v>159.42</v>
      </c>
      <c r="L390" s="128">
        <v>206776.8</v>
      </c>
      <c r="M390" s="128">
        <v>129130.2</v>
      </c>
      <c r="N390" s="128">
        <v>77646.6</v>
      </c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125" t="s">
        <v>469</v>
      </c>
      <c r="B391" s="125" t="s">
        <v>589</v>
      </c>
      <c r="C391" s="125" t="s">
        <v>456</v>
      </c>
      <c r="D391" s="125" t="s">
        <v>457</v>
      </c>
      <c r="E391" s="125" t="s">
        <v>472</v>
      </c>
      <c r="F391" s="126">
        <v>42682.0</v>
      </c>
      <c r="G391" s="127">
        <v>3.21E8</v>
      </c>
      <c r="H391" s="126">
        <v>42720.0</v>
      </c>
      <c r="I391" s="128">
        <v>654.0</v>
      </c>
      <c r="J391" s="128">
        <v>152.58</v>
      </c>
      <c r="K391" s="128">
        <v>97.44</v>
      </c>
      <c r="L391" s="128">
        <v>99787.32</v>
      </c>
      <c r="M391" s="128">
        <v>63725.76</v>
      </c>
      <c r="N391" s="128">
        <v>36061.56</v>
      </c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125" t="s">
        <v>458</v>
      </c>
      <c r="B392" s="125" t="s">
        <v>473</v>
      </c>
      <c r="C392" s="125" t="s">
        <v>478</v>
      </c>
      <c r="D392" s="125" t="s">
        <v>457</v>
      </c>
      <c r="E392" s="125" t="s">
        <v>284</v>
      </c>
      <c r="F392" s="126">
        <v>41221.0</v>
      </c>
      <c r="G392" s="127">
        <v>5.76E8</v>
      </c>
      <c r="H392" s="126">
        <v>41237.0</v>
      </c>
      <c r="I392" s="128">
        <v>6660.0</v>
      </c>
      <c r="J392" s="128">
        <v>651.21</v>
      </c>
      <c r="K392" s="128">
        <v>524.96</v>
      </c>
      <c r="L392" s="128">
        <v>4337059.0</v>
      </c>
      <c r="M392" s="128">
        <v>3496234.0</v>
      </c>
      <c r="N392" s="128">
        <v>840825.0</v>
      </c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125" t="s">
        <v>466</v>
      </c>
      <c r="B393" s="125" t="s">
        <v>637</v>
      </c>
      <c r="C393" s="125" t="s">
        <v>485</v>
      </c>
      <c r="D393" s="125" t="s">
        <v>457</v>
      </c>
      <c r="E393" s="125" t="s">
        <v>189</v>
      </c>
      <c r="F393" s="126">
        <v>42894.0</v>
      </c>
      <c r="G393" s="127">
        <v>7.1E8</v>
      </c>
      <c r="H393" s="126">
        <v>42918.0</v>
      </c>
      <c r="I393" s="128">
        <v>8522.0</v>
      </c>
      <c r="J393" s="128">
        <v>421.89</v>
      </c>
      <c r="K393" s="128">
        <v>364.69</v>
      </c>
      <c r="L393" s="128">
        <v>3595347.0</v>
      </c>
      <c r="M393" s="128">
        <v>3107888.0</v>
      </c>
      <c r="N393" s="128">
        <v>487458.4</v>
      </c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125" t="s">
        <v>461</v>
      </c>
      <c r="B394" s="125" t="s">
        <v>638</v>
      </c>
      <c r="C394" s="125" t="s">
        <v>494</v>
      </c>
      <c r="D394" s="125" t="s">
        <v>457</v>
      </c>
      <c r="E394" s="125" t="s">
        <v>464</v>
      </c>
      <c r="F394" s="126">
        <v>42099.0</v>
      </c>
      <c r="G394" s="127">
        <v>3.42E8</v>
      </c>
      <c r="H394" s="126">
        <v>42099.0</v>
      </c>
      <c r="I394" s="128">
        <v>7962.0</v>
      </c>
      <c r="J394" s="128">
        <v>9.33</v>
      </c>
      <c r="K394" s="128">
        <v>6.92</v>
      </c>
      <c r="L394" s="128">
        <v>74285.46</v>
      </c>
      <c r="M394" s="128">
        <v>55097.04</v>
      </c>
      <c r="N394" s="128">
        <v>19188.42</v>
      </c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125" t="s">
        <v>461</v>
      </c>
      <c r="B395" s="125" t="s">
        <v>639</v>
      </c>
      <c r="C395" s="125" t="s">
        <v>480</v>
      </c>
      <c r="D395" s="125" t="s">
        <v>457</v>
      </c>
      <c r="E395" s="125" t="s">
        <v>284</v>
      </c>
      <c r="F395" s="126">
        <v>40539.0</v>
      </c>
      <c r="G395" s="127">
        <v>9.6E8</v>
      </c>
      <c r="H395" s="126">
        <v>40563.0</v>
      </c>
      <c r="I395" s="128">
        <v>3737.0</v>
      </c>
      <c r="J395" s="128">
        <v>437.2</v>
      </c>
      <c r="K395" s="128">
        <v>263.33</v>
      </c>
      <c r="L395" s="128">
        <v>1633816.0</v>
      </c>
      <c r="M395" s="128">
        <v>984064.2</v>
      </c>
      <c r="N395" s="128">
        <v>649752.2</v>
      </c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125" t="s">
        <v>469</v>
      </c>
      <c r="B396" s="125" t="s">
        <v>495</v>
      </c>
      <c r="C396" s="125" t="s">
        <v>506</v>
      </c>
      <c r="D396" s="125" t="s">
        <v>457</v>
      </c>
      <c r="E396" s="125" t="s">
        <v>284</v>
      </c>
      <c r="F396" s="126">
        <v>40308.0</v>
      </c>
      <c r="G396" s="127">
        <v>9.7E8</v>
      </c>
      <c r="H396" s="126">
        <v>40341.0</v>
      </c>
      <c r="I396" s="128">
        <v>6631.0</v>
      </c>
      <c r="J396" s="128">
        <v>154.06</v>
      </c>
      <c r="K396" s="128">
        <v>90.93</v>
      </c>
      <c r="L396" s="128">
        <v>1021572.0</v>
      </c>
      <c r="M396" s="128">
        <v>602956.8</v>
      </c>
      <c r="N396" s="128">
        <v>418615.0</v>
      </c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125" t="s">
        <v>461</v>
      </c>
      <c r="B397" s="125" t="s">
        <v>578</v>
      </c>
      <c r="C397" s="125" t="s">
        <v>463</v>
      </c>
      <c r="D397" s="125" t="s">
        <v>457</v>
      </c>
      <c r="E397" s="125" t="s">
        <v>189</v>
      </c>
      <c r="F397" s="126">
        <v>42501.0</v>
      </c>
      <c r="G397" s="127">
        <v>6.52E8</v>
      </c>
      <c r="H397" s="126">
        <v>42508.0</v>
      </c>
      <c r="I397" s="128">
        <v>4463.0</v>
      </c>
      <c r="J397" s="128">
        <v>205.7</v>
      </c>
      <c r="K397" s="128">
        <v>117.11</v>
      </c>
      <c r="L397" s="128">
        <v>918039.1</v>
      </c>
      <c r="M397" s="128">
        <v>522661.9</v>
      </c>
      <c r="N397" s="128">
        <v>395377.2</v>
      </c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125" t="s">
        <v>488</v>
      </c>
      <c r="B398" s="125" t="s">
        <v>577</v>
      </c>
      <c r="C398" s="125" t="s">
        <v>506</v>
      </c>
      <c r="D398" s="125" t="s">
        <v>457</v>
      </c>
      <c r="E398" s="125" t="s">
        <v>472</v>
      </c>
      <c r="F398" s="126">
        <v>40310.0</v>
      </c>
      <c r="G398" s="127">
        <v>8.03E8</v>
      </c>
      <c r="H398" s="126">
        <v>40348.0</v>
      </c>
      <c r="I398" s="128">
        <v>7080.0</v>
      </c>
      <c r="J398" s="128">
        <v>154.06</v>
      </c>
      <c r="K398" s="128">
        <v>90.93</v>
      </c>
      <c r="L398" s="128">
        <v>1090745.0</v>
      </c>
      <c r="M398" s="128">
        <v>643784.4</v>
      </c>
      <c r="N398" s="128">
        <v>446960.4</v>
      </c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125" t="s">
        <v>475</v>
      </c>
      <c r="B399" s="125" t="s">
        <v>571</v>
      </c>
      <c r="C399" s="125" t="s">
        <v>494</v>
      </c>
      <c r="D399" s="125" t="s">
        <v>457</v>
      </c>
      <c r="E399" s="125" t="s">
        <v>189</v>
      </c>
      <c r="F399" s="126">
        <v>42524.0</v>
      </c>
      <c r="G399" s="127">
        <v>4.93E8</v>
      </c>
      <c r="H399" s="126">
        <v>42530.0</v>
      </c>
      <c r="I399" s="128">
        <v>1363.0</v>
      </c>
      <c r="J399" s="128">
        <v>9.33</v>
      </c>
      <c r="K399" s="128">
        <v>6.92</v>
      </c>
      <c r="L399" s="128">
        <v>12716.79</v>
      </c>
      <c r="M399" s="128">
        <v>9431.96</v>
      </c>
      <c r="N399" s="128">
        <v>3284.83</v>
      </c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125" t="s">
        <v>451</v>
      </c>
      <c r="B400" s="125" t="s">
        <v>546</v>
      </c>
      <c r="C400" s="125" t="s">
        <v>514</v>
      </c>
      <c r="D400" s="125" t="s">
        <v>457</v>
      </c>
      <c r="E400" s="125" t="s">
        <v>464</v>
      </c>
      <c r="F400" s="126">
        <v>41728.0</v>
      </c>
      <c r="G400" s="127">
        <v>2.11E8</v>
      </c>
      <c r="H400" s="126">
        <v>41732.0</v>
      </c>
      <c r="I400" s="128">
        <v>6223.0</v>
      </c>
      <c r="J400" s="128">
        <v>668.27</v>
      </c>
      <c r="K400" s="128">
        <v>502.54</v>
      </c>
      <c r="L400" s="128">
        <v>4158644.0</v>
      </c>
      <c r="M400" s="128">
        <v>3127306.0</v>
      </c>
      <c r="N400" s="128">
        <v>1031338.0</v>
      </c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125" t="s">
        <v>458</v>
      </c>
      <c r="B401" s="125" t="s">
        <v>582</v>
      </c>
      <c r="C401" s="125" t="s">
        <v>485</v>
      </c>
      <c r="D401" s="125" t="s">
        <v>457</v>
      </c>
      <c r="E401" s="125" t="s">
        <v>472</v>
      </c>
      <c r="F401" s="126">
        <v>40575.0</v>
      </c>
      <c r="G401" s="127">
        <v>5.16E8</v>
      </c>
      <c r="H401" s="126">
        <v>40591.0</v>
      </c>
      <c r="I401" s="128">
        <v>7603.0</v>
      </c>
      <c r="J401" s="128">
        <v>421.89</v>
      </c>
      <c r="K401" s="128">
        <v>364.69</v>
      </c>
      <c r="L401" s="128">
        <v>3207630.0</v>
      </c>
      <c r="M401" s="128">
        <v>2772738.0</v>
      </c>
      <c r="N401" s="128">
        <v>434891.6</v>
      </c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125" t="s">
        <v>461</v>
      </c>
      <c r="B402" s="125" t="s">
        <v>638</v>
      </c>
      <c r="C402" s="125" t="s">
        <v>478</v>
      </c>
      <c r="D402" s="125" t="s">
        <v>457</v>
      </c>
      <c r="E402" s="125" t="s">
        <v>472</v>
      </c>
      <c r="F402" s="126">
        <v>42109.0</v>
      </c>
      <c r="G402" s="127">
        <v>6.87E8</v>
      </c>
      <c r="H402" s="126">
        <v>42143.0</v>
      </c>
      <c r="I402" s="128">
        <v>3475.0</v>
      </c>
      <c r="J402" s="128">
        <v>651.21</v>
      </c>
      <c r="K402" s="128">
        <v>524.96</v>
      </c>
      <c r="L402" s="128">
        <v>2262955.0</v>
      </c>
      <c r="M402" s="128">
        <v>1824236.0</v>
      </c>
      <c r="N402" s="128">
        <v>438718.8</v>
      </c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125" t="s">
        <v>475</v>
      </c>
      <c r="B403" s="125" t="s">
        <v>640</v>
      </c>
      <c r="C403" s="125" t="s">
        <v>494</v>
      </c>
      <c r="D403" s="125" t="s">
        <v>454</v>
      </c>
      <c r="E403" s="125" t="s">
        <v>284</v>
      </c>
      <c r="F403" s="126">
        <v>42846.0</v>
      </c>
      <c r="G403" s="127">
        <v>9.76E8</v>
      </c>
      <c r="H403" s="126">
        <v>42889.0</v>
      </c>
      <c r="I403" s="128">
        <v>8846.0</v>
      </c>
      <c r="J403" s="128">
        <v>9.33</v>
      </c>
      <c r="K403" s="128">
        <v>6.92</v>
      </c>
      <c r="L403" s="128">
        <v>82533.18</v>
      </c>
      <c r="M403" s="128">
        <v>61214.32</v>
      </c>
      <c r="N403" s="128">
        <v>21318.86</v>
      </c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125" t="s">
        <v>458</v>
      </c>
      <c r="B404" s="125" t="s">
        <v>560</v>
      </c>
      <c r="C404" s="125" t="s">
        <v>468</v>
      </c>
      <c r="D404" s="125" t="s">
        <v>454</v>
      </c>
      <c r="E404" s="125" t="s">
        <v>472</v>
      </c>
      <c r="F404" s="126">
        <v>42458.0</v>
      </c>
      <c r="G404" s="127">
        <v>3.51E8</v>
      </c>
      <c r="H404" s="126">
        <v>42498.0</v>
      </c>
      <c r="I404" s="128">
        <v>750.0</v>
      </c>
      <c r="J404" s="128">
        <v>81.73</v>
      </c>
      <c r="K404" s="128">
        <v>56.67</v>
      </c>
      <c r="L404" s="128">
        <v>61297.5</v>
      </c>
      <c r="M404" s="128">
        <v>42502.5</v>
      </c>
      <c r="N404" s="128">
        <v>18795.0</v>
      </c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125" t="s">
        <v>458</v>
      </c>
      <c r="B405" s="125" t="s">
        <v>545</v>
      </c>
      <c r="C405" s="125" t="s">
        <v>460</v>
      </c>
      <c r="D405" s="125" t="s">
        <v>457</v>
      </c>
      <c r="E405" s="125" t="s">
        <v>472</v>
      </c>
      <c r="F405" s="126">
        <v>42389.0</v>
      </c>
      <c r="G405" s="127">
        <v>5.55E8</v>
      </c>
      <c r="H405" s="126">
        <v>42397.0</v>
      </c>
      <c r="I405" s="128">
        <v>3256.0</v>
      </c>
      <c r="J405" s="128">
        <v>47.45</v>
      </c>
      <c r="K405" s="128">
        <v>31.79</v>
      </c>
      <c r="L405" s="128">
        <v>154497.2</v>
      </c>
      <c r="M405" s="128">
        <v>103508.2</v>
      </c>
      <c r="N405" s="128">
        <v>50988.96</v>
      </c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125" t="s">
        <v>461</v>
      </c>
      <c r="B406" s="125" t="s">
        <v>581</v>
      </c>
      <c r="C406" s="125" t="s">
        <v>471</v>
      </c>
      <c r="D406" s="125" t="s">
        <v>454</v>
      </c>
      <c r="E406" s="125" t="s">
        <v>189</v>
      </c>
      <c r="F406" s="126">
        <v>41705.0</v>
      </c>
      <c r="G406" s="127">
        <v>2.47E8</v>
      </c>
      <c r="H406" s="126">
        <v>41752.0</v>
      </c>
      <c r="I406" s="128">
        <v>2461.0</v>
      </c>
      <c r="J406" s="128">
        <v>109.28</v>
      </c>
      <c r="K406" s="128">
        <v>35.84</v>
      </c>
      <c r="L406" s="128">
        <v>268938.1</v>
      </c>
      <c r="M406" s="128">
        <v>88202.24</v>
      </c>
      <c r="N406" s="128">
        <v>180735.8</v>
      </c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125" t="s">
        <v>461</v>
      </c>
      <c r="B407" s="125" t="s">
        <v>564</v>
      </c>
      <c r="C407" s="125" t="s">
        <v>485</v>
      </c>
      <c r="D407" s="125" t="s">
        <v>454</v>
      </c>
      <c r="E407" s="125" t="s">
        <v>189</v>
      </c>
      <c r="F407" s="126">
        <v>41245.0</v>
      </c>
      <c r="G407" s="127">
        <v>8.6E8</v>
      </c>
      <c r="H407" s="126">
        <v>41288.0</v>
      </c>
      <c r="I407" s="128">
        <v>1497.0</v>
      </c>
      <c r="J407" s="128">
        <v>421.89</v>
      </c>
      <c r="K407" s="128">
        <v>364.69</v>
      </c>
      <c r="L407" s="128">
        <v>631569.3</v>
      </c>
      <c r="M407" s="128">
        <v>545940.9</v>
      </c>
      <c r="N407" s="128">
        <v>85628.4</v>
      </c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125" t="s">
        <v>469</v>
      </c>
      <c r="B408" s="125" t="s">
        <v>501</v>
      </c>
      <c r="C408" s="125" t="s">
        <v>506</v>
      </c>
      <c r="D408" s="125" t="s">
        <v>454</v>
      </c>
      <c r="E408" s="125" t="s">
        <v>464</v>
      </c>
      <c r="F408" s="126">
        <v>42238.0</v>
      </c>
      <c r="G408" s="127">
        <v>7.44E8</v>
      </c>
      <c r="H408" s="126">
        <v>42283.0</v>
      </c>
      <c r="I408" s="128">
        <v>5523.0</v>
      </c>
      <c r="J408" s="128">
        <v>154.06</v>
      </c>
      <c r="K408" s="128">
        <v>90.93</v>
      </c>
      <c r="L408" s="128">
        <v>850873.4</v>
      </c>
      <c r="M408" s="128">
        <v>502206.4</v>
      </c>
      <c r="N408" s="128">
        <v>348667.0</v>
      </c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125" t="s">
        <v>475</v>
      </c>
      <c r="B409" s="125" t="s">
        <v>521</v>
      </c>
      <c r="C409" s="125" t="s">
        <v>514</v>
      </c>
      <c r="D409" s="125" t="s">
        <v>454</v>
      </c>
      <c r="E409" s="125" t="s">
        <v>284</v>
      </c>
      <c r="F409" s="126">
        <v>42149.0</v>
      </c>
      <c r="G409" s="127">
        <v>1.22E8</v>
      </c>
      <c r="H409" s="126">
        <v>42190.0</v>
      </c>
      <c r="I409" s="128">
        <v>6733.0</v>
      </c>
      <c r="J409" s="128">
        <v>668.27</v>
      </c>
      <c r="K409" s="128">
        <v>502.54</v>
      </c>
      <c r="L409" s="128">
        <v>4499462.0</v>
      </c>
      <c r="M409" s="128">
        <v>3383602.0</v>
      </c>
      <c r="N409" s="128">
        <v>1115860.0</v>
      </c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125" t="s">
        <v>461</v>
      </c>
      <c r="B410" s="125" t="s">
        <v>639</v>
      </c>
      <c r="C410" s="125" t="s">
        <v>468</v>
      </c>
      <c r="D410" s="125" t="s">
        <v>454</v>
      </c>
      <c r="E410" s="125" t="s">
        <v>284</v>
      </c>
      <c r="F410" s="126">
        <v>41604.0</v>
      </c>
      <c r="G410" s="127">
        <v>6.36E8</v>
      </c>
      <c r="H410" s="126">
        <v>41638.0</v>
      </c>
      <c r="I410" s="128">
        <v>9350.0</v>
      </c>
      <c r="J410" s="128">
        <v>81.73</v>
      </c>
      <c r="K410" s="128">
        <v>56.67</v>
      </c>
      <c r="L410" s="128">
        <v>764175.5</v>
      </c>
      <c r="M410" s="128">
        <v>529864.5</v>
      </c>
      <c r="N410" s="128">
        <v>234311.0</v>
      </c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125" t="s">
        <v>458</v>
      </c>
      <c r="B411" s="125" t="s">
        <v>622</v>
      </c>
      <c r="C411" s="125" t="s">
        <v>463</v>
      </c>
      <c r="D411" s="125" t="s">
        <v>457</v>
      </c>
      <c r="E411" s="125" t="s">
        <v>284</v>
      </c>
      <c r="F411" s="126">
        <v>40228.0</v>
      </c>
      <c r="G411" s="127">
        <v>3.98E8</v>
      </c>
      <c r="H411" s="126">
        <v>40239.0</v>
      </c>
      <c r="I411" s="128">
        <v>4629.0</v>
      </c>
      <c r="J411" s="128">
        <v>205.7</v>
      </c>
      <c r="K411" s="128">
        <v>117.11</v>
      </c>
      <c r="L411" s="128">
        <v>952185.3</v>
      </c>
      <c r="M411" s="128">
        <v>542102.2</v>
      </c>
      <c r="N411" s="128">
        <v>410083.1</v>
      </c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125" t="s">
        <v>475</v>
      </c>
      <c r="B412" s="125" t="s">
        <v>619</v>
      </c>
      <c r="C412" s="125" t="s">
        <v>480</v>
      </c>
      <c r="D412" s="125" t="s">
        <v>454</v>
      </c>
      <c r="E412" s="125" t="s">
        <v>472</v>
      </c>
      <c r="F412" s="126">
        <v>40808.0</v>
      </c>
      <c r="G412" s="127">
        <v>7.42E8</v>
      </c>
      <c r="H412" s="126">
        <v>40836.0</v>
      </c>
      <c r="I412" s="128">
        <v>5855.0</v>
      </c>
      <c r="J412" s="128">
        <v>437.2</v>
      </c>
      <c r="K412" s="128">
        <v>263.33</v>
      </c>
      <c r="L412" s="128">
        <v>2559806.0</v>
      </c>
      <c r="M412" s="128">
        <v>1541797.0</v>
      </c>
      <c r="N412" s="128">
        <v>1018009.0</v>
      </c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125" t="s">
        <v>458</v>
      </c>
      <c r="B413" s="125" t="s">
        <v>641</v>
      </c>
      <c r="C413" s="125" t="s">
        <v>460</v>
      </c>
      <c r="D413" s="125" t="s">
        <v>454</v>
      </c>
      <c r="E413" s="125" t="s">
        <v>284</v>
      </c>
      <c r="F413" s="126">
        <v>42365.0</v>
      </c>
      <c r="G413" s="127">
        <v>3.7E8</v>
      </c>
      <c r="H413" s="126">
        <v>42388.0</v>
      </c>
      <c r="I413" s="128">
        <v>3348.0</v>
      </c>
      <c r="J413" s="128">
        <v>47.45</v>
      </c>
      <c r="K413" s="128">
        <v>31.79</v>
      </c>
      <c r="L413" s="128">
        <v>158862.6</v>
      </c>
      <c r="M413" s="128">
        <v>106432.9</v>
      </c>
      <c r="N413" s="128">
        <v>52429.68</v>
      </c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125" t="s">
        <v>458</v>
      </c>
      <c r="B414" s="125" t="s">
        <v>573</v>
      </c>
      <c r="C414" s="125" t="s">
        <v>453</v>
      </c>
      <c r="D414" s="125" t="s">
        <v>457</v>
      </c>
      <c r="E414" s="125" t="s">
        <v>472</v>
      </c>
      <c r="F414" s="126">
        <v>41546.0</v>
      </c>
      <c r="G414" s="127">
        <v>3.07E8</v>
      </c>
      <c r="H414" s="126">
        <v>41548.0</v>
      </c>
      <c r="I414" s="128">
        <v>9454.0</v>
      </c>
      <c r="J414" s="128">
        <v>255.28</v>
      </c>
      <c r="K414" s="128">
        <v>159.42</v>
      </c>
      <c r="L414" s="128">
        <v>2413417.0</v>
      </c>
      <c r="M414" s="128">
        <v>1507157.0</v>
      </c>
      <c r="N414" s="128">
        <v>906260.4</v>
      </c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125" t="s">
        <v>475</v>
      </c>
      <c r="B415" s="125" t="s">
        <v>579</v>
      </c>
      <c r="C415" s="125" t="s">
        <v>494</v>
      </c>
      <c r="D415" s="125" t="s">
        <v>454</v>
      </c>
      <c r="E415" s="125" t="s">
        <v>464</v>
      </c>
      <c r="F415" s="126">
        <v>42303.0</v>
      </c>
      <c r="G415" s="127">
        <v>7.45E8</v>
      </c>
      <c r="H415" s="126">
        <v>42311.0</v>
      </c>
      <c r="I415" s="128">
        <v>3554.0</v>
      </c>
      <c r="J415" s="128">
        <v>9.33</v>
      </c>
      <c r="K415" s="128">
        <v>6.92</v>
      </c>
      <c r="L415" s="128">
        <v>33158.82</v>
      </c>
      <c r="M415" s="128">
        <v>24593.68</v>
      </c>
      <c r="N415" s="128">
        <v>8565.14</v>
      </c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125" t="s">
        <v>475</v>
      </c>
      <c r="B416" s="125" t="s">
        <v>548</v>
      </c>
      <c r="C416" s="125" t="s">
        <v>506</v>
      </c>
      <c r="D416" s="125" t="s">
        <v>454</v>
      </c>
      <c r="E416" s="125" t="s">
        <v>189</v>
      </c>
      <c r="F416" s="126">
        <v>40675.0</v>
      </c>
      <c r="G416" s="127">
        <v>5.99E8</v>
      </c>
      <c r="H416" s="126">
        <v>40722.0</v>
      </c>
      <c r="I416" s="128">
        <v>7059.0</v>
      </c>
      <c r="J416" s="128">
        <v>154.06</v>
      </c>
      <c r="K416" s="128">
        <v>90.93</v>
      </c>
      <c r="L416" s="128">
        <v>1087510.0</v>
      </c>
      <c r="M416" s="128">
        <v>641874.9</v>
      </c>
      <c r="N416" s="128">
        <v>445634.7</v>
      </c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125" t="s">
        <v>458</v>
      </c>
      <c r="B417" s="125" t="s">
        <v>493</v>
      </c>
      <c r="C417" s="125" t="s">
        <v>460</v>
      </c>
      <c r="D417" s="125" t="s">
        <v>457</v>
      </c>
      <c r="E417" s="125" t="s">
        <v>284</v>
      </c>
      <c r="F417" s="126">
        <v>42775.0</v>
      </c>
      <c r="G417" s="127">
        <v>6.54E8</v>
      </c>
      <c r="H417" s="126">
        <v>42787.0</v>
      </c>
      <c r="I417" s="128">
        <v>8412.0</v>
      </c>
      <c r="J417" s="128">
        <v>47.45</v>
      </c>
      <c r="K417" s="128">
        <v>31.79</v>
      </c>
      <c r="L417" s="128">
        <v>399149.4</v>
      </c>
      <c r="M417" s="128">
        <v>267417.5</v>
      </c>
      <c r="N417" s="128">
        <v>131731.9</v>
      </c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125" t="s">
        <v>458</v>
      </c>
      <c r="B418" s="125" t="s">
        <v>642</v>
      </c>
      <c r="C418" s="125" t="s">
        <v>506</v>
      </c>
      <c r="D418" s="125" t="s">
        <v>454</v>
      </c>
      <c r="E418" s="125" t="s">
        <v>464</v>
      </c>
      <c r="F418" s="126">
        <v>41274.0</v>
      </c>
      <c r="G418" s="127">
        <v>4.13E8</v>
      </c>
      <c r="H418" s="126">
        <v>41285.0</v>
      </c>
      <c r="I418" s="128">
        <v>8086.0</v>
      </c>
      <c r="J418" s="128">
        <v>154.06</v>
      </c>
      <c r="K418" s="128">
        <v>90.93</v>
      </c>
      <c r="L418" s="128">
        <v>1245729.0</v>
      </c>
      <c r="M418" s="128">
        <v>735260.0</v>
      </c>
      <c r="N418" s="128">
        <v>510469.2</v>
      </c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125" t="s">
        <v>461</v>
      </c>
      <c r="B419" s="125" t="s">
        <v>539</v>
      </c>
      <c r="C419" s="125" t="s">
        <v>506</v>
      </c>
      <c r="D419" s="125" t="s">
        <v>454</v>
      </c>
      <c r="E419" s="125" t="s">
        <v>472</v>
      </c>
      <c r="F419" s="126">
        <v>41676.0</v>
      </c>
      <c r="G419" s="127">
        <v>3.53E8</v>
      </c>
      <c r="H419" s="126">
        <v>41717.0</v>
      </c>
      <c r="I419" s="128">
        <v>3585.0</v>
      </c>
      <c r="J419" s="128">
        <v>154.06</v>
      </c>
      <c r="K419" s="128">
        <v>90.93</v>
      </c>
      <c r="L419" s="128">
        <v>552305.1</v>
      </c>
      <c r="M419" s="128">
        <v>325984.1</v>
      </c>
      <c r="N419" s="128">
        <v>226321.1</v>
      </c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125" t="s">
        <v>469</v>
      </c>
      <c r="B420" s="125" t="s">
        <v>617</v>
      </c>
      <c r="C420" s="125" t="s">
        <v>453</v>
      </c>
      <c r="D420" s="125" t="s">
        <v>454</v>
      </c>
      <c r="E420" s="125" t="s">
        <v>464</v>
      </c>
      <c r="F420" s="126">
        <v>41580.0</v>
      </c>
      <c r="G420" s="127">
        <v>5.68E8</v>
      </c>
      <c r="H420" s="126">
        <v>41590.0</v>
      </c>
      <c r="I420" s="128">
        <v>4447.0</v>
      </c>
      <c r="J420" s="128">
        <v>255.28</v>
      </c>
      <c r="K420" s="128">
        <v>159.42</v>
      </c>
      <c r="L420" s="128">
        <v>1135230.0</v>
      </c>
      <c r="M420" s="128">
        <v>708940.7</v>
      </c>
      <c r="N420" s="128">
        <v>426289.4</v>
      </c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125" t="s">
        <v>488</v>
      </c>
      <c r="B421" s="125" t="s">
        <v>577</v>
      </c>
      <c r="C421" s="125" t="s">
        <v>456</v>
      </c>
      <c r="D421" s="125" t="s">
        <v>454</v>
      </c>
      <c r="E421" s="125" t="s">
        <v>284</v>
      </c>
      <c r="F421" s="126">
        <v>40356.0</v>
      </c>
      <c r="G421" s="127">
        <v>3.24E8</v>
      </c>
      <c r="H421" s="126">
        <v>40371.0</v>
      </c>
      <c r="I421" s="128">
        <v>7238.0</v>
      </c>
      <c r="J421" s="128">
        <v>152.58</v>
      </c>
      <c r="K421" s="128">
        <v>97.44</v>
      </c>
      <c r="L421" s="128">
        <v>1104374.0</v>
      </c>
      <c r="M421" s="128">
        <v>705270.7</v>
      </c>
      <c r="N421" s="128">
        <v>399103.3</v>
      </c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125" t="s">
        <v>458</v>
      </c>
      <c r="B422" s="125" t="s">
        <v>616</v>
      </c>
      <c r="C422" s="125" t="s">
        <v>456</v>
      </c>
      <c r="D422" s="125" t="s">
        <v>454</v>
      </c>
      <c r="E422" s="125" t="s">
        <v>189</v>
      </c>
      <c r="F422" s="126">
        <v>40526.0</v>
      </c>
      <c r="G422" s="127">
        <v>3.08E8</v>
      </c>
      <c r="H422" s="126">
        <v>40544.0</v>
      </c>
      <c r="I422" s="128">
        <v>558.0</v>
      </c>
      <c r="J422" s="128">
        <v>152.58</v>
      </c>
      <c r="K422" s="128">
        <v>97.44</v>
      </c>
      <c r="L422" s="128">
        <v>85139.64</v>
      </c>
      <c r="M422" s="128">
        <v>54371.52</v>
      </c>
      <c r="N422" s="128">
        <v>30768.12</v>
      </c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125" t="s">
        <v>458</v>
      </c>
      <c r="B423" s="125" t="s">
        <v>582</v>
      </c>
      <c r="C423" s="125" t="s">
        <v>478</v>
      </c>
      <c r="D423" s="125" t="s">
        <v>454</v>
      </c>
      <c r="E423" s="125" t="s">
        <v>284</v>
      </c>
      <c r="F423" s="126">
        <v>40856.0</v>
      </c>
      <c r="G423" s="127">
        <v>3.75E8</v>
      </c>
      <c r="H423" s="126">
        <v>40873.0</v>
      </c>
      <c r="I423" s="128">
        <v>35.0</v>
      </c>
      <c r="J423" s="128">
        <v>651.21</v>
      </c>
      <c r="K423" s="128">
        <v>524.96</v>
      </c>
      <c r="L423" s="128">
        <v>22792.35</v>
      </c>
      <c r="M423" s="128">
        <v>18373.6</v>
      </c>
      <c r="N423" s="128">
        <v>4418.75</v>
      </c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125" t="s">
        <v>458</v>
      </c>
      <c r="B424" s="125" t="s">
        <v>643</v>
      </c>
      <c r="C424" s="125" t="s">
        <v>506</v>
      </c>
      <c r="D424" s="125" t="s">
        <v>457</v>
      </c>
      <c r="E424" s="125" t="s">
        <v>284</v>
      </c>
      <c r="F424" s="126">
        <v>40498.0</v>
      </c>
      <c r="G424" s="127">
        <v>9.02E8</v>
      </c>
      <c r="H424" s="126">
        <v>40523.0</v>
      </c>
      <c r="I424" s="128">
        <v>3331.0</v>
      </c>
      <c r="J424" s="128">
        <v>154.06</v>
      </c>
      <c r="K424" s="128">
        <v>90.93</v>
      </c>
      <c r="L424" s="128">
        <v>513173.9</v>
      </c>
      <c r="M424" s="128">
        <v>302887.8</v>
      </c>
      <c r="N424" s="128">
        <v>210286.0</v>
      </c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125" t="s">
        <v>451</v>
      </c>
      <c r="B425" s="125" t="s">
        <v>452</v>
      </c>
      <c r="C425" s="125" t="s">
        <v>456</v>
      </c>
      <c r="D425" s="125" t="s">
        <v>454</v>
      </c>
      <c r="E425" s="125" t="s">
        <v>472</v>
      </c>
      <c r="F425" s="126">
        <v>40379.0</v>
      </c>
      <c r="G425" s="127">
        <v>5.36E8</v>
      </c>
      <c r="H425" s="126">
        <v>40421.0</v>
      </c>
      <c r="I425" s="128">
        <v>5139.0</v>
      </c>
      <c r="J425" s="128">
        <v>152.58</v>
      </c>
      <c r="K425" s="128">
        <v>97.44</v>
      </c>
      <c r="L425" s="128">
        <v>784108.6</v>
      </c>
      <c r="M425" s="128">
        <v>500744.2</v>
      </c>
      <c r="N425" s="128">
        <v>283364.5</v>
      </c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125" t="s">
        <v>461</v>
      </c>
      <c r="B426" s="125" t="s">
        <v>644</v>
      </c>
      <c r="C426" s="125" t="s">
        <v>514</v>
      </c>
      <c r="D426" s="125" t="s">
        <v>457</v>
      </c>
      <c r="E426" s="125" t="s">
        <v>284</v>
      </c>
      <c r="F426" s="126">
        <v>41811.0</v>
      </c>
      <c r="G426" s="127">
        <v>2.44E8</v>
      </c>
      <c r="H426" s="126">
        <v>41842.0</v>
      </c>
      <c r="I426" s="128">
        <v>2183.0</v>
      </c>
      <c r="J426" s="128">
        <v>668.27</v>
      </c>
      <c r="K426" s="128">
        <v>502.54</v>
      </c>
      <c r="L426" s="128">
        <v>1458833.0</v>
      </c>
      <c r="M426" s="128">
        <v>1097045.0</v>
      </c>
      <c r="N426" s="128">
        <v>361788.6</v>
      </c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125" t="s">
        <v>466</v>
      </c>
      <c r="B427" s="125" t="s">
        <v>484</v>
      </c>
      <c r="C427" s="125" t="s">
        <v>471</v>
      </c>
      <c r="D427" s="125" t="s">
        <v>457</v>
      </c>
      <c r="E427" s="125" t="s">
        <v>284</v>
      </c>
      <c r="F427" s="126">
        <v>42349.0</v>
      </c>
      <c r="G427" s="127">
        <v>1.64E8</v>
      </c>
      <c r="H427" s="126">
        <v>42394.0</v>
      </c>
      <c r="I427" s="128">
        <v>8216.0</v>
      </c>
      <c r="J427" s="128">
        <v>109.28</v>
      </c>
      <c r="K427" s="128">
        <v>35.84</v>
      </c>
      <c r="L427" s="128">
        <v>897844.5</v>
      </c>
      <c r="M427" s="128">
        <v>294461.4</v>
      </c>
      <c r="N427" s="128">
        <v>603383.0</v>
      </c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125" t="s">
        <v>488</v>
      </c>
      <c r="B428" s="125" t="s">
        <v>645</v>
      </c>
      <c r="C428" s="125" t="s">
        <v>514</v>
      </c>
      <c r="D428" s="125" t="s">
        <v>457</v>
      </c>
      <c r="E428" s="125" t="s">
        <v>472</v>
      </c>
      <c r="F428" s="126">
        <v>42702.0</v>
      </c>
      <c r="G428" s="127">
        <v>9.54E8</v>
      </c>
      <c r="H428" s="126">
        <v>42751.0</v>
      </c>
      <c r="I428" s="128">
        <v>9025.0</v>
      </c>
      <c r="J428" s="128">
        <v>668.27</v>
      </c>
      <c r="K428" s="128">
        <v>502.54</v>
      </c>
      <c r="L428" s="128">
        <v>6031137.0</v>
      </c>
      <c r="M428" s="128">
        <v>4535424.0</v>
      </c>
      <c r="N428" s="128">
        <v>1495713.0</v>
      </c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125" t="s">
        <v>475</v>
      </c>
      <c r="B429" s="125" t="s">
        <v>500</v>
      </c>
      <c r="C429" s="125" t="s">
        <v>494</v>
      </c>
      <c r="D429" s="125" t="s">
        <v>454</v>
      </c>
      <c r="E429" s="125" t="s">
        <v>189</v>
      </c>
      <c r="F429" s="126">
        <v>42585.0</v>
      </c>
      <c r="G429" s="127">
        <v>6.41E8</v>
      </c>
      <c r="H429" s="126">
        <v>42633.0</v>
      </c>
      <c r="I429" s="128">
        <v>7428.0</v>
      </c>
      <c r="J429" s="128">
        <v>9.33</v>
      </c>
      <c r="K429" s="128">
        <v>6.92</v>
      </c>
      <c r="L429" s="128">
        <v>69303.24</v>
      </c>
      <c r="M429" s="128">
        <v>51401.76</v>
      </c>
      <c r="N429" s="128">
        <v>17901.48</v>
      </c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125" t="s">
        <v>488</v>
      </c>
      <c r="B430" s="125" t="s">
        <v>577</v>
      </c>
      <c r="C430" s="125" t="s">
        <v>453</v>
      </c>
      <c r="D430" s="125" t="s">
        <v>457</v>
      </c>
      <c r="E430" s="125" t="s">
        <v>284</v>
      </c>
      <c r="F430" s="126">
        <v>42102.0</v>
      </c>
      <c r="G430" s="127">
        <v>4.75E8</v>
      </c>
      <c r="H430" s="126">
        <v>42108.0</v>
      </c>
      <c r="I430" s="128">
        <v>8273.0</v>
      </c>
      <c r="J430" s="128">
        <v>255.28</v>
      </c>
      <c r="K430" s="128">
        <v>159.42</v>
      </c>
      <c r="L430" s="128">
        <v>2111931.0</v>
      </c>
      <c r="M430" s="128">
        <v>1318882.0</v>
      </c>
      <c r="N430" s="128">
        <v>793049.8</v>
      </c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125" t="s">
        <v>469</v>
      </c>
      <c r="B431" s="125" t="s">
        <v>589</v>
      </c>
      <c r="C431" s="125" t="s">
        <v>485</v>
      </c>
      <c r="D431" s="125" t="s">
        <v>454</v>
      </c>
      <c r="E431" s="125" t="s">
        <v>284</v>
      </c>
      <c r="F431" s="126">
        <v>40363.0</v>
      </c>
      <c r="G431" s="127">
        <v>8.74E8</v>
      </c>
      <c r="H431" s="126">
        <v>40394.0</v>
      </c>
      <c r="I431" s="128">
        <v>3440.0</v>
      </c>
      <c r="J431" s="128">
        <v>421.89</v>
      </c>
      <c r="K431" s="128">
        <v>364.69</v>
      </c>
      <c r="L431" s="128">
        <v>1451302.0</v>
      </c>
      <c r="M431" s="128">
        <v>1254534.0</v>
      </c>
      <c r="N431" s="128">
        <v>196768.0</v>
      </c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125" t="s">
        <v>475</v>
      </c>
      <c r="B432" s="125" t="s">
        <v>636</v>
      </c>
      <c r="C432" s="125" t="s">
        <v>463</v>
      </c>
      <c r="D432" s="125" t="s">
        <v>454</v>
      </c>
      <c r="E432" s="125" t="s">
        <v>189</v>
      </c>
      <c r="F432" s="126">
        <v>42399.0</v>
      </c>
      <c r="G432" s="127">
        <v>9.77E8</v>
      </c>
      <c r="H432" s="126">
        <v>42440.0</v>
      </c>
      <c r="I432" s="128">
        <v>6840.0</v>
      </c>
      <c r="J432" s="128">
        <v>205.7</v>
      </c>
      <c r="K432" s="128">
        <v>117.11</v>
      </c>
      <c r="L432" s="128">
        <v>1406988.0</v>
      </c>
      <c r="M432" s="128">
        <v>801032.4</v>
      </c>
      <c r="N432" s="128">
        <v>605955.6</v>
      </c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125" t="s">
        <v>451</v>
      </c>
      <c r="B433" s="125" t="s">
        <v>646</v>
      </c>
      <c r="C433" s="125" t="s">
        <v>494</v>
      </c>
      <c r="D433" s="125" t="s">
        <v>457</v>
      </c>
      <c r="E433" s="125" t="s">
        <v>284</v>
      </c>
      <c r="F433" s="126">
        <v>41183.0</v>
      </c>
      <c r="G433" s="127">
        <v>8.93E8</v>
      </c>
      <c r="H433" s="126">
        <v>41225.0</v>
      </c>
      <c r="I433" s="128">
        <v>9416.0</v>
      </c>
      <c r="J433" s="128">
        <v>9.33</v>
      </c>
      <c r="K433" s="128">
        <v>6.92</v>
      </c>
      <c r="L433" s="128">
        <v>87851.28</v>
      </c>
      <c r="M433" s="128">
        <v>65158.72</v>
      </c>
      <c r="N433" s="128">
        <v>22692.56</v>
      </c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125" t="s">
        <v>458</v>
      </c>
      <c r="B434" s="125" t="s">
        <v>498</v>
      </c>
      <c r="C434" s="125" t="s">
        <v>480</v>
      </c>
      <c r="D434" s="125" t="s">
        <v>457</v>
      </c>
      <c r="E434" s="125" t="s">
        <v>464</v>
      </c>
      <c r="F434" s="126">
        <v>41140.0</v>
      </c>
      <c r="G434" s="127">
        <v>3.53E8</v>
      </c>
      <c r="H434" s="126">
        <v>41143.0</v>
      </c>
      <c r="I434" s="128">
        <v>4141.0</v>
      </c>
      <c r="J434" s="128">
        <v>437.2</v>
      </c>
      <c r="K434" s="128">
        <v>263.33</v>
      </c>
      <c r="L434" s="128">
        <v>1810445.0</v>
      </c>
      <c r="M434" s="128">
        <v>1090450.0</v>
      </c>
      <c r="N434" s="128">
        <v>719995.7</v>
      </c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125" t="s">
        <v>469</v>
      </c>
      <c r="B435" s="125" t="s">
        <v>647</v>
      </c>
      <c r="C435" s="125" t="s">
        <v>453</v>
      </c>
      <c r="D435" s="125" t="s">
        <v>457</v>
      </c>
      <c r="E435" s="125" t="s">
        <v>472</v>
      </c>
      <c r="F435" s="126">
        <v>42937.0</v>
      </c>
      <c r="G435" s="127">
        <v>9.57E8</v>
      </c>
      <c r="H435" s="126">
        <v>42972.0</v>
      </c>
      <c r="I435" s="128">
        <v>1020.0</v>
      </c>
      <c r="J435" s="128">
        <v>255.28</v>
      </c>
      <c r="K435" s="128">
        <v>159.42</v>
      </c>
      <c r="L435" s="128">
        <v>260385.6</v>
      </c>
      <c r="M435" s="128">
        <v>162608.4</v>
      </c>
      <c r="N435" s="128">
        <v>97777.2</v>
      </c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125" t="s">
        <v>475</v>
      </c>
      <c r="B436" s="125" t="s">
        <v>619</v>
      </c>
      <c r="C436" s="125" t="s">
        <v>453</v>
      </c>
      <c r="D436" s="125" t="s">
        <v>457</v>
      </c>
      <c r="E436" s="125" t="s">
        <v>464</v>
      </c>
      <c r="F436" s="126">
        <v>42097.0</v>
      </c>
      <c r="G436" s="127">
        <v>3.24E8</v>
      </c>
      <c r="H436" s="126">
        <v>42104.0</v>
      </c>
      <c r="I436" s="128">
        <v>2089.0</v>
      </c>
      <c r="J436" s="128">
        <v>255.28</v>
      </c>
      <c r="K436" s="128">
        <v>159.42</v>
      </c>
      <c r="L436" s="128">
        <v>533279.9</v>
      </c>
      <c r="M436" s="128">
        <v>333028.4</v>
      </c>
      <c r="N436" s="128">
        <v>200251.5</v>
      </c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125" t="s">
        <v>458</v>
      </c>
      <c r="B437" s="125" t="s">
        <v>563</v>
      </c>
      <c r="C437" s="125" t="s">
        <v>463</v>
      </c>
      <c r="D437" s="125" t="s">
        <v>457</v>
      </c>
      <c r="E437" s="125" t="s">
        <v>464</v>
      </c>
      <c r="F437" s="126">
        <v>41445.0</v>
      </c>
      <c r="G437" s="127">
        <v>6.46E8</v>
      </c>
      <c r="H437" s="126">
        <v>41476.0</v>
      </c>
      <c r="I437" s="128">
        <v>6416.0</v>
      </c>
      <c r="J437" s="128">
        <v>205.7</v>
      </c>
      <c r="K437" s="128">
        <v>117.11</v>
      </c>
      <c r="L437" s="128">
        <v>1319771.0</v>
      </c>
      <c r="M437" s="128">
        <v>751377.8</v>
      </c>
      <c r="N437" s="128">
        <v>568393.4</v>
      </c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125" t="s">
        <v>461</v>
      </c>
      <c r="B438" s="125" t="s">
        <v>639</v>
      </c>
      <c r="C438" s="125" t="s">
        <v>494</v>
      </c>
      <c r="D438" s="125" t="s">
        <v>457</v>
      </c>
      <c r="E438" s="125" t="s">
        <v>464</v>
      </c>
      <c r="F438" s="126">
        <v>41433.0</v>
      </c>
      <c r="G438" s="127">
        <v>1.33E8</v>
      </c>
      <c r="H438" s="126">
        <v>41462.0</v>
      </c>
      <c r="I438" s="128">
        <v>5099.0</v>
      </c>
      <c r="J438" s="128">
        <v>9.33</v>
      </c>
      <c r="K438" s="128">
        <v>6.92</v>
      </c>
      <c r="L438" s="128">
        <v>47573.67</v>
      </c>
      <c r="M438" s="128">
        <v>35285.08</v>
      </c>
      <c r="N438" s="128">
        <v>12288.59</v>
      </c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125" t="s">
        <v>475</v>
      </c>
      <c r="B439" s="125" t="s">
        <v>605</v>
      </c>
      <c r="C439" s="125" t="s">
        <v>485</v>
      </c>
      <c r="D439" s="125" t="s">
        <v>457</v>
      </c>
      <c r="E439" s="125" t="s">
        <v>464</v>
      </c>
      <c r="F439" s="126">
        <v>41515.0</v>
      </c>
      <c r="G439" s="127">
        <v>6.67E8</v>
      </c>
      <c r="H439" s="126">
        <v>41527.0</v>
      </c>
      <c r="I439" s="128">
        <v>6269.0</v>
      </c>
      <c r="J439" s="128">
        <v>421.89</v>
      </c>
      <c r="K439" s="128">
        <v>364.69</v>
      </c>
      <c r="L439" s="128">
        <v>2644828.0</v>
      </c>
      <c r="M439" s="128">
        <v>2286242.0</v>
      </c>
      <c r="N439" s="128">
        <v>358586.8</v>
      </c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125" t="s">
        <v>458</v>
      </c>
      <c r="B440" s="125" t="s">
        <v>547</v>
      </c>
      <c r="C440" s="125" t="s">
        <v>478</v>
      </c>
      <c r="D440" s="125" t="s">
        <v>454</v>
      </c>
      <c r="E440" s="125" t="s">
        <v>472</v>
      </c>
      <c r="F440" s="126">
        <v>41536.0</v>
      </c>
      <c r="G440" s="127">
        <v>1.49E8</v>
      </c>
      <c r="H440" s="126">
        <v>41542.0</v>
      </c>
      <c r="I440" s="128">
        <v>85.0</v>
      </c>
      <c r="J440" s="128">
        <v>651.21</v>
      </c>
      <c r="K440" s="128">
        <v>524.96</v>
      </c>
      <c r="L440" s="128">
        <v>55352.85</v>
      </c>
      <c r="M440" s="128">
        <v>44621.6</v>
      </c>
      <c r="N440" s="128">
        <v>10731.25</v>
      </c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125" t="s">
        <v>475</v>
      </c>
      <c r="B441" s="125" t="s">
        <v>600</v>
      </c>
      <c r="C441" s="125" t="s">
        <v>460</v>
      </c>
      <c r="D441" s="125" t="s">
        <v>454</v>
      </c>
      <c r="E441" s="125" t="s">
        <v>464</v>
      </c>
      <c r="F441" s="126">
        <v>40347.0</v>
      </c>
      <c r="G441" s="127">
        <v>1.51E8</v>
      </c>
      <c r="H441" s="126">
        <v>40371.0</v>
      </c>
      <c r="I441" s="128">
        <v>3741.0</v>
      </c>
      <c r="J441" s="128">
        <v>47.45</v>
      </c>
      <c r="K441" s="128">
        <v>31.79</v>
      </c>
      <c r="L441" s="128">
        <v>177510.5</v>
      </c>
      <c r="M441" s="128">
        <v>118926.4</v>
      </c>
      <c r="N441" s="128">
        <v>58584.06</v>
      </c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125" t="s">
        <v>475</v>
      </c>
      <c r="B442" s="125" t="s">
        <v>648</v>
      </c>
      <c r="C442" s="125" t="s">
        <v>468</v>
      </c>
      <c r="D442" s="125" t="s">
        <v>457</v>
      </c>
      <c r="E442" s="125" t="s">
        <v>464</v>
      </c>
      <c r="F442" s="126">
        <v>42720.0</v>
      </c>
      <c r="G442" s="127">
        <v>9.66E8</v>
      </c>
      <c r="H442" s="126">
        <v>42762.0</v>
      </c>
      <c r="I442" s="128">
        <v>6461.0</v>
      </c>
      <c r="J442" s="128">
        <v>81.73</v>
      </c>
      <c r="K442" s="128">
        <v>56.67</v>
      </c>
      <c r="L442" s="128">
        <v>528057.5</v>
      </c>
      <c r="M442" s="128">
        <v>366144.9</v>
      </c>
      <c r="N442" s="128">
        <v>161912.7</v>
      </c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125" t="s">
        <v>451</v>
      </c>
      <c r="B443" s="125" t="s">
        <v>609</v>
      </c>
      <c r="C443" s="125" t="s">
        <v>453</v>
      </c>
      <c r="D443" s="125" t="s">
        <v>454</v>
      </c>
      <c r="E443" s="125" t="s">
        <v>189</v>
      </c>
      <c r="F443" s="126">
        <v>41368.0</v>
      </c>
      <c r="G443" s="127">
        <v>2.56E8</v>
      </c>
      <c r="H443" s="126">
        <v>41391.0</v>
      </c>
      <c r="I443" s="128">
        <v>4498.0</v>
      </c>
      <c r="J443" s="128">
        <v>255.28</v>
      </c>
      <c r="K443" s="128">
        <v>159.42</v>
      </c>
      <c r="L443" s="128">
        <v>1148249.0</v>
      </c>
      <c r="M443" s="128">
        <v>717071.2</v>
      </c>
      <c r="N443" s="128">
        <v>431178.3</v>
      </c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125" t="s">
        <v>451</v>
      </c>
      <c r="B444" s="125" t="s">
        <v>543</v>
      </c>
      <c r="C444" s="125" t="s">
        <v>514</v>
      </c>
      <c r="D444" s="125" t="s">
        <v>454</v>
      </c>
      <c r="E444" s="125" t="s">
        <v>284</v>
      </c>
      <c r="F444" s="126">
        <v>40457.0</v>
      </c>
      <c r="G444" s="127">
        <v>7.04E8</v>
      </c>
      <c r="H444" s="126">
        <v>40505.0</v>
      </c>
      <c r="I444" s="128">
        <v>6140.0</v>
      </c>
      <c r="J444" s="128">
        <v>668.27</v>
      </c>
      <c r="K444" s="128">
        <v>502.54</v>
      </c>
      <c r="L444" s="128">
        <v>4103178.0</v>
      </c>
      <c r="M444" s="128">
        <v>3085596.0</v>
      </c>
      <c r="N444" s="128">
        <v>1017582.0</v>
      </c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125" t="s">
        <v>475</v>
      </c>
      <c r="B445" s="125" t="s">
        <v>544</v>
      </c>
      <c r="C445" s="125" t="s">
        <v>453</v>
      </c>
      <c r="D445" s="125" t="s">
        <v>454</v>
      </c>
      <c r="E445" s="125" t="s">
        <v>284</v>
      </c>
      <c r="F445" s="126">
        <v>40395.0</v>
      </c>
      <c r="G445" s="127">
        <v>5.63E8</v>
      </c>
      <c r="H445" s="126">
        <v>40424.0</v>
      </c>
      <c r="I445" s="128">
        <v>6703.0</v>
      </c>
      <c r="J445" s="128">
        <v>255.28</v>
      </c>
      <c r="K445" s="128">
        <v>159.42</v>
      </c>
      <c r="L445" s="128">
        <v>1711142.0</v>
      </c>
      <c r="M445" s="128">
        <v>1068592.0</v>
      </c>
      <c r="N445" s="128">
        <v>642549.6</v>
      </c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125" t="s">
        <v>466</v>
      </c>
      <c r="B446" s="125" t="s">
        <v>467</v>
      </c>
      <c r="C446" s="125" t="s">
        <v>506</v>
      </c>
      <c r="D446" s="125" t="s">
        <v>457</v>
      </c>
      <c r="E446" s="125" t="s">
        <v>472</v>
      </c>
      <c r="F446" s="126">
        <v>41977.0</v>
      </c>
      <c r="G446" s="127">
        <v>4.07E8</v>
      </c>
      <c r="H446" s="126">
        <v>42027.0</v>
      </c>
      <c r="I446" s="128">
        <v>3537.0</v>
      </c>
      <c r="J446" s="128">
        <v>154.06</v>
      </c>
      <c r="K446" s="128">
        <v>90.93</v>
      </c>
      <c r="L446" s="128">
        <v>544910.2</v>
      </c>
      <c r="M446" s="128">
        <v>321619.4</v>
      </c>
      <c r="N446" s="128">
        <v>223290.8</v>
      </c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125" t="s">
        <v>461</v>
      </c>
      <c r="B447" s="125" t="s">
        <v>595</v>
      </c>
      <c r="C447" s="125" t="s">
        <v>460</v>
      </c>
      <c r="D447" s="125" t="s">
        <v>457</v>
      </c>
      <c r="E447" s="125" t="s">
        <v>189</v>
      </c>
      <c r="F447" s="126">
        <v>42237.0</v>
      </c>
      <c r="G447" s="127">
        <v>8.79E8</v>
      </c>
      <c r="H447" s="126">
        <v>42261.0</v>
      </c>
      <c r="I447" s="128">
        <v>1021.0</v>
      </c>
      <c r="J447" s="128">
        <v>47.45</v>
      </c>
      <c r="K447" s="128">
        <v>31.79</v>
      </c>
      <c r="L447" s="128">
        <v>48446.45</v>
      </c>
      <c r="M447" s="128">
        <v>32457.59</v>
      </c>
      <c r="N447" s="128">
        <v>15988.86</v>
      </c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125" t="s">
        <v>458</v>
      </c>
      <c r="B448" s="125" t="s">
        <v>610</v>
      </c>
      <c r="C448" s="125" t="s">
        <v>453</v>
      </c>
      <c r="D448" s="125" t="s">
        <v>454</v>
      </c>
      <c r="E448" s="125" t="s">
        <v>464</v>
      </c>
      <c r="F448" s="126">
        <v>41367.0</v>
      </c>
      <c r="G448" s="127">
        <v>4.44E8</v>
      </c>
      <c r="H448" s="126">
        <v>41403.0</v>
      </c>
      <c r="I448" s="128">
        <v>5566.0</v>
      </c>
      <c r="J448" s="128">
        <v>255.28</v>
      </c>
      <c r="K448" s="128">
        <v>159.42</v>
      </c>
      <c r="L448" s="128">
        <v>1420888.0</v>
      </c>
      <c r="M448" s="128">
        <v>887331.7</v>
      </c>
      <c r="N448" s="128">
        <v>533556.8</v>
      </c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125" t="s">
        <v>466</v>
      </c>
      <c r="B449" s="125" t="s">
        <v>531</v>
      </c>
      <c r="C449" s="125" t="s">
        <v>468</v>
      </c>
      <c r="D449" s="125" t="s">
        <v>454</v>
      </c>
      <c r="E449" s="125" t="s">
        <v>464</v>
      </c>
      <c r="F449" s="126">
        <v>41330.0</v>
      </c>
      <c r="G449" s="127">
        <v>3.35E8</v>
      </c>
      <c r="H449" s="126">
        <v>41333.0</v>
      </c>
      <c r="I449" s="128">
        <v>615.0</v>
      </c>
      <c r="J449" s="128">
        <v>81.73</v>
      </c>
      <c r="K449" s="128">
        <v>56.67</v>
      </c>
      <c r="L449" s="128">
        <v>50263.95</v>
      </c>
      <c r="M449" s="128">
        <v>34852.05</v>
      </c>
      <c r="N449" s="128">
        <v>15411.9</v>
      </c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125" t="s">
        <v>458</v>
      </c>
      <c r="B450" s="125" t="s">
        <v>641</v>
      </c>
      <c r="C450" s="125" t="s">
        <v>471</v>
      </c>
      <c r="D450" s="125" t="s">
        <v>457</v>
      </c>
      <c r="E450" s="125" t="s">
        <v>472</v>
      </c>
      <c r="F450" s="126">
        <v>41709.0</v>
      </c>
      <c r="G450" s="127">
        <v>5.08E8</v>
      </c>
      <c r="H450" s="126">
        <v>41718.0</v>
      </c>
      <c r="I450" s="128">
        <v>1642.0</v>
      </c>
      <c r="J450" s="128">
        <v>109.28</v>
      </c>
      <c r="K450" s="128">
        <v>35.84</v>
      </c>
      <c r="L450" s="128">
        <v>179437.8</v>
      </c>
      <c r="M450" s="128">
        <v>58849.28</v>
      </c>
      <c r="N450" s="128">
        <v>120588.5</v>
      </c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125" t="s">
        <v>458</v>
      </c>
      <c r="B451" s="125" t="s">
        <v>590</v>
      </c>
      <c r="C451" s="125" t="s">
        <v>478</v>
      </c>
      <c r="D451" s="125" t="s">
        <v>454</v>
      </c>
      <c r="E451" s="125" t="s">
        <v>284</v>
      </c>
      <c r="F451" s="126">
        <v>41098.0</v>
      </c>
      <c r="G451" s="127">
        <v>9.88E8</v>
      </c>
      <c r="H451" s="126">
        <v>41122.0</v>
      </c>
      <c r="I451" s="128">
        <v>1150.0</v>
      </c>
      <c r="J451" s="128">
        <v>651.21</v>
      </c>
      <c r="K451" s="128">
        <v>524.96</v>
      </c>
      <c r="L451" s="128">
        <v>748891.5</v>
      </c>
      <c r="M451" s="128">
        <v>603704.0</v>
      </c>
      <c r="N451" s="128">
        <v>145187.5</v>
      </c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125" t="s">
        <v>451</v>
      </c>
      <c r="B452" s="125" t="s">
        <v>608</v>
      </c>
      <c r="C452" s="125" t="s">
        <v>485</v>
      </c>
      <c r="D452" s="125" t="s">
        <v>457</v>
      </c>
      <c r="E452" s="125" t="s">
        <v>464</v>
      </c>
      <c r="F452" s="126">
        <v>41241.0</v>
      </c>
      <c r="G452" s="127">
        <v>5.2E8</v>
      </c>
      <c r="H452" s="126">
        <v>41272.0</v>
      </c>
      <c r="I452" s="128">
        <v>3677.0</v>
      </c>
      <c r="J452" s="128">
        <v>421.89</v>
      </c>
      <c r="K452" s="128">
        <v>364.69</v>
      </c>
      <c r="L452" s="128">
        <v>1551290.0</v>
      </c>
      <c r="M452" s="128">
        <v>1340965.0</v>
      </c>
      <c r="N452" s="128">
        <v>210324.4</v>
      </c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125" t="s">
        <v>466</v>
      </c>
      <c r="B453" s="125" t="s">
        <v>598</v>
      </c>
      <c r="C453" s="125" t="s">
        <v>456</v>
      </c>
      <c r="D453" s="125" t="s">
        <v>457</v>
      </c>
      <c r="E453" s="125" t="s">
        <v>189</v>
      </c>
      <c r="F453" s="126">
        <v>42892.0</v>
      </c>
      <c r="G453" s="127">
        <v>6.19E8</v>
      </c>
      <c r="H453" s="126">
        <v>42896.0</v>
      </c>
      <c r="I453" s="128">
        <v>789.0</v>
      </c>
      <c r="J453" s="128">
        <v>152.58</v>
      </c>
      <c r="K453" s="128">
        <v>97.44</v>
      </c>
      <c r="L453" s="128">
        <v>120385.6</v>
      </c>
      <c r="M453" s="128">
        <v>76880.16</v>
      </c>
      <c r="N453" s="128">
        <v>43505.46</v>
      </c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125" t="s">
        <v>466</v>
      </c>
      <c r="B454" s="125" t="s">
        <v>491</v>
      </c>
      <c r="C454" s="125" t="s">
        <v>453</v>
      </c>
      <c r="D454" s="125" t="s">
        <v>457</v>
      </c>
      <c r="E454" s="125" t="s">
        <v>472</v>
      </c>
      <c r="F454" s="126">
        <v>41659.0</v>
      </c>
      <c r="G454" s="127">
        <v>6.22E8</v>
      </c>
      <c r="H454" s="126">
        <v>41688.0</v>
      </c>
      <c r="I454" s="128">
        <v>6086.0</v>
      </c>
      <c r="J454" s="128">
        <v>255.28</v>
      </c>
      <c r="K454" s="128">
        <v>159.42</v>
      </c>
      <c r="L454" s="128">
        <v>1553634.0</v>
      </c>
      <c r="M454" s="128">
        <v>970230.1</v>
      </c>
      <c r="N454" s="128">
        <v>583404.0</v>
      </c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125" t="s">
        <v>461</v>
      </c>
      <c r="B455" s="125" t="s">
        <v>564</v>
      </c>
      <c r="C455" s="125" t="s">
        <v>471</v>
      </c>
      <c r="D455" s="125" t="s">
        <v>457</v>
      </c>
      <c r="E455" s="125" t="s">
        <v>464</v>
      </c>
      <c r="F455" s="126">
        <v>40456.0</v>
      </c>
      <c r="G455" s="127">
        <v>8.36E8</v>
      </c>
      <c r="H455" s="126">
        <v>40485.0</v>
      </c>
      <c r="I455" s="128">
        <v>197.0</v>
      </c>
      <c r="J455" s="128">
        <v>109.28</v>
      </c>
      <c r="K455" s="128">
        <v>35.84</v>
      </c>
      <c r="L455" s="128">
        <v>21528.16</v>
      </c>
      <c r="M455" s="128">
        <v>7060.48</v>
      </c>
      <c r="N455" s="128">
        <v>14467.68</v>
      </c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125" t="s">
        <v>466</v>
      </c>
      <c r="B456" s="125" t="s">
        <v>584</v>
      </c>
      <c r="C456" s="125" t="s">
        <v>468</v>
      </c>
      <c r="D456" s="125" t="s">
        <v>454</v>
      </c>
      <c r="E456" s="125" t="s">
        <v>284</v>
      </c>
      <c r="F456" s="126">
        <v>42585.0</v>
      </c>
      <c r="G456" s="127">
        <v>2.86E8</v>
      </c>
      <c r="H456" s="126">
        <v>42626.0</v>
      </c>
      <c r="I456" s="128">
        <v>5784.0</v>
      </c>
      <c r="J456" s="128">
        <v>81.73</v>
      </c>
      <c r="K456" s="128">
        <v>56.67</v>
      </c>
      <c r="L456" s="128">
        <v>472726.3</v>
      </c>
      <c r="M456" s="128">
        <v>327779.3</v>
      </c>
      <c r="N456" s="128">
        <v>144947.0</v>
      </c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125" t="s">
        <v>466</v>
      </c>
      <c r="B457" s="125" t="s">
        <v>491</v>
      </c>
      <c r="C457" s="125" t="s">
        <v>453</v>
      </c>
      <c r="D457" s="125" t="s">
        <v>454</v>
      </c>
      <c r="E457" s="125" t="s">
        <v>284</v>
      </c>
      <c r="F457" s="126">
        <v>42056.0</v>
      </c>
      <c r="G457" s="127">
        <v>7.69E8</v>
      </c>
      <c r="H457" s="126">
        <v>42097.0</v>
      </c>
      <c r="I457" s="128">
        <v>2538.0</v>
      </c>
      <c r="J457" s="128">
        <v>255.28</v>
      </c>
      <c r="K457" s="128">
        <v>159.42</v>
      </c>
      <c r="L457" s="128">
        <v>647900.6</v>
      </c>
      <c r="M457" s="128">
        <v>404608.0</v>
      </c>
      <c r="N457" s="128">
        <v>243292.7</v>
      </c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125" t="s">
        <v>475</v>
      </c>
      <c r="B458" s="125" t="s">
        <v>619</v>
      </c>
      <c r="C458" s="125" t="s">
        <v>506</v>
      </c>
      <c r="D458" s="125" t="s">
        <v>457</v>
      </c>
      <c r="E458" s="125" t="s">
        <v>464</v>
      </c>
      <c r="F458" s="126">
        <v>41566.0</v>
      </c>
      <c r="G458" s="127">
        <v>1.03E8</v>
      </c>
      <c r="H458" s="126">
        <v>41583.0</v>
      </c>
      <c r="I458" s="128">
        <v>2184.0</v>
      </c>
      <c r="J458" s="128">
        <v>154.06</v>
      </c>
      <c r="K458" s="128">
        <v>90.93</v>
      </c>
      <c r="L458" s="128">
        <v>336467.0</v>
      </c>
      <c r="M458" s="128">
        <v>198591.1</v>
      </c>
      <c r="N458" s="128">
        <v>137875.9</v>
      </c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125" t="s">
        <v>451</v>
      </c>
      <c r="B459" s="125" t="s">
        <v>646</v>
      </c>
      <c r="C459" s="125" t="s">
        <v>463</v>
      </c>
      <c r="D459" s="125" t="s">
        <v>454</v>
      </c>
      <c r="E459" s="125" t="s">
        <v>464</v>
      </c>
      <c r="F459" s="126">
        <v>42818.0</v>
      </c>
      <c r="G459" s="127">
        <v>6.76E8</v>
      </c>
      <c r="H459" s="126">
        <v>42866.0</v>
      </c>
      <c r="I459" s="128">
        <v>3476.0</v>
      </c>
      <c r="J459" s="128">
        <v>205.7</v>
      </c>
      <c r="K459" s="128">
        <v>117.11</v>
      </c>
      <c r="L459" s="128">
        <v>715013.2</v>
      </c>
      <c r="M459" s="128">
        <v>407074.4</v>
      </c>
      <c r="N459" s="128">
        <v>307938.8</v>
      </c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125" t="s">
        <v>475</v>
      </c>
      <c r="B460" s="125" t="s">
        <v>628</v>
      </c>
      <c r="C460" s="125" t="s">
        <v>494</v>
      </c>
      <c r="D460" s="125" t="s">
        <v>457</v>
      </c>
      <c r="E460" s="125" t="s">
        <v>189</v>
      </c>
      <c r="F460" s="126">
        <v>42373.0</v>
      </c>
      <c r="G460" s="127">
        <v>8.95E8</v>
      </c>
      <c r="H460" s="126">
        <v>42395.0</v>
      </c>
      <c r="I460" s="128">
        <v>7200.0</v>
      </c>
      <c r="J460" s="128">
        <v>9.33</v>
      </c>
      <c r="K460" s="128">
        <v>6.92</v>
      </c>
      <c r="L460" s="128">
        <v>67176.0</v>
      </c>
      <c r="M460" s="128">
        <v>49824.0</v>
      </c>
      <c r="N460" s="128">
        <v>17352.0</v>
      </c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125" t="s">
        <v>475</v>
      </c>
      <c r="B461" s="125" t="s">
        <v>602</v>
      </c>
      <c r="C461" s="125" t="s">
        <v>494</v>
      </c>
      <c r="D461" s="125" t="s">
        <v>454</v>
      </c>
      <c r="E461" s="125" t="s">
        <v>189</v>
      </c>
      <c r="F461" s="126">
        <v>41328.0</v>
      </c>
      <c r="G461" s="127">
        <v>1.38E8</v>
      </c>
      <c r="H461" s="126">
        <v>41347.0</v>
      </c>
      <c r="I461" s="128">
        <v>1174.0</v>
      </c>
      <c r="J461" s="128">
        <v>9.33</v>
      </c>
      <c r="K461" s="128">
        <v>6.92</v>
      </c>
      <c r="L461" s="128">
        <v>10953.42</v>
      </c>
      <c r="M461" s="128">
        <v>8124.08</v>
      </c>
      <c r="N461" s="128">
        <v>2829.34</v>
      </c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125" t="s">
        <v>458</v>
      </c>
      <c r="B462" s="125" t="s">
        <v>631</v>
      </c>
      <c r="C462" s="125" t="s">
        <v>453</v>
      </c>
      <c r="D462" s="125" t="s">
        <v>457</v>
      </c>
      <c r="E462" s="125" t="s">
        <v>472</v>
      </c>
      <c r="F462" s="126">
        <v>41171.0</v>
      </c>
      <c r="G462" s="127">
        <v>1.04E8</v>
      </c>
      <c r="H462" s="126">
        <v>41202.0</v>
      </c>
      <c r="I462" s="128">
        <v>5247.0</v>
      </c>
      <c r="J462" s="128">
        <v>255.28</v>
      </c>
      <c r="K462" s="128">
        <v>159.42</v>
      </c>
      <c r="L462" s="128">
        <v>1339454.0</v>
      </c>
      <c r="M462" s="128">
        <v>836476.7</v>
      </c>
      <c r="N462" s="128">
        <v>502977.4</v>
      </c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125" t="s">
        <v>466</v>
      </c>
      <c r="B463" s="125" t="s">
        <v>584</v>
      </c>
      <c r="C463" s="125" t="s">
        <v>468</v>
      </c>
      <c r="D463" s="125" t="s">
        <v>457</v>
      </c>
      <c r="E463" s="125" t="s">
        <v>472</v>
      </c>
      <c r="F463" s="126">
        <v>42394.0</v>
      </c>
      <c r="G463" s="127">
        <v>7.62E8</v>
      </c>
      <c r="H463" s="126">
        <v>42432.0</v>
      </c>
      <c r="I463" s="128">
        <v>6298.0</v>
      </c>
      <c r="J463" s="128">
        <v>81.73</v>
      </c>
      <c r="K463" s="128">
        <v>56.67</v>
      </c>
      <c r="L463" s="128">
        <v>514735.5</v>
      </c>
      <c r="M463" s="128">
        <v>356907.7</v>
      </c>
      <c r="N463" s="128">
        <v>157827.9</v>
      </c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125" t="s">
        <v>475</v>
      </c>
      <c r="B464" s="125" t="s">
        <v>648</v>
      </c>
      <c r="C464" s="125" t="s">
        <v>460</v>
      </c>
      <c r="D464" s="125" t="s">
        <v>454</v>
      </c>
      <c r="E464" s="125" t="s">
        <v>189</v>
      </c>
      <c r="F464" s="126">
        <v>40347.0</v>
      </c>
      <c r="G464" s="127">
        <v>8.0E8</v>
      </c>
      <c r="H464" s="126">
        <v>40380.0</v>
      </c>
      <c r="I464" s="128">
        <v>3238.0</v>
      </c>
      <c r="J464" s="128">
        <v>47.45</v>
      </c>
      <c r="K464" s="128">
        <v>31.79</v>
      </c>
      <c r="L464" s="128">
        <v>153643.1</v>
      </c>
      <c r="M464" s="128">
        <v>102936.0</v>
      </c>
      <c r="N464" s="128">
        <v>50707.08</v>
      </c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125" t="s">
        <v>461</v>
      </c>
      <c r="B465" s="125" t="s">
        <v>481</v>
      </c>
      <c r="C465" s="125" t="s">
        <v>456</v>
      </c>
      <c r="D465" s="125" t="s">
        <v>457</v>
      </c>
      <c r="E465" s="125" t="s">
        <v>464</v>
      </c>
      <c r="F465" s="126">
        <v>40450.0</v>
      </c>
      <c r="G465" s="127">
        <v>7.79E8</v>
      </c>
      <c r="H465" s="126">
        <v>40499.0</v>
      </c>
      <c r="I465" s="128">
        <v>2010.0</v>
      </c>
      <c r="J465" s="128">
        <v>152.58</v>
      </c>
      <c r="K465" s="128">
        <v>97.44</v>
      </c>
      <c r="L465" s="128">
        <v>306685.8</v>
      </c>
      <c r="M465" s="128">
        <v>195854.4</v>
      </c>
      <c r="N465" s="128">
        <v>110831.4</v>
      </c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125" t="s">
        <v>451</v>
      </c>
      <c r="B466" s="125" t="s">
        <v>452</v>
      </c>
      <c r="C466" s="125" t="s">
        <v>480</v>
      </c>
      <c r="D466" s="125" t="s">
        <v>457</v>
      </c>
      <c r="E466" s="125" t="s">
        <v>189</v>
      </c>
      <c r="F466" s="126">
        <v>40215.0</v>
      </c>
      <c r="G466" s="127">
        <v>8.77E8</v>
      </c>
      <c r="H466" s="126">
        <v>40244.0</v>
      </c>
      <c r="I466" s="128">
        <v>588.0</v>
      </c>
      <c r="J466" s="128">
        <v>437.2</v>
      </c>
      <c r="K466" s="128">
        <v>263.33</v>
      </c>
      <c r="L466" s="128">
        <v>257073.6</v>
      </c>
      <c r="M466" s="128">
        <v>154838.0</v>
      </c>
      <c r="N466" s="128">
        <v>102235.6</v>
      </c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125" t="s">
        <v>458</v>
      </c>
      <c r="B467" s="125" t="s">
        <v>555</v>
      </c>
      <c r="C467" s="125" t="s">
        <v>468</v>
      </c>
      <c r="D467" s="125" t="s">
        <v>454</v>
      </c>
      <c r="E467" s="125" t="s">
        <v>472</v>
      </c>
      <c r="F467" s="126">
        <v>41689.0</v>
      </c>
      <c r="G467" s="127">
        <v>4.46E8</v>
      </c>
      <c r="H467" s="126">
        <v>41697.0</v>
      </c>
      <c r="I467" s="128">
        <v>3975.0</v>
      </c>
      <c r="J467" s="128">
        <v>81.73</v>
      </c>
      <c r="K467" s="128">
        <v>56.67</v>
      </c>
      <c r="L467" s="128">
        <v>324876.8</v>
      </c>
      <c r="M467" s="128">
        <v>225263.3</v>
      </c>
      <c r="N467" s="128">
        <v>99613.5</v>
      </c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125" t="s">
        <v>475</v>
      </c>
      <c r="B468" s="125" t="s">
        <v>619</v>
      </c>
      <c r="C468" s="125" t="s">
        <v>514</v>
      </c>
      <c r="D468" s="125" t="s">
        <v>457</v>
      </c>
      <c r="E468" s="125" t="s">
        <v>189</v>
      </c>
      <c r="F468" s="126">
        <v>41779.0</v>
      </c>
      <c r="G468" s="127">
        <v>2.55E8</v>
      </c>
      <c r="H468" s="126">
        <v>41811.0</v>
      </c>
      <c r="I468" s="128">
        <v>9210.0</v>
      </c>
      <c r="J468" s="128">
        <v>668.27</v>
      </c>
      <c r="K468" s="128">
        <v>502.54</v>
      </c>
      <c r="L468" s="128">
        <v>6154767.0</v>
      </c>
      <c r="M468" s="128">
        <v>4628393.0</v>
      </c>
      <c r="N468" s="128">
        <v>1526373.0</v>
      </c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125" t="s">
        <v>475</v>
      </c>
      <c r="B469" s="125" t="s">
        <v>588</v>
      </c>
      <c r="C469" s="125" t="s">
        <v>453</v>
      </c>
      <c r="D469" s="125" t="s">
        <v>454</v>
      </c>
      <c r="E469" s="125" t="s">
        <v>472</v>
      </c>
      <c r="F469" s="126">
        <v>41928.0</v>
      </c>
      <c r="G469" s="127">
        <v>2.44E8</v>
      </c>
      <c r="H469" s="126">
        <v>41964.0</v>
      </c>
      <c r="I469" s="128">
        <v>358.0</v>
      </c>
      <c r="J469" s="128">
        <v>255.28</v>
      </c>
      <c r="K469" s="128">
        <v>159.42</v>
      </c>
      <c r="L469" s="128">
        <v>91390.24</v>
      </c>
      <c r="M469" s="128">
        <v>57072.36</v>
      </c>
      <c r="N469" s="128">
        <v>34317.88</v>
      </c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125" t="s">
        <v>475</v>
      </c>
      <c r="B470" s="125" t="s">
        <v>649</v>
      </c>
      <c r="C470" s="125" t="s">
        <v>463</v>
      </c>
      <c r="D470" s="125" t="s">
        <v>454</v>
      </c>
      <c r="E470" s="125" t="s">
        <v>189</v>
      </c>
      <c r="F470" s="126">
        <v>41204.0</v>
      </c>
      <c r="G470" s="127">
        <v>8.76E8</v>
      </c>
      <c r="H470" s="126">
        <v>41222.0</v>
      </c>
      <c r="I470" s="128">
        <v>3519.0</v>
      </c>
      <c r="J470" s="128">
        <v>205.7</v>
      </c>
      <c r="K470" s="128">
        <v>117.11</v>
      </c>
      <c r="L470" s="128">
        <v>723858.3</v>
      </c>
      <c r="M470" s="128">
        <v>412110.1</v>
      </c>
      <c r="N470" s="128">
        <v>311748.2</v>
      </c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125" t="s">
        <v>451</v>
      </c>
      <c r="B471" s="125" t="s">
        <v>620</v>
      </c>
      <c r="C471" s="125" t="s">
        <v>494</v>
      </c>
      <c r="D471" s="125" t="s">
        <v>454</v>
      </c>
      <c r="E471" s="125" t="s">
        <v>464</v>
      </c>
      <c r="F471" s="126">
        <v>40445.0</v>
      </c>
      <c r="G471" s="127">
        <v>8.82E8</v>
      </c>
      <c r="H471" s="126">
        <v>40460.0</v>
      </c>
      <c r="I471" s="128">
        <v>1822.0</v>
      </c>
      <c r="J471" s="128">
        <v>9.33</v>
      </c>
      <c r="K471" s="128">
        <v>6.92</v>
      </c>
      <c r="L471" s="128">
        <v>16999.26</v>
      </c>
      <c r="M471" s="128">
        <v>12608.24</v>
      </c>
      <c r="N471" s="128">
        <v>4391.02</v>
      </c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125" t="s">
        <v>475</v>
      </c>
      <c r="B472" s="125" t="s">
        <v>549</v>
      </c>
      <c r="C472" s="125" t="s">
        <v>471</v>
      </c>
      <c r="D472" s="125" t="s">
        <v>454</v>
      </c>
      <c r="E472" s="125" t="s">
        <v>284</v>
      </c>
      <c r="F472" s="126">
        <v>40878.0</v>
      </c>
      <c r="G472" s="127">
        <v>4.12E8</v>
      </c>
      <c r="H472" s="126">
        <v>40904.0</v>
      </c>
      <c r="I472" s="128">
        <v>428.0</v>
      </c>
      <c r="J472" s="128">
        <v>109.28</v>
      </c>
      <c r="K472" s="128">
        <v>35.84</v>
      </c>
      <c r="L472" s="128">
        <v>46771.84</v>
      </c>
      <c r="M472" s="128">
        <v>15339.52</v>
      </c>
      <c r="N472" s="128">
        <v>31432.32</v>
      </c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125" t="s">
        <v>461</v>
      </c>
      <c r="B473" s="125" t="s">
        <v>629</v>
      </c>
      <c r="C473" s="125" t="s">
        <v>453</v>
      </c>
      <c r="D473" s="125" t="s">
        <v>454</v>
      </c>
      <c r="E473" s="125" t="s">
        <v>189</v>
      </c>
      <c r="F473" s="126">
        <v>42737.0</v>
      </c>
      <c r="G473" s="127">
        <v>5.89E8</v>
      </c>
      <c r="H473" s="126">
        <v>42777.0</v>
      </c>
      <c r="I473" s="128">
        <v>1531.0</v>
      </c>
      <c r="J473" s="128">
        <v>255.28</v>
      </c>
      <c r="K473" s="128">
        <v>159.42</v>
      </c>
      <c r="L473" s="128">
        <v>390833.7</v>
      </c>
      <c r="M473" s="128">
        <v>244072.0</v>
      </c>
      <c r="N473" s="128">
        <v>146761.7</v>
      </c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125" t="s">
        <v>458</v>
      </c>
      <c r="B474" s="125" t="s">
        <v>613</v>
      </c>
      <c r="C474" s="125" t="s">
        <v>460</v>
      </c>
      <c r="D474" s="125" t="s">
        <v>457</v>
      </c>
      <c r="E474" s="125" t="s">
        <v>189</v>
      </c>
      <c r="F474" s="126">
        <v>41114.0</v>
      </c>
      <c r="G474" s="127">
        <v>3.55E8</v>
      </c>
      <c r="H474" s="126">
        <v>41121.0</v>
      </c>
      <c r="I474" s="128">
        <v>9353.0</v>
      </c>
      <c r="J474" s="128">
        <v>47.45</v>
      </c>
      <c r="K474" s="128">
        <v>31.79</v>
      </c>
      <c r="L474" s="128">
        <v>443799.9</v>
      </c>
      <c r="M474" s="128">
        <v>297331.9</v>
      </c>
      <c r="N474" s="128">
        <v>146468.0</v>
      </c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125" t="s">
        <v>461</v>
      </c>
      <c r="B475" s="125" t="s">
        <v>522</v>
      </c>
      <c r="C475" s="125" t="s">
        <v>471</v>
      </c>
      <c r="D475" s="125" t="s">
        <v>457</v>
      </c>
      <c r="E475" s="125" t="s">
        <v>464</v>
      </c>
      <c r="F475" s="126">
        <v>41168.0</v>
      </c>
      <c r="G475" s="127">
        <v>5.22E8</v>
      </c>
      <c r="H475" s="126">
        <v>41185.0</v>
      </c>
      <c r="I475" s="128">
        <v>5149.0</v>
      </c>
      <c r="J475" s="128">
        <v>109.28</v>
      </c>
      <c r="K475" s="128">
        <v>35.84</v>
      </c>
      <c r="L475" s="128">
        <v>562682.7</v>
      </c>
      <c r="M475" s="128">
        <v>184540.2</v>
      </c>
      <c r="N475" s="128">
        <v>378142.6</v>
      </c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125" t="s">
        <v>458</v>
      </c>
      <c r="B476" s="125" t="s">
        <v>642</v>
      </c>
      <c r="C476" s="125" t="s">
        <v>478</v>
      </c>
      <c r="D476" s="125" t="s">
        <v>457</v>
      </c>
      <c r="E476" s="125" t="s">
        <v>284</v>
      </c>
      <c r="F476" s="126">
        <v>42916.0</v>
      </c>
      <c r="G476" s="127">
        <v>6.24E8</v>
      </c>
      <c r="H476" s="126">
        <v>42940.0</v>
      </c>
      <c r="I476" s="128">
        <v>2206.0</v>
      </c>
      <c r="J476" s="128">
        <v>651.21</v>
      </c>
      <c r="K476" s="128">
        <v>524.96</v>
      </c>
      <c r="L476" s="128">
        <v>1436569.0</v>
      </c>
      <c r="M476" s="128">
        <v>1158062.0</v>
      </c>
      <c r="N476" s="128">
        <v>278507.5</v>
      </c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125" t="s">
        <v>458</v>
      </c>
      <c r="B477" s="125" t="s">
        <v>551</v>
      </c>
      <c r="C477" s="125" t="s">
        <v>460</v>
      </c>
      <c r="D477" s="125" t="s">
        <v>454</v>
      </c>
      <c r="E477" s="125" t="s">
        <v>284</v>
      </c>
      <c r="F477" s="126">
        <v>42618.0</v>
      </c>
      <c r="G477" s="127">
        <v>2.64E8</v>
      </c>
      <c r="H477" s="126">
        <v>42635.0</v>
      </c>
      <c r="I477" s="128">
        <v>840.0</v>
      </c>
      <c r="J477" s="128">
        <v>47.45</v>
      </c>
      <c r="K477" s="128">
        <v>31.79</v>
      </c>
      <c r="L477" s="128">
        <v>39858.0</v>
      </c>
      <c r="M477" s="128">
        <v>26703.6</v>
      </c>
      <c r="N477" s="128">
        <v>13154.4</v>
      </c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125" t="s">
        <v>475</v>
      </c>
      <c r="B478" s="125" t="s">
        <v>574</v>
      </c>
      <c r="C478" s="125" t="s">
        <v>460</v>
      </c>
      <c r="D478" s="125" t="s">
        <v>457</v>
      </c>
      <c r="E478" s="125" t="s">
        <v>189</v>
      </c>
      <c r="F478" s="126">
        <v>42450.0</v>
      </c>
      <c r="G478" s="127">
        <v>4.65E8</v>
      </c>
      <c r="H478" s="126">
        <v>42452.0</v>
      </c>
      <c r="I478" s="128">
        <v>3402.0</v>
      </c>
      <c r="J478" s="128">
        <v>47.45</v>
      </c>
      <c r="K478" s="128">
        <v>31.79</v>
      </c>
      <c r="L478" s="128">
        <v>161424.9</v>
      </c>
      <c r="M478" s="128">
        <v>108149.6</v>
      </c>
      <c r="N478" s="128">
        <v>53275.32</v>
      </c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125" t="s">
        <v>458</v>
      </c>
      <c r="B479" s="125" t="s">
        <v>533</v>
      </c>
      <c r="C479" s="125" t="s">
        <v>478</v>
      </c>
      <c r="D479" s="125" t="s">
        <v>457</v>
      </c>
      <c r="E479" s="125" t="s">
        <v>472</v>
      </c>
      <c r="F479" s="126">
        <v>40832.0</v>
      </c>
      <c r="G479" s="127">
        <v>5.21E8</v>
      </c>
      <c r="H479" s="126">
        <v>40854.0</v>
      </c>
      <c r="I479" s="128">
        <v>9270.0</v>
      </c>
      <c r="J479" s="128">
        <v>651.21</v>
      </c>
      <c r="K479" s="128">
        <v>524.96</v>
      </c>
      <c r="L479" s="128">
        <v>6036717.0</v>
      </c>
      <c r="M479" s="128">
        <v>4866379.0</v>
      </c>
      <c r="N479" s="128">
        <v>1170338.0</v>
      </c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125" t="s">
        <v>469</v>
      </c>
      <c r="B480" s="125" t="s">
        <v>503</v>
      </c>
      <c r="C480" s="125" t="s">
        <v>460</v>
      </c>
      <c r="D480" s="125" t="s">
        <v>457</v>
      </c>
      <c r="E480" s="125" t="s">
        <v>472</v>
      </c>
      <c r="F480" s="126">
        <v>42103.0</v>
      </c>
      <c r="G480" s="127">
        <v>2.46E8</v>
      </c>
      <c r="H480" s="126">
        <v>42135.0</v>
      </c>
      <c r="I480" s="128">
        <v>9855.0</v>
      </c>
      <c r="J480" s="128">
        <v>47.45</v>
      </c>
      <c r="K480" s="128">
        <v>31.79</v>
      </c>
      <c r="L480" s="128">
        <v>467619.8</v>
      </c>
      <c r="M480" s="128">
        <v>313290.5</v>
      </c>
      <c r="N480" s="128">
        <v>154329.3</v>
      </c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125" t="s">
        <v>458</v>
      </c>
      <c r="B481" s="125" t="s">
        <v>567</v>
      </c>
      <c r="C481" s="125" t="s">
        <v>463</v>
      </c>
      <c r="D481" s="125" t="s">
        <v>454</v>
      </c>
      <c r="E481" s="125" t="s">
        <v>472</v>
      </c>
      <c r="F481" s="126">
        <v>41310.0</v>
      </c>
      <c r="G481" s="127">
        <v>4.24E8</v>
      </c>
      <c r="H481" s="126">
        <v>41337.0</v>
      </c>
      <c r="I481" s="128">
        <v>3600.0</v>
      </c>
      <c r="J481" s="128">
        <v>205.7</v>
      </c>
      <c r="K481" s="128">
        <v>117.11</v>
      </c>
      <c r="L481" s="128">
        <v>740520.0</v>
      </c>
      <c r="M481" s="128">
        <v>421596.0</v>
      </c>
      <c r="N481" s="128">
        <v>318924.0</v>
      </c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125" t="s">
        <v>458</v>
      </c>
      <c r="B482" s="125" t="s">
        <v>553</v>
      </c>
      <c r="C482" s="125" t="s">
        <v>478</v>
      </c>
      <c r="D482" s="125" t="s">
        <v>454</v>
      </c>
      <c r="E482" s="125" t="s">
        <v>472</v>
      </c>
      <c r="F482" s="126">
        <v>42188.0</v>
      </c>
      <c r="G482" s="127">
        <v>5.61E8</v>
      </c>
      <c r="H482" s="126">
        <v>42201.0</v>
      </c>
      <c r="I482" s="128">
        <v>979.0</v>
      </c>
      <c r="J482" s="128">
        <v>651.21</v>
      </c>
      <c r="K482" s="128">
        <v>524.96</v>
      </c>
      <c r="L482" s="128">
        <v>637534.6</v>
      </c>
      <c r="M482" s="128">
        <v>513935.8</v>
      </c>
      <c r="N482" s="128">
        <v>123598.8</v>
      </c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125" t="s">
        <v>469</v>
      </c>
      <c r="B483" s="125" t="s">
        <v>501</v>
      </c>
      <c r="C483" s="125" t="s">
        <v>478</v>
      </c>
      <c r="D483" s="125" t="s">
        <v>457</v>
      </c>
      <c r="E483" s="125" t="s">
        <v>472</v>
      </c>
      <c r="F483" s="126">
        <v>41945.0</v>
      </c>
      <c r="G483" s="127">
        <v>2.31E8</v>
      </c>
      <c r="H483" s="126">
        <v>41983.0</v>
      </c>
      <c r="I483" s="128">
        <v>9496.0</v>
      </c>
      <c r="J483" s="128">
        <v>651.21</v>
      </c>
      <c r="K483" s="128">
        <v>524.96</v>
      </c>
      <c r="L483" s="128">
        <v>6183890.0</v>
      </c>
      <c r="M483" s="128">
        <v>4985020.0</v>
      </c>
      <c r="N483" s="128">
        <v>1198870.0</v>
      </c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125" t="s">
        <v>469</v>
      </c>
      <c r="B484" s="125" t="s">
        <v>647</v>
      </c>
      <c r="C484" s="125" t="s">
        <v>506</v>
      </c>
      <c r="D484" s="125" t="s">
        <v>454</v>
      </c>
      <c r="E484" s="125" t="s">
        <v>472</v>
      </c>
      <c r="F484" s="126">
        <v>40945.0</v>
      </c>
      <c r="G484" s="127">
        <v>4.29E8</v>
      </c>
      <c r="H484" s="126">
        <v>40954.0</v>
      </c>
      <c r="I484" s="128">
        <v>8688.0</v>
      </c>
      <c r="J484" s="128">
        <v>154.06</v>
      </c>
      <c r="K484" s="128">
        <v>90.93</v>
      </c>
      <c r="L484" s="128">
        <v>1338473.0</v>
      </c>
      <c r="M484" s="128">
        <v>789999.8</v>
      </c>
      <c r="N484" s="128">
        <v>548473.4</v>
      </c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125" t="s">
        <v>461</v>
      </c>
      <c r="B485" s="125" t="s">
        <v>525</v>
      </c>
      <c r="C485" s="125" t="s">
        <v>514</v>
      </c>
      <c r="D485" s="125" t="s">
        <v>457</v>
      </c>
      <c r="E485" s="125" t="s">
        <v>284</v>
      </c>
      <c r="F485" s="126">
        <v>41322.0</v>
      </c>
      <c r="G485" s="127">
        <v>4.22E8</v>
      </c>
      <c r="H485" s="126">
        <v>41348.0</v>
      </c>
      <c r="I485" s="128">
        <v>5122.0</v>
      </c>
      <c r="J485" s="128">
        <v>668.27</v>
      </c>
      <c r="K485" s="128">
        <v>502.54</v>
      </c>
      <c r="L485" s="128">
        <v>3422879.0</v>
      </c>
      <c r="M485" s="128">
        <v>2574010.0</v>
      </c>
      <c r="N485" s="128">
        <v>848869.1</v>
      </c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125" t="s">
        <v>475</v>
      </c>
      <c r="B486" s="125" t="s">
        <v>504</v>
      </c>
      <c r="C486" s="125" t="s">
        <v>478</v>
      </c>
      <c r="D486" s="125" t="s">
        <v>454</v>
      </c>
      <c r="E486" s="125" t="s">
        <v>284</v>
      </c>
      <c r="F486" s="126">
        <v>42835.0</v>
      </c>
      <c r="G486" s="127">
        <v>8.95E8</v>
      </c>
      <c r="H486" s="126">
        <v>42882.0</v>
      </c>
      <c r="I486" s="128">
        <v>7396.0</v>
      </c>
      <c r="J486" s="128">
        <v>651.21</v>
      </c>
      <c r="K486" s="128">
        <v>524.96</v>
      </c>
      <c r="L486" s="128">
        <v>4816349.0</v>
      </c>
      <c r="M486" s="128">
        <v>3882604.0</v>
      </c>
      <c r="N486" s="128">
        <v>933745.0</v>
      </c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125" t="s">
        <v>461</v>
      </c>
      <c r="B487" s="125" t="s">
        <v>618</v>
      </c>
      <c r="C487" s="125" t="s">
        <v>460</v>
      </c>
      <c r="D487" s="125" t="s">
        <v>457</v>
      </c>
      <c r="E487" s="125" t="s">
        <v>284</v>
      </c>
      <c r="F487" s="126">
        <v>41482.0</v>
      </c>
      <c r="G487" s="127">
        <v>8.04E8</v>
      </c>
      <c r="H487" s="126">
        <v>41504.0</v>
      </c>
      <c r="I487" s="128">
        <v>1141.0</v>
      </c>
      <c r="J487" s="128">
        <v>47.45</v>
      </c>
      <c r="K487" s="128">
        <v>31.79</v>
      </c>
      <c r="L487" s="128">
        <v>54140.45</v>
      </c>
      <c r="M487" s="128">
        <v>36272.39</v>
      </c>
      <c r="N487" s="128">
        <v>17868.06</v>
      </c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125" t="s">
        <v>475</v>
      </c>
      <c r="B488" s="125" t="s">
        <v>636</v>
      </c>
      <c r="C488" s="125" t="s">
        <v>453</v>
      </c>
      <c r="D488" s="125" t="s">
        <v>457</v>
      </c>
      <c r="E488" s="125" t="s">
        <v>189</v>
      </c>
      <c r="F488" s="126">
        <v>41948.0</v>
      </c>
      <c r="G488" s="127">
        <v>5.27E8</v>
      </c>
      <c r="H488" s="126">
        <v>41961.0</v>
      </c>
      <c r="I488" s="128">
        <v>4018.0</v>
      </c>
      <c r="J488" s="128">
        <v>255.28</v>
      </c>
      <c r="K488" s="128">
        <v>159.42</v>
      </c>
      <c r="L488" s="128">
        <v>1025715.0</v>
      </c>
      <c r="M488" s="128">
        <v>640549.6</v>
      </c>
      <c r="N488" s="128">
        <v>385165.5</v>
      </c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125" t="s">
        <v>461</v>
      </c>
      <c r="B489" s="125" t="s">
        <v>581</v>
      </c>
      <c r="C489" s="125" t="s">
        <v>460</v>
      </c>
      <c r="D489" s="125" t="s">
        <v>457</v>
      </c>
      <c r="E489" s="125" t="s">
        <v>189</v>
      </c>
      <c r="F489" s="126">
        <v>42393.0</v>
      </c>
      <c r="G489" s="127">
        <v>5.1E8</v>
      </c>
      <c r="H489" s="126">
        <v>42415.0</v>
      </c>
      <c r="I489" s="128">
        <v>718.0</v>
      </c>
      <c r="J489" s="128">
        <v>47.45</v>
      </c>
      <c r="K489" s="128">
        <v>31.79</v>
      </c>
      <c r="L489" s="128">
        <v>34069.1</v>
      </c>
      <c r="M489" s="128">
        <v>22825.22</v>
      </c>
      <c r="N489" s="128">
        <v>11243.88</v>
      </c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125" t="s">
        <v>461</v>
      </c>
      <c r="B490" s="125" t="s">
        <v>465</v>
      </c>
      <c r="C490" s="125" t="s">
        <v>506</v>
      </c>
      <c r="D490" s="125" t="s">
        <v>457</v>
      </c>
      <c r="E490" s="125" t="s">
        <v>284</v>
      </c>
      <c r="F490" s="126">
        <v>41364.0</v>
      </c>
      <c r="G490" s="127">
        <v>8.2E8</v>
      </c>
      <c r="H490" s="126">
        <v>41375.0</v>
      </c>
      <c r="I490" s="128">
        <v>7967.0</v>
      </c>
      <c r="J490" s="128">
        <v>154.06</v>
      </c>
      <c r="K490" s="128">
        <v>90.93</v>
      </c>
      <c r="L490" s="128">
        <v>1227396.0</v>
      </c>
      <c r="M490" s="128">
        <v>724439.3</v>
      </c>
      <c r="N490" s="128">
        <v>502956.7</v>
      </c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125" t="s">
        <v>466</v>
      </c>
      <c r="B491" s="125" t="s">
        <v>625</v>
      </c>
      <c r="C491" s="125" t="s">
        <v>480</v>
      </c>
      <c r="D491" s="125" t="s">
        <v>454</v>
      </c>
      <c r="E491" s="125" t="s">
        <v>189</v>
      </c>
      <c r="F491" s="126">
        <v>41948.0</v>
      </c>
      <c r="G491" s="127">
        <v>6.96E8</v>
      </c>
      <c r="H491" s="126">
        <v>41981.0</v>
      </c>
      <c r="I491" s="128">
        <v>9517.0</v>
      </c>
      <c r="J491" s="128">
        <v>437.2</v>
      </c>
      <c r="K491" s="128">
        <v>263.33</v>
      </c>
      <c r="L491" s="128">
        <v>4160832.0</v>
      </c>
      <c r="M491" s="128">
        <v>2506112.0</v>
      </c>
      <c r="N491" s="128">
        <v>1654721.0</v>
      </c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125" t="s">
        <v>469</v>
      </c>
      <c r="B492" s="125" t="s">
        <v>650</v>
      </c>
      <c r="C492" s="125" t="s">
        <v>480</v>
      </c>
      <c r="D492" s="125" t="s">
        <v>457</v>
      </c>
      <c r="E492" s="125" t="s">
        <v>472</v>
      </c>
      <c r="F492" s="126">
        <v>42088.0</v>
      </c>
      <c r="G492" s="127">
        <v>7.94E8</v>
      </c>
      <c r="H492" s="126">
        <v>42090.0</v>
      </c>
      <c r="I492" s="128">
        <v>1157.0</v>
      </c>
      <c r="J492" s="128">
        <v>437.2</v>
      </c>
      <c r="K492" s="128">
        <v>263.33</v>
      </c>
      <c r="L492" s="128">
        <v>505840.4</v>
      </c>
      <c r="M492" s="128">
        <v>304672.8</v>
      </c>
      <c r="N492" s="128">
        <v>201167.6</v>
      </c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125" t="s">
        <v>475</v>
      </c>
      <c r="B493" s="125" t="s">
        <v>552</v>
      </c>
      <c r="C493" s="125" t="s">
        <v>453</v>
      </c>
      <c r="D493" s="125" t="s">
        <v>454</v>
      </c>
      <c r="E493" s="125" t="s">
        <v>189</v>
      </c>
      <c r="F493" s="126">
        <v>41498.0</v>
      </c>
      <c r="G493" s="127">
        <v>9.42E8</v>
      </c>
      <c r="H493" s="126">
        <v>41521.0</v>
      </c>
      <c r="I493" s="128">
        <v>5702.0</v>
      </c>
      <c r="J493" s="128">
        <v>255.28</v>
      </c>
      <c r="K493" s="128">
        <v>159.42</v>
      </c>
      <c r="L493" s="128">
        <v>1455607.0</v>
      </c>
      <c r="M493" s="128">
        <v>909012.8</v>
      </c>
      <c r="N493" s="128">
        <v>546593.7</v>
      </c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125" t="s">
        <v>475</v>
      </c>
      <c r="B494" s="125" t="s">
        <v>628</v>
      </c>
      <c r="C494" s="125" t="s">
        <v>494</v>
      </c>
      <c r="D494" s="125" t="s">
        <v>457</v>
      </c>
      <c r="E494" s="125" t="s">
        <v>464</v>
      </c>
      <c r="F494" s="126">
        <v>40283.0</v>
      </c>
      <c r="G494" s="127">
        <v>5.91E8</v>
      </c>
      <c r="H494" s="126">
        <v>40296.0</v>
      </c>
      <c r="I494" s="128">
        <v>8002.0</v>
      </c>
      <c r="J494" s="128">
        <v>9.33</v>
      </c>
      <c r="K494" s="128">
        <v>6.92</v>
      </c>
      <c r="L494" s="128">
        <v>74658.66</v>
      </c>
      <c r="M494" s="128">
        <v>55373.84</v>
      </c>
      <c r="N494" s="128">
        <v>19284.82</v>
      </c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125" t="s">
        <v>475</v>
      </c>
      <c r="B495" s="125" t="s">
        <v>591</v>
      </c>
      <c r="C495" s="125" t="s">
        <v>478</v>
      </c>
      <c r="D495" s="125" t="s">
        <v>457</v>
      </c>
      <c r="E495" s="125" t="s">
        <v>189</v>
      </c>
      <c r="F495" s="126">
        <v>40319.0</v>
      </c>
      <c r="G495" s="127">
        <v>1.57E8</v>
      </c>
      <c r="H495" s="126">
        <v>40346.0</v>
      </c>
      <c r="I495" s="128">
        <v>9937.0</v>
      </c>
      <c r="J495" s="128">
        <v>651.21</v>
      </c>
      <c r="K495" s="128">
        <v>524.96</v>
      </c>
      <c r="L495" s="128">
        <v>6471074.0</v>
      </c>
      <c r="M495" s="128">
        <v>5216528.0</v>
      </c>
      <c r="N495" s="128">
        <v>1254546.0</v>
      </c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125" t="s">
        <v>475</v>
      </c>
      <c r="B496" s="125" t="s">
        <v>507</v>
      </c>
      <c r="C496" s="125" t="s">
        <v>460</v>
      </c>
      <c r="D496" s="125" t="s">
        <v>457</v>
      </c>
      <c r="E496" s="125" t="s">
        <v>464</v>
      </c>
      <c r="F496" s="126">
        <v>41104.0</v>
      </c>
      <c r="G496" s="127">
        <v>5.81E8</v>
      </c>
      <c r="H496" s="126">
        <v>41137.0</v>
      </c>
      <c r="I496" s="128">
        <v>5417.0</v>
      </c>
      <c r="J496" s="128">
        <v>47.45</v>
      </c>
      <c r="K496" s="128">
        <v>31.79</v>
      </c>
      <c r="L496" s="128">
        <v>257036.7</v>
      </c>
      <c r="M496" s="128">
        <v>172206.4</v>
      </c>
      <c r="N496" s="128">
        <v>84830.22</v>
      </c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125" t="s">
        <v>475</v>
      </c>
      <c r="B497" s="125" t="s">
        <v>570</v>
      </c>
      <c r="C497" s="125" t="s">
        <v>494</v>
      </c>
      <c r="D497" s="125" t="s">
        <v>457</v>
      </c>
      <c r="E497" s="125" t="s">
        <v>472</v>
      </c>
      <c r="F497" s="126">
        <v>41144.0</v>
      </c>
      <c r="G497" s="127">
        <v>1.72E8</v>
      </c>
      <c r="H497" s="126">
        <v>41182.0</v>
      </c>
      <c r="I497" s="128">
        <v>5385.0</v>
      </c>
      <c r="J497" s="128">
        <v>9.33</v>
      </c>
      <c r="K497" s="128">
        <v>6.92</v>
      </c>
      <c r="L497" s="128">
        <v>50242.05</v>
      </c>
      <c r="M497" s="128">
        <v>37264.2</v>
      </c>
      <c r="N497" s="128">
        <v>12977.85</v>
      </c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125" t="s">
        <v>458</v>
      </c>
      <c r="B498" s="125" t="s">
        <v>597</v>
      </c>
      <c r="C498" s="125" t="s">
        <v>478</v>
      </c>
      <c r="D498" s="125" t="s">
        <v>457</v>
      </c>
      <c r="E498" s="125" t="s">
        <v>464</v>
      </c>
      <c r="F498" s="126">
        <v>42098.0</v>
      </c>
      <c r="G498" s="127">
        <v>4.59E8</v>
      </c>
      <c r="H498" s="126">
        <v>42110.0</v>
      </c>
      <c r="I498" s="128">
        <v>2815.0</v>
      </c>
      <c r="J498" s="128">
        <v>651.21</v>
      </c>
      <c r="K498" s="128">
        <v>524.96</v>
      </c>
      <c r="L498" s="128">
        <v>1833156.0</v>
      </c>
      <c r="M498" s="128">
        <v>1477762.0</v>
      </c>
      <c r="N498" s="128">
        <v>355393.8</v>
      </c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125" t="s">
        <v>461</v>
      </c>
      <c r="B499" s="125" t="s">
        <v>621</v>
      </c>
      <c r="C499" s="125" t="s">
        <v>460</v>
      </c>
      <c r="D499" s="125" t="s">
        <v>457</v>
      </c>
      <c r="E499" s="125" t="s">
        <v>472</v>
      </c>
      <c r="F499" s="126">
        <v>41867.0</v>
      </c>
      <c r="G499" s="127">
        <v>3.42E8</v>
      </c>
      <c r="H499" s="126">
        <v>41880.0</v>
      </c>
      <c r="I499" s="128">
        <v>7712.0</v>
      </c>
      <c r="J499" s="128">
        <v>47.45</v>
      </c>
      <c r="K499" s="128">
        <v>31.79</v>
      </c>
      <c r="L499" s="128">
        <v>365934.4</v>
      </c>
      <c r="M499" s="128">
        <v>245164.5</v>
      </c>
      <c r="N499" s="128">
        <v>120769.9</v>
      </c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125" t="s">
        <v>458</v>
      </c>
      <c r="B500" s="125" t="s">
        <v>529</v>
      </c>
      <c r="C500" s="125" t="s">
        <v>514</v>
      </c>
      <c r="D500" s="125" t="s">
        <v>457</v>
      </c>
      <c r="E500" s="125" t="s">
        <v>464</v>
      </c>
      <c r="F500" s="126">
        <v>41504.0</v>
      </c>
      <c r="G500" s="127">
        <v>1.43E8</v>
      </c>
      <c r="H500" s="126">
        <v>41518.0</v>
      </c>
      <c r="I500" s="128">
        <v>2112.0</v>
      </c>
      <c r="J500" s="128">
        <v>668.27</v>
      </c>
      <c r="K500" s="128">
        <v>502.54</v>
      </c>
      <c r="L500" s="128">
        <v>1411386.0</v>
      </c>
      <c r="M500" s="128">
        <v>1061364.0</v>
      </c>
      <c r="N500" s="128">
        <v>350021.8</v>
      </c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125" t="s">
        <v>466</v>
      </c>
      <c r="B501" s="125" t="s">
        <v>584</v>
      </c>
      <c r="C501" s="125" t="s">
        <v>471</v>
      </c>
      <c r="D501" s="125" t="s">
        <v>457</v>
      </c>
      <c r="E501" s="125" t="s">
        <v>464</v>
      </c>
      <c r="F501" s="126">
        <v>41072.0</v>
      </c>
      <c r="G501" s="127">
        <v>2.51E8</v>
      </c>
      <c r="H501" s="126">
        <v>41095.0</v>
      </c>
      <c r="I501" s="128">
        <v>5081.0</v>
      </c>
      <c r="J501" s="128">
        <v>109.28</v>
      </c>
      <c r="K501" s="128">
        <v>35.84</v>
      </c>
      <c r="L501" s="128">
        <v>555251.7</v>
      </c>
      <c r="M501" s="128">
        <v>182103.0</v>
      </c>
      <c r="N501" s="128">
        <v>373148.6</v>
      </c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125" t="s">
        <v>466</v>
      </c>
      <c r="B502" s="125" t="s">
        <v>477</v>
      </c>
      <c r="C502" s="125" t="s">
        <v>480</v>
      </c>
      <c r="D502" s="125" t="s">
        <v>454</v>
      </c>
      <c r="E502" s="125" t="s">
        <v>464</v>
      </c>
      <c r="F502" s="126">
        <v>41019.0</v>
      </c>
      <c r="G502" s="127">
        <v>6.78E8</v>
      </c>
      <c r="H502" s="126">
        <v>41034.0</v>
      </c>
      <c r="I502" s="128">
        <v>7719.0</v>
      </c>
      <c r="J502" s="128">
        <v>437.2</v>
      </c>
      <c r="K502" s="128">
        <v>263.33</v>
      </c>
      <c r="L502" s="128">
        <v>3374747.0</v>
      </c>
      <c r="M502" s="128">
        <v>2032644.0</v>
      </c>
      <c r="N502" s="128">
        <v>1342103.0</v>
      </c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125" t="s">
        <v>475</v>
      </c>
      <c r="B503" s="125" t="s">
        <v>600</v>
      </c>
      <c r="C503" s="125" t="s">
        <v>456</v>
      </c>
      <c r="D503" s="125" t="s">
        <v>457</v>
      </c>
      <c r="E503" s="125" t="s">
        <v>189</v>
      </c>
      <c r="F503" s="126">
        <v>40801.0</v>
      </c>
      <c r="G503" s="127">
        <v>6.04E8</v>
      </c>
      <c r="H503" s="126">
        <v>40851.0</v>
      </c>
      <c r="I503" s="128">
        <v>8156.0</v>
      </c>
      <c r="J503" s="128">
        <v>152.58</v>
      </c>
      <c r="K503" s="128">
        <v>97.44</v>
      </c>
      <c r="L503" s="128">
        <v>1244442.0</v>
      </c>
      <c r="M503" s="128">
        <v>794720.6</v>
      </c>
      <c r="N503" s="128">
        <v>449721.8</v>
      </c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125" t="s">
        <v>475</v>
      </c>
      <c r="B504" s="125" t="s">
        <v>619</v>
      </c>
      <c r="C504" s="125" t="s">
        <v>478</v>
      </c>
      <c r="D504" s="125" t="s">
        <v>454</v>
      </c>
      <c r="E504" s="125" t="s">
        <v>472</v>
      </c>
      <c r="F504" s="126">
        <v>40263.0</v>
      </c>
      <c r="G504" s="127">
        <v>6.32E8</v>
      </c>
      <c r="H504" s="126">
        <v>40265.0</v>
      </c>
      <c r="I504" s="128">
        <v>6553.0</v>
      </c>
      <c r="J504" s="128">
        <v>651.21</v>
      </c>
      <c r="K504" s="128">
        <v>524.96</v>
      </c>
      <c r="L504" s="128">
        <v>4267379.0</v>
      </c>
      <c r="M504" s="128">
        <v>3440063.0</v>
      </c>
      <c r="N504" s="128">
        <v>827316.3</v>
      </c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125" t="s">
        <v>451</v>
      </c>
      <c r="B505" s="125" t="s">
        <v>546</v>
      </c>
      <c r="C505" s="125" t="s">
        <v>456</v>
      </c>
      <c r="D505" s="125" t="s">
        <v>454</v>
      </c>
      <c r="E505" s="125" t="s">
        <v>464</v>
      </c>
      <c r="F505" s="126">
        <v>41022.0</v>
      </c>
      <c r="G505" s="127">
        <v>5.34E8</v>
      </c>
      <c r="H505" s="126">
        <v>41059.0</v>
      </c>
      <c r="I505" s="128">
        <v>101.0</v>
      </c>
      <c r="J505" s="128">
        <v>152.58</v>
      </c>
      <c r="K505" s="128">
        <v>97.44</v>
      </c>
      <c r="L505" s="128">
        <v>15410.58</v>
      </c>
      <c r="M505" s="128">
        <v>9841.44</v>
      </c>
      <c r="N505" s="128">
        <v>5569.14</v>
      </c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125" t="s">
        <v>475</v>
      </c>
      <c r="B506" s="125" t="s">
        <v>532</v>
      </c>
      <c r="C506" s="125" t="s">
        <v>468</v>
      </c>
      <c r="D506" s="125" t="s">
        <v>454</v>
      </c>
      <c r="E506" s="125" t="s">
        <v>464</v>
      </c>
      <c r="F506" s="126">
        <v>42317.0</v>
      </c>
      <c r="G506" s="127">
        <v>6.01E8</v>
      </c>
      <c r="H506" s="126">
        <v>42346.0</v>
      </c>
      <c r="I506" s="128">
        <v>8026.0</v>
      </c>
      <c r="J506" s="128">
        <v>81.73</v>
      </c>
      <c r="K506" s="128">
        <v>56.67</v>
      </c>
      <c r="L506" s="128">
        <v>655965.0</v>
      </c>
      <c r="M506" s="128">
        <v>454833.4</v>
      </c>
      <c r="N506" s="128">
        <v>201131.6</v>
      </c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125" t="s">
        <v>469</v>
      </c>
      <c r="B507" s="125" t="s">
        <v>589</v>
      </c>
      <c r="C507" s="125" t="s">
        <v>506</v>
      </c>
      <c r="D507" s="125" t="s">
        <v>457</v>
      </c>
      <c r="E507" s="125" t="s">
        <v>464</v>
      </c>
      <c r="F507" s="126">
        <v>42393.0</v>
      </c>
      <c r="G507" s="127">
        <v>2.96E8</v>
      </c>
      <c r="H507" s="126">
        <v>42437.0</v>
      </c>
      <c r="I507" s="128">
        <v>6581.0</v>
      </c>
      <c r="J507" s="128">
        <v>154.06</v>
      </c>
      <c r="K507" s="128">
        <v>90.93</v>
      </c>
      <c r="L507" s="128">
        <v>1013869.0</v>
      </c>
      <c r="M507" s="128">
        <v>598410.3</v>
      </c>
      <c r="N507" s="128">
        <v>415458.5</v>
      </c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125" t="s">
        <v>475</v>
      </c>
      <c r="B508" s="125" t="s">
        <v>566</v>
      </c>
      <c r="C508" s="125" t="s">
        <v>485</v>
      </c>
      <c r="D508" s="125" t="s">
        <v>457</v>
      </c>
      <c r="E508" s="125" t="s">
        <v>189</v>
      </c>
      <c r="F508" s="126">
        <v>42653.0</v>
      </c>
      <c r="G508" s="127">
        <v>5.02E8</v>
      </c>
      <c r="H508" s="126">
        <v>42660.0</v>
      </c>
      <c r="I508" s="128">
        <v>4053.0</v>
      </c>
      <c r="J508" s="128">
        <v>421.89</v>
      </c>
      <c r="K508" s="128">
        <v>364.69</v>
      </c>
      <c r="L508" s="128">
        <v>1709920.0</v>
      </c>
      <c r="M508" s="128">
        <v>1478089.0</v>
      </c>
      <c r="N508" s="128">
        <v>231831.6</v>
      </c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125" t="s">
        <v>466</v>
      </c>
      <c r="B509" s="125" t="s">
        <v>508</v>
      </c>
      <c r="C509" s="125" t="s">
        <v>468</v>
      </c>
      <c r="D509" s="125" t="s">
        <v>457</v>
      </c>
      <c r="E509" s="125" t="s">
        <v>464</v>
      </c>
      <c r="F509" s="126">
        <v>40735.0</v>
      </c>
      <c r="G509" s="127">
        <v>3.73E8</v>
      </c>
      <c r="H509" s="126">
        <v>40773.0</v>
      </c>
      <c r="I509" s="128">
        <v>5759.0</v>
      </c>
      <c r="J509" s="128">
        <v>81.73</v>
      </c>
      <c r="K509" s="128">
        <v>56.67</v>
      </c>
      <c r="L509" s="128">
        <v>470683.1</v>
      </c>
      <c r="M509" s="128">
        <v>326362.5</v>
      </c>
      <c r="N509" s="128">
        <v>144320.5</v>
      </c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125" t="s">
        <v>458</v>
      </c>
      <c r="B510" s="125" t="s">
        <v>626</v>
      </c>
      <c r="C510" s="125" t="s">
        <v>456</v>
      </c>
      <c r="D510" s="125" t="s">
        <v>457</v>
      </c>
      <c r="E510" s="125" t="s">
        <v>284</v>
      </c>
      <c r="F510" s="126">
        <v>40201.0</v>
      </c>
      <c r="G510" s="127">
        <v>4.81E8</v>
      </c>
      <c r="H510" s="126">
        <v>40214.0</v>
      </c>
      <c r="I510" s="128">
        <v>9048.0</v>
      </c>
      <c r="J510" s="128">
        <v>152.58</v>
      </c>
      <c r="K510" s="128">
        <v>97.44</v>
      </c>
      <c r="L510" s="128">
        <v>1380544.0</v>
      </c>
      <c r="M510" s="128">
        <v>881637.1</v>
      </c>
      <c r="N510" s="128">
        <v>498906.7</v>
      </c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125" t="s">
        <v>466</v>
      </c>
      <c r="B511" s="125" t="s">
        <v>598</v>
      </c>
      <c r="C511" s="125" t="s">
        <v>514</v>
      </c>
      <c r="D511" s="125" t="s">
        <v>457</v>
      </c>
      <c r="E511" s="125" t="s">
        <v>464</v>
      </c>
      <c r="F511" s="126">
        <v>40853.0</v>
      </c>
      <c r="G511" s="127">
        <v>5.71E8</v>
      </c>
      <c r="H511" s="126">
        <v>40855.0</v>
      </c>
      <c r="I511" s="128">
        <v>8299.0</v>
      </c>
      <c r="J511" s="128">
        <v>668.27</v>
      </c>
      <c r="K511" s="128">
        <v>502.54</v>
      </c>
      <c r="L511" s="128">
        <v>5545973.0</v>
      </c>
      <c r="M511" s="128">
        <v>4170579.0</v>
      </c>
      <c r="N511" s="128">
        <v>1375393.0</v>
      </c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125" t="s">
        <v>461</v>
      </c>
      <c r="B512" s="125" t="s">
        <v>557</v>
      </c>
      <c r="C512" s="125" t="s">
        <v>463</v>
      </c>
      <c r="D512" s="125" t="s">
        <v>457</v>
      </c>
      <c r="E512" s="125" t="s">
        <v>472</v>
      </c>
      <c r="F512" s="126">
        <v>42882.0</v>
      </c>
      <c r="G512" s="127">
        <v>9.06E8</v>
      </c>
      <c r="H512" s="126">
        <v>42918.0</v>
      </c>
      <c r="I512" s="128">
        <v>9925.0</v>
      </c>
      <c r="J512" s="128">
        <v>205.7</v>
      </c>
      <c r="K512" s="128">
        <v>117.11</v>
      </c>
      <c r="L512" s="128">
        <v>2041573.0</v>
      </c>
      <c r="M512" s="128">
        <v>1162317.0</v>
      </c>
      <c r="N512" s="128">
        <v>879255.8</v>
      </c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125" t="s">
        <v>451</v>
      </c>
      <c r="B513" s="125" t="s">
        <v>483</v>
      </c>
      <c r="C513" s="125" t="s">
        <v>506</v>
      </c>
      <c r="D513" s="125" t="s">
        <v>457</v>
      </c>
      <c r="E513" s="125" t="s">
        <v>464</v>
      </c>
      <c r="F513" s="126">
        <v>42717.0</v>
      </c>
      <c r="G513" s="127">
        <v>9.21E8</v>
      </c>
      <c r="H513" s="126">
        <v>42749.0</v>
      </c>
      <c r="I513" s="128">
        <v>7366.0</v>
      </c>
      <c r="J513" s="128">
        <v>154.06</v>
      </c>
      <c r="K513" s="128">
        <v>90.93</v>
      </c>
      <c r="L513" s="128">
        <v>1134806.0</v>
      </c>
      <c r="M513" s="128">
        <v>669790.4</v>
      </c>
      <c r="N513" s="128">
        <v>465015.6</v>
      </c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125" t="s">
        <v>458</v>
      </c>
      <c r="B514" s="125" t="s">
        <v>567</v>
      </c>
      <c r="C514" s="125" t="s">
        <v>506</v>
      </c>
      <c r="D514" s="125" t="s">
        <v>454</v>
      </c>
      <c r="E514" s="125" t="s">
        <v>189</v>
      </c>
      <c r="F514" s="126">
        <v>42711.0</v>
      </c>
      <c r="G514" s="127">
        <v>5.71E8</v>
      </c>
      <c r="H514" s="126">
        <v>42736.0</v>
      </c>
      <c r="I514" s="128">
        <v>6097.0</v>
      </c>
      <c r="J514" s="128">
        <v>154.06</v>
      </c>
      <c r="K514" s="128">
        <v>90.93</v>
      </c>
      <c r="L514" s="128">
        <v>939303.8</v>
      </c>
      <c r="M514" s="128">
        <v>554400.2</v>
      </c>
      <c r="N514" s="128">
        <v>384903.6</v>
      </c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125" t="s">
        <v>475</v>
      </c>
      <c r="B515" s="125" t="s">
        <v>548</v>
      </c>
      <c r="C515" s="125" t="s">
        <v>480</v>
      </c>
      <c r="D515" s="125" t="s">
        <v>454</v>
      </c>
      <c r="E515" s="125" t="s">
        <v>189</v>
      </c>
      <c r="F515" s="126">
        <v>41453.0</v>
      </c>
      <c r="G515" s="127">
        <v>7.81E8</v>
      </c>
      <c r="H515" s="126">
        <v>41488.0</v>
      </c>
      <c r="I515" s="128">
        <v>8623.0</v>
      </c>
      <c r="J515" s="128">
        <v>437.2</v>
      </c>
      <c r="K515" s="128">
        <v>263.33</v>
      </c>
      <c r="L515" s="128">
        <v>3769976.0</v>
      </c>
      <c r="M515" s="128">
        <v>2270695.0</v>
      </c>
      <c r="N515" s="128">
        <v>1499281.0</v>
      </c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125" t="s">
        <v>461</v>
      </c>
      <c r="B516" s="125" t="s">
        <v>516</v>
      </c>
      <c r="C516" s="125" t="s">
        <v>485</v>
      </c>
      <c r="D516" s="125" t="s">
        <v>457</v>
      </c>
      <c r="E516" s="125" t="s">
        <v>284</v>
      </c>
      <c r="F516" s="126">
        <v>40692.0</v>
      </c>
      <c r="G516" s="127">
        <v>2.96E8</v>
      </c>
      <c r="H516" s="126">
        <v>40737.0</v>
      </c>
      <c r="I516" s="128">
        <v>9480.0</v>
      </c>
      <c r="J516" s="128">
        <v>421.89</v>
      </c>
      <c r="K516" s="128">
        <v>364.69</v>
      </c>
      <c r="L516" s="128">
        <v>3999517.0</v>
      </c>
      <c r="M516" s="128">
        <v>3457261.0</v>
      </c>
      <c r="N516" s="128">
        <v>542256.0</v>
      </c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125" t="s">
        <v>466</v>
      </c>
      <c r="B517" s="125" t="s">
        <v>491</v>
      </c>
      <c r="C517" s="125" t="s">
        <v>506</v>
      </c>
      <c r="D517" s="125" t="s">
        <v>454</v>
      </c>
      <c r="E517" s="125" t="s">
        <v>472</v>
      </c>
      <c r="F517" s="126">
        <v>41178.0</v>
      </c>
      <c r="G517" s="127">
        <v>6.32E8</v>
      </c>
      <c r="H517" s="126">
        <v>41207.0</v>
      </c>
      <c r="I517" s="128">
        <v>236.0</v>
      </c>
      <c r="J517" s="128">
        <v>154.06</v>
      </c>
      <c r="K517" s="128">
        <v>90.93</v>
      </c>
      <c r="L517" s="128">
        <v>36358.16</v>
      </c>
      <c r="M517" s="128">
        <v>21459.48</v>
      </c>
      <c r="N517" s="128">
        <v>14898.68</v>
      </c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125" t="s">
        <v>466</v>
      </c>
      <c r="B518" s="125" t="s">
        <v>534</v>
      </c>
      <c r="C518" s="125" t="s">
        <v>480</v>
      </c>
      <c r="D518" s="125" t="s">
        <v>457</v>
      </c>
      <c r="E518" s="125" t="s">
        <v>472</v>
      </c>
      <c r="F518" s="126">
        <v>41288.0</v>
      </c>
      <c r="G518" s="127">
        <v>2.25E8</v>
      </c>
      <c r="H518" s="126">
        <v>41310.0</v>
      </c>
      <c r="I518" s="128">
        <v>4487.0</v>
      </c>
      <c r="J518" s="128">
        <v>437.2</v>
      </c>
      <c r="K518" s="128">
        <v>263.33</v>
      </c>
      <c r="L518" s="128">
        <v>1961716.0</v>
      </c>
      <c r="M518" s="128">
        <v>1181562.0</v>
      </c>
      <c r="N518" s="128">
        <v>780154.7</v>
      </c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125" t="s">
        <v>458</v>
      </c>
      <c r="B519" s="125" t="s">
        <v>616</v>
      </c>
      <c r="C519" s="125" t="s">
        <v>456</v>
      </c>
      <c r="D519" s="125" t="s">
        <v>454</v>
      </c>
      <c r="E519" s="125" t="s">
        <v>472</v>
      </c>
      <c r="F519" s="126">
        <v>41168.0</v>
      </c>
      <c r="G519" s="127">
        <v>2.81E8</v>
      </c>
      <c r="H519" s="126">
        <v>41216.0</v>
      </c>
      <c r="I519" s="128">
        <v>2866.0</v>
      </c>
      <c r="J519" s="128">
        <v>152.58</v>
      </c>
      <c r="K519" s="128">
        <v>97.44</v>
      </c>
      <c r="L519" s="128">
        <v>437294.3</v>
      </c>
      <c r="M519" s="128">
        <v>279263.0</v>
      </c>
      <c r="N519" s="128">
        <v>158031.2</v>
      </c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125" t="s">
        <v>466</v>
      </c>
      <c r="B520" s="125" t="s">
        <v>491</v>
      </c>
      <c r="C520" s="125" t="s">
        <v>456</v>
      </c>
      <c r="D520" s="125" t="s">
        <v>454</v>
      </c>
      <c r="E520" s="125" t="s">
        <v>472</v>
      </c>
      <c r="F520" s="126">
        <v>41355.0</v>
      </c>
      <c r="G520" s="127">
        <v>7.27E8</v>
      </c>
      <c r="H520" s="126">
        <v>41399.0</v>
      </c>
      <c r="I520" s="128">
        <v>8033.0</v>
      </c>
      <c r="J520" s="128">
        <v>152.58</v>
      </c>
      <c r="K520" s="128">
        <v>97.44</v>
      </c>
      <c r="L520" s="128">
        <v>1225675.0</v>
      </c>
      <c r="M520" s="128">
        <v>782735.5</v>
      </c>
      <c r="N520" s="128">
        <v>442939.6</v>
      </c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125" t="s">
        <v>458</v>
      </c>
      <c r="B521" s="125" t="s">
        <v>631</v>
      </c>
      <c r="C521" s="125" t="s">
        <v>514</v>
      </c>
      <c r="D521" s="125" t="s">
        <v>454</v>
      </c>
      <c r="E521" s="125" t="s">
        <v>464</v>
      </c>
      <c r="F521" s="126">
        <v>41390.0</v>
      </c>
      <c r="G521" s="127">
        <v>6.59E8</v>
      </c>
      <c r="H521" s="126">
        <v>41426.0</v>
      </c>
      <c r="I521" s="128">
        <v>9680.0</v>
      </c>
      <c r="J521" s="128">
        <v>668.27</v>
      </c>
      <c r="K521" s="128">
        <v>502.54</v>
      </c>
      <c r="L521" s="128">
        <v>6468854.0</v>
      </c>
      <c r="M521" s="128">
        <v>4864587.0</v>
      </c>
      <c r="N521" s="128">
        <v>1604266.0</v>
      </c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125" t="s">
        <v>458</v>
      </c>
      <c r="B522" s="125" t="s">
        <v>487</v>
      </c>
      <c r="C522" s="125" t="s">
        <v>468</v>
      </c>
      <c r="D522" s="125" t="s">
        <v>457</v>
      </c>
      <c r="E522" s="125" t="s">
        <v>472</v>
      </c>
      <c r="F522" s="126">
        <v>41206.0</v>
      </c>
      <c r="G522" s="127">
        <v>5.95E8</v>
      </c>
      <c r="H522" s="126">
        <v>41217.0</v>
      </c>
      <c r="I522" s="128">
        <v>9530.0</v>
      </c>
      <c r="J522" s="128">
        <v>81.73</v>
      </c>
      <c r="K522" s="128">
        <v>56.67</v>
      </c>
      <c r="L522" s="128">
        <v>778886.9</v>
      </c>
      <c r="M522" s="128">
        <v>540065.1</v>
      </c>
      <c r="N522" s="128">
        <v>238821.8</v>
      </c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125" t="s">
        <v>466</v>
      </c>
      <c r="B523" s="125" t="s">
        <v>598</v>
      </c>
      <c r="C523" s="125" t="s">
        <v>480</v>
      </c>
      <c r="D523" s="125" t="s">
        <v>457</v>
      </c>
      <c r="E523" s="125" t="s">
        <v>284</v>
      </c>
      <c r="F523" s="126">
        <v>42504.0</v>
      </c>
      <c r="G523" s="127">
        <v>2.23E8</v>
      </c>
      <c r="H523" s="126">
        <v>42554.0</v>
      </c>
      <c r="I523" s="128">
        <v>6340.0</v>
      </c>
      <c r="J523" s="128">
        <v>437.2</v>
      </c>
      <c r="K523" s="128">
        <v>263.33</v>
      </c>
      <c r="L523" s="128">
        <v>2771848.0</v>
      </c>
      <c r="M523" s="128">
        <v>1669512.0</v>
      </c>
      <c r="N523" s="128">
        <v>1102336.0</v>
      </c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125" t="s">
        <v>475</v>
      </c>
      <c r="B524" s="125" t="s">
        <v>640</v>
      </c>
      <c r="C524" s="125" t="s">
        <v>506</v>
      </c>
      <c r="D524" s="125" t="s">
        <v>454</v>
      </c>
      <c r="E524" s="125" t="s">
        <v>472</v>
      </c>
      <c r="F524" s="126">
        <v>41845.0</v>
      </c>
      <c r="G524" s="127">
        <v>6.5E8</v>
      </c>
      <c r="H524" s="126">
        <v>41885.0</v>
      </c>
      <c r="I524" s="128">
        <v>894.0</v>
      </c>
      <c r="J524" s="128">
        <v>154.06</v>
      </c>
      <c r="K524" s="128">
        <v>90.93</v>
      </c>
      <c r="L524" s="128">
        <v>137729.6</v>
      </c>
      <c r="M524" s="128">
        <v>81291.42</v>
      </c>
      <c r="N524" s="128">
        <v>56438.22</v>
      </c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125" t="s">
        <v>458</v>
      </c>
      <c r="B525" s="125" t="s">
        <v>643</v>
      </c>
      <c r="C525" s="125" t="s">
        <v>468</v>
      </c>
      <c r="D525" s="125" t="s">
        <v>457</v>
      </c>
      <c r="E525" s="125" t="s">
        <v>472</v>
      </c>
      <c r="F525" s="126">
        <v>40328.0</v>
      </c>
      <c r="G525" s="127">
        <v>3.55E8</v>
      </c>
      <c r="H525" s="126">
        <v>40337.0</v>
      </c>
      <c r="I525" s="128">
        <v>1011.0</v>
      </c>
      <c r="J525" s="128">
        <v>81.73</v>
      </c>
      <c r="K525" s="128">
        <v>56.67</v>
      </c>
      <c r="L525" s="128">
        <v>82629.03</v>
      </c>
      <c r="M525" s="128">
        <v>57293.37</v>
      </c>
      <c r="N525" s="128">
        <v>25335.66</v>
      </c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125" t="s">
        <v>466</v>
      </c>
      <c r="B526" s="125" t="s">
        <v>474</v>
      </c>
      <c r="C526" s="125" t="s">
        <v>456</v>
      </c>
      <c r="D526" s="125" t="s">
        <v>454</v>
      </c>
      <c r="E526" s="125" t="s">
        <v>189</v>
      </c>
      <c r="F526" s="126">
        <v>42204.0</v>
      </c>
      <c r="G526" s="127">
        <v>1.36E8</v>
      </c>
      <c r="H526" s="126">
        <v>42206.0</v>
      </c>
      <c r="I526" s="128">
        <v>6539.0</v>
      </c>
      <c r="J526" s="128">
        <v>152.58</v>
      </c>
      <c r="K526" s="128">
        <v>97.44</v>
      </c>
      <c r="L526" s="128">
        <v>997720.6</v>
      </c>
      <c r="M526" s="128">
        <v>637160.2</v>
      </c>
      <c r="N526" s="128">
        <v>360560.5</v>
      </c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125" t="s">
        <v>451</v>
      </c>
      <c r="B527" s="125" t="s">
        <v>609</v>
      </c>
      <c r="C527" s="125" t="s">
        <v>463</v>
      </c>
      <c r="D527" s="125" t="s">
        <v>454</v>
      </c>
      <c r="E527" s="125" t="s">
        <v>472</v>
      </c>
      <c r="F527" s="126">
        <v>42436.0</v>
      </c>
      <c r="G527" s="127">
        <v>8.61E8</v>
      </c>
      <c r="H527" s="126">
        <v>42485.0</v>
      </c>
      <c r="I527" s="128">
        <v>4357.0</v>
      </c>
      <c r="J527" s="128">
        <v>205.7</v>
      </c>
      <c r="K527" s="128">
        <v>117.11</v>
      </c>
      <c r="L527" s="128">
        <v>896234.9</v>
      </c>
      <c r="M527" s="128">
        <v>510248.3</v>
      </c>
      <c r="N527" s="128">
        <v>385986.6</v>
      </c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125" t="s">
        <v>466</v>
      </c>
      <c r="B528" s="125" t="s">
        <v>524</v>
      </c>
      <c r="C528" s="125" t="s">
        <v>506</v>
      </c>
      <c r="D528" s="125" t="s">
        <v>457</v>
      </c>
      <c r="E528" s="125" t="s">
        <v>472</v>
      </c>
      <c r="F528" s="126">
        <v>41905.0</v>
      </c>
      <c r="G528" s="127">
        <v>3.2E8</v>
      </c>
      <c r="H528" s="126">
        <v>41945.0</v>
      </c>
      <c r="I528" s="128">
        <v>3377.0</v>
      </c>
      <c r="J528" s="128">
        <v>154.06</v>
      </c>
      <c r="K528" s="128">
        <v>90.93</v>
      </c>
      <c r="L528" s="128">
        <v>520260.6</v>
      </c>
      <c r="M528" s="128">
        <v>307070.6</v>
      </c>
      <c r="N528" s="128">
        <v>213190.0</v>
      </c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125" t="s">
        <v>475</v>
      </c>
      <c r="B529" s="125" t="s">
        <v>570</v>
      </c>
      <c r="C529" s="125" t="s">
        <v>478</v>
      </c>
      <c r="D529" s="125" t="s">
        <v>457</v>
      </c>
      <c r="E529" s="125" t="s">
        <v>189</v>
      </c>
      <c r="F529" s="126">
        <v>40498.0</v>
      </c>
      <c r="G529" s="127">
        <v>8.73E8</v>
      </c>
      <c r="H529" s="126">
        <v>40507.0</v>
      </c>
      <c r="I529" s="128">
        <v>9542.0</v>
      </c>
      <c r="J529" s="128">
        <v>651.21</v>
      </c>
      <c r="K529" s="128">
        <v>524.96</v>
      </c>
      <c r="L529" s="128">
        <v>6213846.0</v>
      </c>
      <c r="M529" s="128">
        <v>5009168.0</v>
      </c>
      <c r="N529" s="128">
        <v>1204678.0</v>
      </c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125" t="s">
        <v>461</v>
      </c>
      <c r="B530" s="125" t="s">
        <v>481</v>
      </c>
      <c r="C530" s="125" t="s">
        <v>463</v>
      </c>
      <c r="D530" s="125" t="s">
        <v>457</v>
      </c>
      <c r="E530" s="125" t="s">
        <v>472</v>
      </c>
      <c r="F530" s="126">
        <v>41259.0</v>
      </c>
      <c r="G530" s="127">
        <v>8.98E8</v>
      </c>
      <c r="H530" s="126">
        <v>41261.0</v>
      </c>
      <c r="I530" s="128">
        <v>825.0</v>
      </c>
      <c r="J530" s="128">
        <v>205.7</v>
      </c>
      <c r="K530" s="128">
        <v>117.11</v>
      </c>
      <c r="L530" s="128">
        <v>169702.5</v>
      </c>
      <c r="M530" s="128">
        <v>96615.75</v>
      </c>
      <c r="N530" s="128">
        <v>73086.75</v>
      </c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125" t="s">
        <v>461</v>
      </c>
      <c r="B531" s="125" t="s">
        <v>581</v>
      </c>
      <c r="C531" s="125" t="s">
        <v>463</v>
      </c>
      <c r="D531" s="125" t="s">
        <v>454</v>
      </c>
      <c r="E531" s="125" t="s">
        <v>464</v>
      </c>
      <c r="F531" s="126">
        <v>40705.0</v>
      </c>
      <c r="G531" s="127">
        <v>6.47E8</v>
      </c>
      <c r="H531" s="126">
        <v>40706.0</v>
      </c>
      <c r="I531" s="128">
        <v>2230.0</v>
      </c>
      <c r="J531" s="128">
        <v>205.7</v>
      </c>
      <c r="K531" s="128">
        <v>117.11</v>
      </c>
      <c r="L531" s="128">
        <v>458711.0</v>
      </c>
      <c r="M531" s="128">
        <v>261155.3</v>
      </c>
      <c r="N531" s="128">
        <v>197555.7</v>
      </c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125" t="s">
        <v>469</v>
      </c>
      <c r="B532" s="125" t="s">
        <v>530</v>
      </c>
      <c r="C532" s="125" t="s">
        <v>460</v>
      </c>
      <c r="D532" s="125" t="s">
        <v>454</v>
      </c>
      <c r="E532" s="125" t="s">
        <v>284</v>
      </c>
      <c r="F532" s="126">
        <v>41273.0</v>
      </c>
      <c r="G532" s="127">
        <v>8.89E8</v>
      </c>
      <c r="H532" s="126">
        <v>41275.0</v>
      </c>
      <c r="I532" s="128">
        <v>795.0</v>
      </c>
      <c r="J532" s="128">
        <v>47.45</v>
      </c>
      <c r="K532" s="128">
        <v>31.79</v>
      </c>
      <c r="L532" s="128">
        <v>37722.75</v>
      </c>
      <c r="M532" s="128">
        <v>25273.05</v>
      </c>
      <c r="N532" s="128">
        <v>12449.7</v>
      </c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125" t="s">
        <v>461</v>
      </c>
      <c r="B533" s="125" t="s">
        <v>556</v>
      </c>
      <c r="C533" s="125" t="s">
        <v>494</v>
      </c>
      <c r="D533" s="125" t="s">
        <v>454</v>
      </c>
      <c r="E533" s="125" t="s">
        <v>464</v>
      </c>
      <c r="F533" s="126">
        <v>41641.0</v>
      </c>
      <c r="G533" s="127">
        <v>6.66E8</v>
      </c>
      <c r="H533" s="126">
        <v>41684.0</v>
      </c>
      <c r="I533" s="128">
        <v>585.0</v>
      </c>
      <c r="J533" s="128">
        <v>9.33</v>
      </c>
      <c r="K533" s="128">
        <v>6.92</v>
      </c>
      <c r="L533" s="128">
        <v>5458.05</v>
      </c>
      <c r="M533" s="128">
        <v>4048.2</v>
      </c>
      <c r="N533" s="128">
        <v>1409.85</v>
      </c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125" t="s">
        <v>458</v>
      </c>
      <c r="B534" s="125" t="s">
        <v>606</v>
      </c>
      <c r="C534" s="125" t="s">
        <v>485</v>
      </c>
      <c r="D534" s="125" t="s">
        <v>457</v>
      </c>
      <c r="E534" s="125" t="s">
        <v>284</v>
      </c>
      <c r="F534" s="126">
        <v>40876.0</v>
      </c>
      <c r="G534" s="127">
        <v>4.37E8</v>
      </c>
      <c r="H534" s="126">
        <v>40894.0</v>
      </c>
      <c r="I534" s="128">
        <v>7701.0</v>
      </c>
      <c r="J534" s="128">
        <v>421.89</v>
      </c>
      <c r="K534" s="128">
        <v>364.69</v>
      </c>
      <c r="L534" s="128">
        <v>3248975.0</v>
      </c>
      <c r="M534" s="128">
        <v>2808478.0</v>
      </c>
      <c r="N534" s="128">
        <v>440497.2</v>
      </c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125" t="s">
        <v>461</v>
      </c>
      <c r="B535" s="125" t="s">
        <v>516</v>
      </c>
      <c r="C535" s="125" t="s">
        <v>480</v>
      </c>
      <c r="D535" s="125" t="s">
        <v>454</v>
      </c>
      <c r="E535" s="125" t="s">
        <v>472</v>
      </c>
      <c r="F535" s="126">
        <v>42583.0</v>
      </c>
      <c r="G535" s="127">
        <v>7.35E8</v>
      </c>
      <c r="H535" s="126">
        <v>42599.0</v>
      </c>
      <c r="I535" s="128">
        <v>5272.0</v>
      </c>
      <c r="J535" s="128">
        <v>437.2</v>
      </c>
      <c r="K535" s="128">
        <v>263.33</v>
      </c>
      <c r="L535" s="128">
        <v>2304918.0</v>
      </c>
      <c r="M535" s="128">
        <v>1388276.0</v>
      </c>
      <c r="N535" s="128">
        <v>916642.6</v>
      </c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125" t="s">
        <v>458</v>
      </c>
      <c r="B536" s="125" t="s">
        <v>597</v>
      </c>
      <c r="C536" s="125" t="s">
        <v>506</v>
      </c>
      <c r="D536" s="125" t="s">
        <v>454</v>
      </c>
      <c r="E536" s="125" t="s">
        <v>464</v>
      </c>
      <c r="F536" s="126">
        <v>42457.0</v>
      </c>
      <c r="G536" s="127">
        <v>8.11E8</v>
      </c>
      <c r="H536" s="126">
        <v>42494.0</v>
      </c>
      <c r="I536" s="128">
        <v>8458.0</v>
      </c>
      <c r="J536" s="128">
        <v>154.06</v>
      </c>
      <c r="K536" s="128">
        <v>90.93</v>
      </c>
      <c r="L536" s="128">
        <v>1303039.0</v>
      </c>
      <c r="M536" s="128">
        <v>769085.9</v>
      </c>
      <c r="N536" s="128">
        <v>533953.5</v>
      </c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125" t="s">
        <v>458</v>
      </c>
      <c r="B537" s="125" t="s">
        <v>616</v>
      </c>
      <c r="C537" s="125" t="s">
        <v>478</v>
      </c>
      <c r="D537" s="125" t="s">
        <v>457</v>
      </c>
      <c r="E537" s="125" t="s">
        <v>284</v>
      </c>
      <c r="F537" s="126">
        <v>40732.0</v>
      </c>
      <c r="G537" s="127">
        <v>8.87E8</v>
      </c>
      <c r="H537" s="126">
        <v>40749.0</v>
      </c>
      <c r="I537" s="128">
        <v>9453.0</v>
      </c>
      <c r="J537" s="128">
        <v>651.21</v>
      </c>
      <c r="K537" s="128">
        <v>524.96</v>
      </c>
      <c r="L537" s="128">
        <v>6155888.0</v>
      </c>
      <c r="M537" s="128">
        <v>4962447.0</v>
      </c>
      <c r="N537" s="128">
        <v>1193441.0</v>
      </c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125" t="s">
        <v>475</v>
      </c>
      <c r="B538" s="125" t="s">
        <v>585</v>
      </c>
      <c r="C538" s="125" t="s">
        <v>485</v>
      </c>
      <c r="D538" s="125" t="s">
        <v>454</v>
      </c>
      <c r="E538" s="125" t="s">
        <v>189</v>
      </c>
      <c r="F538" s="126">
        <v>40797.0</v>
      </c>
      <c r="G538" s="127">
        <v>8.05E8</v>
      </c>
      <c r="H538" s="126">
        <v>40805.0</v>
      </c>
      <c r="I538" s="128">
        <v>2480.0</v>
      </c>
      <c r="J538" s="128">
        <v>421.89</v>
      </c>
      <c r="K538" s="128">
        <v>364.69</v>
      </c>
      <c r="L538" s="128">
        <v>1046287.0</v>
      </c>
      <c r="M538" s="128">
        <v>904431.2</v>
      </c>
      <c r="N538" s="128">
        <v>141856.0</v>
      </c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125" t="s">
        <v>469</v>
      </c>
      <c r="B539" s="125" t="s">
        <v>530</v>
      </c>
      <c r="C539" s="125" t="s">
        <v>514</v>
      </c>
      <c r="D539" s="125" t="s">
        <v>454</v>
      </c>
      <c r="E539" s="125" t="s">
        <v>464</v>
      </c>
      <c r="F539" s="126">
        <v>42279.0</v>
      </c>
      <c r="G539" s="127">
        <v>4.77E8</v>
      </c>
      <c r="H539" s="126">
        <v>42280.0</v>
      </c>
      <c r="I539" s="128">
        <v>8794.0</v>
      </c>
      <c r="J539" s="128">
        <v>668.27</v>
      </c>
      <c r="K539" s="128">
        <v>502.54</v>
      </c>
      <c r="L539" s="128">
        <v>5876766.0</v>
      </c>
      <c r="M539" s="128">
        <v>4419337.0</v>
      </c>
      <c r="N539" s="128">
        <v>1457430.0</v>
      </c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125" t="s">
        <v>469</v>
      </c>
      <c r="B540" s="125" t="s">
        <v>569</v>
      </c>
      <c r="C540" s="125" t="s">
        <v>456</v>
      </c>
      <c r="D540" s="125" t="s">
        <v>454</v>
      </c>
      <c r="E540" s="125" t="s">
        <v>472</v>
      </c>
      <c r="F540" s="126">
        <v>42432.0</v>
      </c>
      <c r="G540" s="127">
        <v>3.38E8</v>
      </c>
      <c r="H540" s="126">
        <v>42481.0</v>
      </c>
      <c r="I540" s="128">
        <v>1681.0</v>
      </c>
      <c r="J540" s="128">
        <v>152.58</v>
      </c>
      <c r="K540" s="128">
        <v>97.44</v>
      </c>
      <c r="L540" s="128">
        <v>256487.0</v>
      </c>
      <c r="M540" s="128">
        <v>163796.6</v>
      </c>
      <c r="N540" s="128">
        <v>92690.34</v>
      </c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125" t="s">
        <v>458</v>
      </c>
      <c r="B541" s="125" t="s">
        <v>515</v>
      </c>
      <c r="C541" s="125" t="s">
        <v>463</v>
      </c>
      <c r="D541" s="125" t="s">
        <v>457</v>
      </c>
      <c r="E541" s="125" t="s">
        <v>189</v>
      </c>
      <c r="F541" s="126">
        <v>40278.0</v>
      </c>
      <c r="G541" s="127">
        <v>8.89E8</v>
      </c>
      <c r="H541" s="126">
        <v>40318.0</v>
      </c>
      <c r="I541" s="128">
        <v>1458.0</v>
      </c>
      <c r="J541" s="128">
        <v>205.7</v>
      </c>
      <c r="K541" s="128">
        <v>117.11</v>
      </c>
      <c r="L541" s="128">
        <v>299910.6</v>
      </c>
      <c r="M541" s="128">
        <v>170746.4</v>
      </c>
      <c r="N541" s="128">
        <v>129164.2</v>
      </c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125" t="s">
        <v>458</v>
      </c>
      <c r="B542" s="125" t="s">
        <v>547</v>
      </c>
      <c r="C542" s="125" t="s">
        <v>463</v>
      </c>
      <c r="D542" s="125" t="s">
        <v>454</v>
      </c>
      <c r="E542" s="125" t="s">
        <v>284</v>
      </c>
      <c r="F542" s="126">
        <v>40761.0</v>
      </c>
      <c r="G542" s="127">
        <v>4.55E8</v>
      </c>
      <c r="H542" s="126">
        <v>40792.0</v>
      </c>
      <c r="I542" s="128">
        <v>475.0</v>
      </c>
      <c r="J542" s="128">
        <v>205.7</v>
      </c>
      <c r="K542" s="128">
        <v>117.11</v>
      </c>
      <c r="L542" s="128">
        <v>97707.5</v>
      </c>
      <c r="M542" s="128">
        <v>55627.25</v>
      </c>
      <c r="N542" s="128">
        <v>42080.25</v>
      </c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125" t="s">
        <v>461</v>
      </c>
      <c r="B543" s="125" t="s">
        <v>581</v>
      </c>
      <c r="C543" s="125" t="s">
        <v>471</v>
      </c>
      <c r="D543" s="125" t="s">
        <v>457</v>
      </c>
      <c r="E543" s="125" t="s">
        <v>472</v>
      </c>
      <c r="F543" s="126">
        <v>42301.0</v>
      </c>
      <c r="G543" s="127">
        <v>1.28E8</v>
      </c>
      <c r="H543" s="126">
        <v>42315.0</v>
      </c>
      <c r="I543" s="128">
        <v>8110.0</v>
      </c>
      <c r="J543" s="128">
        <v>109.28</v>
      </c>
      <c r="K543" s="128">
        <v>35.84</v>
      </c>
      <c r="L543" s="128">
        <v>886260.8</v>
      </c>
      <c r="M543" s="128">
        <v>290662.4</v>
      </c>
      <c r="N543" s="128">
        <v>595598.4</v>
      </c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125" t="s">
        <v>461</v>
      </c>
      <c r="B544" s="125" t="s">
        <v>462</v>
      </c>
      <c r="C544" s="125" t="s">
        <v>468</v>
      </c>
      <c r="D544" s="125" t="s">
        <v>454</v>
      </c>
      <c r="E544" s="125" t="s">
        <v>189</v>
      </c>
      <c r="F544" s="126">
        <v>40938.0</v>
      </c>
      <c r="G544" s="127">
        <v>6.24E8</v>
      </c>
      <c r="H544" s="126">
        <v>40984.0</v>
      </c>
      <c r="I544" s="128">
        <v>5776.0</v>
      </c>
      <c r="J544" s="128">
        <v>81.73</v>
      </c>
      <c r="K544" s="128">
        <v>56.67</v>
      </c>
      <c r="L544" s="128">
        <v>472072.5</v>
      </c>
      <c r="M544" s="128">
        <v>327325.9</v>
      </c>
      <c r="N544" s="128">
        <v>144746.6</v>
      </c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125" t="s">
        <v>458</v>
      </c>
      <c r="B545" s="125" t="s">
        <v>486</v>
      </c>
      <c r="C545" s="125" t="s">
        <v>478</v>
      </c>
      <c r="D545" s="125" t="s">
        <v>454</v>
      </c>
      <c r="E545" s="125" t="s">
        <v>464</v>
      </c>
      <c r="F545" s="126">
        <v>42784.0</v>
      </c>
      <c r="G545" s="127">
        <v>9.26E8</v>
      </c>
      <c r="H545" s="126">
        <v>42804.0</v>
      </c>
      <c r="I545" s="128">
        <v>1913.0</v>
      </c>
      <c r="J545" s="128">
        <v>651.21</v>
      </c>
      <c r="K545" s="128">
        <v>524.96</v>
      </c>
      <c r="L545" s="128">
        <v>1245765.0</v>
      </c>
      <c r="M545" s="128">
        <v>1004248.0</v>
      </c>
      <c r="N545" s="128">
        <v>241516.3</v>
      </c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125" t="s">
        <v>475</v>
      </c>
      <c r="B546" s="125" t="s">
        <v>570</v>
      </c>
      <c r="C546" s="125" t="s">
        <v>468</v>
      </c>
      <c r="D546" s="125" t="s">
        <v>454</v>
      </c>
      <c r="E546" s="125" t="s">
        <v>472</v>
      </c>
      <c r="F546" s="126">
        <v>40510.0</v>
      </c>
      <c r="G546" s="127">
        <v>5.4E8</v>
      </c>
      <c r="H546" s="126">
        <v>40554.0</v>
      </c>
      <c r="I546" s="128">
        <v>6997.0</v>
      </c>
      <c r="J546" s="128">
        <v>81.73</v>
      </c>
      <c r="K546" s="128">
        <v>56.67</v>
      </c>
      <c r="L546" s="128">
        <v>571864.8</v>
      </c>
      <c r="M546" s="128">
        <v>396520.0</v>
      </c>
      <c r="N546" s="128">
        <v>175344.8</v>
      </c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125" t="s">
        <v>469</v>
      </c>
      <c r="B547" s="125" t="s">
        <v>520</v>
      </c>
      <c r="C547" s="125" t="s">
        <v>514</v>
      </c>
      <c r="D547" s="125" t="s">
        <v>457</v>
      </c>
      <c r="E547" s="125" t="s">
        <v>464</v>
      </c>
      <c r="F547" s="126">
        <v>42387.0</v>
      </c>
      <c r="G547" s="127">
        <v>8.4E8</v>
      </c>
      <c r="H547" s="126">
        <v>42400.0</v>
      </c>
      <c r="I547" s="128">
        <v>8532.0</v>
      </c>
      <c r="J547" s="128">
        <v>668.27</v>
      </c>
      <c r="K547" s="128">
        <v>502.54</v>
      </c>
      <c r="L547" s="128">
        <v>5701680.0</v>
      </c>
      <c r="M547" s="128">
        <v>4287671.0</v>
      </c>
      <c r="N547" s="128">
        <v>1414008.0</v>
      </c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125" t="s">
        <v>461</v>
      </c>
      <c r="B548" s="125" t="s">
        <v>611</v>
      </c>
      <c r="C548" s="125" t="s">
        <v>460</v>
      </c>
      <c r="D548" s="125" t="s">
        <v>457</v>
      </c>
      <c r="E548" s="125" t="s">
        <v>284</v>
      </c>
      <c r="F548" s="126">
        <v>40482.0</v>
      </c>
      <c r="G548" s="127">
        <v>1.21E8</v>
      </c>
      <c r="H548" s="126">
        <v>40520.0</v>
      </c>
      <c r="I548" s="128">
        <v>6054.0</v>
      </c>
      <c r="J548" s="128">
        <v>47.45</v>
      </c>
      <c r="K548" s="128">
        <v>31.79</v>
      </c>
      <c r="L548" s="128">
        <v>287262.3</v>
      </c>
      <c r="M548" s="128">
        <v>192456.7</v>
      </c>
      <c r="N548" s="128">
        <v>94805.64</v>
      </c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125" t="s">
        <v>451</v>
      </c>
      <c r="B549" s="125" t="s">
        <v>593</v>
      </c>
      <c r="C549" s="125" t="s">
        <v>471</v>
      </c>
      <c r="D549" s="125" t="s">
        <v>454</v>
      </c>
      <c r="E549" s="125" t="s">
        <v>472</v>
      </c>
      <c r="F549" s="126">
        <v>42461.0</v>
      </c>
      <c r="G549" s="127">
        <v>3.51E8</v>
      </c>
      <c r="H549" s="126">
        <v>42475.0</v>
      </c>
      <c r="I549" s="128">
        <v>6130.0</v>
      </c>
      <c r="J549" s="128">
        <v>109.28</v>
      </c>
      <c r="K549" s="128">
        <v>35.84</v>
      </c>
      <c r="L549" s="128">
        <v>669886.4</v>
      </c>
      <c r="M549" s="128">
        <v>219699.2</v>
      </c>
      <c r="N549" s="128">
        <v>450187.2</v>
      </c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125" t="s">
        <v>458</v>
      </c>
      <c r="B550" s="125" t="s">
        <v>626</v>
      </c>
      <c r="C550" s="125" t="s">
        <v>494</v>
      </c>
      <c r="D550" s="125" t="s">
        <v>457</v>
      </c>
      <c r="E550" s="125" t="s">
        <v>284</v>
      </c>
      <c r="F550" s="126">
        <v>42550.0</v>
      </c>
      <c r="G550" s="127">
        <v>4.13E8</v>
      </c>
      <c r="H550" s="126">
        <v>42553.0</v>
      </c>
      <c r="I550" s="128">
        <v>7360.0</v>
      </c>
      <c r="J550" s="128">
        <v>9.33</v>
      </c>
      <c r="K550" s="128">
        <v>6.92</v>
      </c>
      <c r="L550" s="128">
        <v>68668.8</v>
      </c>
      <c r="M550" s="128">
        <v>50931.2</v>
      </c>
      <c r="N550" s="128">
        <v>17737.6</v>
      </c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125" t="s">
        <v>475</v>
      </c>
      <c r="B551" s="125" t="s">
        <v>651</v>
      </c>
      <c r="C551" s="125" t="s">
        <v>514</v>
      </c>
      <c r="D551" s="125" t="s">
        <v>457</v>
      </c>
      <c r="E551" s="125" t="s">
        <v>189</v>
      </c>
      <c r="F551" s="126">
        <v>42280.0</v>
      </c>
      <c r="G551" s="127">
        <v>1.66E8</v>
      </c>
      <c r="H551" s="126">
        <v>42285.0</v>
      </c>
      <c r="I551" s="128">
        <v>5372.0</v>
      </c>
      <c r="J551" s="128">
        <v>668.27</v>
      </c>
      <c r="K551" s="128">
        <v>502.54</v>
      </c>
      <c r="L551" s="128">
        <v>3589946.0</v>
      </c>
      <c r="M551" s="128">
        <v>2699645.0</v>
      </c>
      <c r="N551" s="128">
        <v>890301.6</v>
      </c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125" t="s">
        <v>458</v>
      </c>
      <c r="B552" s="125" t="s">
        <v>515</v>
      </c>
      <c r="C552" s="125" t="s">
        <v>460</v>
      </c>
      <c r="D552" s="125" t="s">
        <v>454</v>
      </c>
      <c r="E552" s="125" t="s">
        <v>472</v>
      </c>
      <c r="F552" s="126">
        <v>40804.0</v>
      </c>
      <c r="G552" s="127">
        <v>8.84E8</v>
      </c>
      <c r="H552" s="126">
        <v>40835.0</v>
      </c>
      <c r="I552" s="128">
        <v>7829.0</v>
      </c>
      <c r="J552" s="128">
        <v>47.45</v>
      </c>
      <c r="K552" s="128">
        <v>31.79</v>
      </c>
      <c r="L552" s="128">
        <v>371486.1</v>
      </c>
      <c r="M552" s="128">
        <v>248883.9</v>
      </c>
      <c r="N552" s="128">
        <v>122602.1</v>
      </c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125" t="s">
        <v>475</v>
      </c>
      <c r="B553" s="125" t="s">
        <v>500</v>
      </c>
      <c r="C553" s="125" t="s">
        <v>480</v>
      </c>
      <c r="D553" s="125" t="s">
        <v>454</v>
      </c>
      <c r="E553" s="125" t="s">
        <v>284</v>
      </c>
      <c r="F553" s="126">
        <v>41814.0</v>
      </c>
      <c r="G553" s="127">
        <v>3.16E8</v>
      </c>
      <c r="H553" s="126">
        <v>41845.0</v>
      </c>
      <c r="I553" s="128">
        <v>9422.0</v>
      </c>
      <c r="J553" s="128">
        <v>437.2</v>
      </c>
      <c r="K553" s="128">
        <v>263.33</v>
      </c>
      <c r="L553" s="128">
        <v>4119298.0</v>
      </c>
      <c r="M553" s="128">
        <v>2481095.0</v>
      </c>
      <c r="N553" s="128">
        <v>1638203.0</v>
      </c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125" t="s">
        <v>458</v>
      </c>
      <c r="B554" s="125" t="s">
        <v>626</v>
      </c>
      <c r="C554" s="125" t="s">
        <v>480</v>
      </c>
      <c r="D554" s="125" t="s">
        <v>454</v>
      </c>
      <c r="E554" s="125" t="s">
        <v>284</v>
      </c>
      <c r="F554" s="126">
        <v>41090.0</v>
      </c>
      <c r="G554" s="127">
        <v>3.28E8</v>
      </c>
      <c r="H554" s="126">
        <v>41109.0</v>
      </c>
      <c r="I554" s="128">
        <v>6876.0</v>
      </c>
      <c r="J554" s="128">
        <v>437.2</v>
      </c>
      <c r="K554" s="128">
        <v>263.33</v>
      </c>
      <c r="L554" s="128">
        <v>3006187.0</v>
      </c>
      <c r="M554" s="128">
        <v>1810657.0</v>
      </c>
      <c r="N554" s="128">
        <v>1195530.0</v>
      </c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125" t="s">
        <v>458</v>
      </c>
      <c r="B555" s="125" t="s">
        <v>622</v>
      </c>
      <c r="C555" s="125" t="s">
        <v>456</v>
      </c>
      <c r="D555" s="125" t="s">
        <v>454</v>
      </c>
      <c r="E555" s="125" t="s">
        <v>472</v>
      </c>
      <c r="F555" s="126">
        <v>41720.0</v>
      </c>
      <c r="G555" s="127">
        <v>1.59E8</v>
      </c>
      <c r="H555" s="126">
        <v>41769.0</v>
      </c>
      <c r="I555" s="128">
        <v>3944.0</v>
      </c>
      <c r="J555" s="128">
        <v>152.58</v>
      </c>
      <c r="K555" s="128">
        <v>97.44</v>
      </c>
      <c r="L555" s="128">
        <v>601775.5</v>
      </c>
      <c r="M555" s="128">
        <v>384303.4</v>
      </c>
      <c r="N555" s="128">
        <v>217472.2</v>
      </c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125" t="s">
        <v>458</v>
      </c>
      <c r="B556" s="125" t="s">
        <v>616</v>
      </c>
      <c r="C556" s="125" t="s">
        <v>456</v>
      </c>
      <c r="D556" s="125" t="s">
        <v>457</v>
      </c>
      <c r="E556" s="125" t="s">
        <v>464</v>
      </c>
      <c r="F556" s="126">
        <v>41646.0</v>
      </c>
      <c r="G556" s="127">
        <v>4.65E8</v>
      </c>
      <c r="H556" s="126">
        <v>41680.0</v>
      </c>
      <c r="I556" s="128">
        <v>6413.0</v>
      </c>
      <c r="J556" s="128">
        <v>152.58</v>
      </c>
      <c r="K556" s="128">
        <v>97.44</v>
      </c>
      <c r="L556" s="128">
        <v>978495.5</v>
      </c>
      <c r="M556" s="128">
        <v>624882.7</v>
      </c>
      <c r="N556" s="128">
        <v>353612.8</v>
      </c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125" t="s">
        <v>461</v>
      </c>
      <c r="B557" s="125" t="s">
        <v>516</v>
      </c>
      <c r="C557" s="125" t="s">
        <v>453</v>
      </c>
      <c r="D557" s="125" t="s">
        <v>454</v>
      </c>
      <c r="E557" s="125" t="s">
        <v>464</v>
      </c>
      <c r="F557" s="126">
        <v>40584.0</v>
      </c>
      <c r="G557" s="127">
        <v>1.75E8</v>
      </c>
      <c r="H557" s="126">
        <v>40612.0</v>
      </c>
      <c r="I557" s="128">
        <v>7101.0</v>
      </c>
      <c r="J557" s="128">
        <v>255.28</v>
      </c>
      <c r="K557" s="128">
        <v>159.42</v>
      </c>
      <c r="L557" s="128">
        <v>1812743.0</v>
      </c>
      <c r="M557" s="128">
        <v>1132041.0</v>
      </c>
      <c r="N557" s="128">
        <v>680701.9</v>
      </c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125" t="s">
        <v>466</v>
      </c>
      <c r="B558" s="125" t="s">
        <v>467</v>
      </c>
      <c r="C558" s="125" t="s">
        <v>514</v>
      </c>
      <c r="D558" s="125" t="s">
        <v>454</v>
      </c>
      <c r="E558" s="125" t="s">
        <v>464</v>
      </c>
      <c r="F558" s="126">
        <v>41403.0</v>
      </c>
      <c r="G558" s="127">
        <v>5.38E8</v>
      </c>
      <c r="H558" s="126">
        <v>41452.0</v>
      </c>
      <c r="I558" s="128">
        <v>856.0</v>
      </c>
      <c r="J558" s="128">
        <v>668.27</v>
      </c>
      <c r="K558" s="128">
        <v>502.54</v>
      </c>
      <c r="L558" s="128">
        <v>572039.1</v>
      </c>
      <c r="M558" s="128">
        <v>430174.2</v>
      </c>
      <c r="N558" s="128">
        <v>141864.9</v>
      </c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125" t="s">
        <v>475</v>
      </c>
      <c r="B559" s="125" t="s">
        <v>601</v>
      </c>
      <c r="C559" s="125" t="s">
        <v>468</v>
      </c>
      <c r="D559" s="125" t="s">
        <v>454</v>
      </c>
      <c r="E559" s="125" t="s">
        <v>472</v>
      </c>
      <c r="F559" s="126">
        <v>40447.0</v>
      </c>
      <c r="G559" s="127">
        <v>1.72E8</v>
      </c>
      <c r="H559" s="126">
        <v>40448.0</v>
      </c>
      <c r="I559" s="128">
        <v>9559.0</v>
      </c>
      <c r="J559" s="128">
        <v>81.73</v>
      </c>
      <c r="K559" s="128">
        <v>56.67</v>
      </c>
      <c r="L559" s="128">
        <v>781257.1</v>
      </c>
      <c r="M559" s="128">
        <v>541708.5</v>
      </c>
      <c r="N559" s="128">
        <v>239548.5</v>
      </c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125" t="s">
        <v>451</v>
      </c>
      <c r="B560" s="125" t="s">
        <v>596</v>
      </c>
      <c r="C560" s="125" t="s">
        <v>453</v>
      </c>
      <c r="D560" s="125" t="s">
        <v>457</v>
      </c>
      <c r="E560" s="125" t="s">
        <v>472</v>
      </c>
      <c r="F560" s="126">
        <v>42748.0</v>
      </c>
      <c r="G560" s="127">
        <v>9.17E8</v>
      </c>
      <c r="H560" s="126">
        <v>42751.0</v>
      </c>
      <c r="I560" s="128">
        <v>7119.0</v>
      </c>
      <c r="J560" s="128">
        <v>255.28</v>
      </c>
      <c r="K560" s="128">
        <v>159.42</v>
      </c>
      <c r="L560" s="128">
        <v>1817338.0</v>
      </c>
      <c r="M560" s="128">
        <v>1134911.0</v>
      </c>
      <c r="N560" s="128">
        <v>682427.3</v>
      </c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125" t="s">
        <v>461</v>
      </c>
      <c r="B561" s="125" t="s">
        <v>639</v>
      </c>
      <c r="C561" s="125" t="s">
        <v>478</v>
      </c>
      <c r="D561" s="125" t="s">
        <v>454</v>
      </c>
      <c r="E561" s="125" t="s">
        <v>189</v>
      </c>
      <c r="F561" s="126">
        <v>41278.0</v>
      </c>
      <c r="G561" s="127">
        <v>1.81E8</v>
      </c>
      <c r="H561" s="126">
        <v>41291.0</v>
      </c>
      <c r="I561" s="128">
        <v>4480.0</v>
      </c>
      <c r="J561" s="128">
        <v>651.21</v>
      </c>
      <c r="K561" s="128">
        <v>524.96</v>
      </c>
      <c r="L561" s="128">
        <v>2917421.0</v>
      </c>
      <c r="M561" s="128">
        <v>2351821.0</v>
      </c>
      <c r="N561" s="128">
        <v>565600.0</v>
      </c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125" t="s">
        <v>458</v>
      </c>
      <c r="B562" s="125" t="s">
        <v>541</v>
      </c>
      <c r="C562" s="125" t="s">
        <v>460</v>
      </c>
      <c r="D562" s="125" t="s">
        <v>454</v>
      </c>
      <c r="E562" s="125" t="s">
        <v>284</v>
      </c>
      <c r="F562" s="126">
        <v>40463.0</v>
      </c>
      <c r="G562" s="127">
        <v>3.96E8</v>
      </c>
      <c r="H562" s="126">
        <v>40513.0</v>
      </c>
      <c r="I562" s="128">
        <v>4615.0</v>
      </c>
      <c r="J562" s="128">
        <v>47.45</v>
      </c>
      <c r="K562" s="128">
        <v>31.79</v>
      </c>
      <c r="L562" s="128">
        <v>218981.8</v>
      </c>
      <c r="M562" s="128">
        <v>146710.9</v>
      </c>
      <c r="N562" s="128">
        <v>72270.9</v>
      </c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125" t="s">
        <v>458</v>
      </c>
      <c r="B563" s="125" t="s">
        <v>616</v>
      </c>
      <c r="C563" s="125" t="s">
        <v>453</v>
      </c>
      <c r="D563" s="125" t="s">
        <v>457</v>
      </c>
      <c r="E563" s="125" t="s">
        <v>472</v>
      </c>
      <c r="F563" s="126">
        <v>40969.0</v>
      </c>
      <c r="G563" s="127">
        <v>4.59E8</v>
      </c>
      <c r="H563" s="126">
        <v>40990.0</v>
      </c>
      <c r="I563" s="128">
        <v>7529.0</v>
      </c>
      <c r="J563" s="128">
        <v>255.28</v>
      </c>
      <c r="K563" s="128">
        <v>159.42</v>
      </c>
      <c r="L563" s="128">
        <v>1922003.0</v>
      </c>
      <c r="M563" s="128">
        <v>1200273.0</v>
      </c>
      <c r="N563" s="128">
        <v>721729.9</v>
      </c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125" t="s">
        <v>458</v>
      </c>
      <c r="B564" s="125" t="s">
        <v>567</v>
      </c>
      <c r="C564" s="125" t="s">
        <v>485</v>
      </c>
      <c r="D564" s="125" t="s">
        <v>454</v>
      </c>
      <c r="E564" s="125" t="s">
        <v>464</v>
      </c>
      <c r="F564" s="126">
        <v>41085.0</v>
      </c>
      <c r="G564" s="127">
        <v>6.93E8</v>
      </c>
      <c r="H564" s="126">
        <v>41134.0</v>
      </c>
      <c r="I564" s="128">
        <v>5259.0</v>
      </c>
      <c r="J564" s="128">
        <v>421.89</v>
      </c>
      <c r="K564" s="128">
        <v>364.69</v>
      </c>
      <c r="L564" s="128">
        <v>2218720.0</v>
      </c>
      <c r="M564" s="128">
        <v>1917905.0</v>
      </c>
      <c r="N564" s="128">
        <v>300814.8</v>
      </c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125" t="s">
        <v>461</v>
      </c>
      <c r="B565" s="125" t="s">
        <v>511</v>
      </c>
      <c r="C565" s="125" t="s">
        <v>468</v>
      </c>
      <c r="D565" s="125" t="s">
        <v>457</v>
      </c>
      <c r="E565" s="125" t="s">
        <v>464</v>
      </c>
      <c r="F565" s="126">
        <v>40871.0</v>
      </c>
      <c r="G565" s="127">
        <v>5.88E8</v>
      </c>
      <c r="H565" s="126">
        <v>40915.0</v>
      </c>
      <c r="I565" s="128">
        <v>6871.0</v>
      </c>
      <c r="J565" s="128">
        <v>81.73</v>
      </c>
      <c r="K565" s="128">
        <v>56.67</v>
      </c>
      <c r="L565" s="128">
        <v>561566.8</v>
      </c>
      <c r="M565" s="128">
        <v>389379.6</v>
      </c>
      <c r="N565" s="128">
        <v>172187.3</v>
      </c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125" t="s">
        <v>458</v>
      </c>
      <c r="B566" s="125" t="s">
        <v>610</v>
      </c>
      <c r="C566" s="125" t="s">
        <v>494</v>
      </c>
      <c r="D566" s="125" t="s">
        <v>457</v>
      </c>
      <c r="E566" s="125" t="s">
        <v>464</v>
      </c>
      <c r="F566" s="126">
        <v>40777.0</v>
      </c>
      <c r="G566" s="127">
        <v>1.54E8</v>
      </c>
      <c r="H566" s="126">
        <v>40806.0</v>
      </c>
      <c r="I566" s="128">
        <v>3464.0</v>
      </c>
      <c r="J566" s="128">
        <v>9.33</v>
      </c>
      <c r="K566" s="128">
        <v>6.92</v>
      </c>
      <c r="L566" s="128">
        <v>32319.12</v>
      </c>
      <c r="M566" s="128">
        <v>23970.88</v>
      </c>
      <c r="N566" s="128">
        <v>8348.24</v>
      </c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125" t="s">
        <v>475</v>
      </c>
      <c r="B567" s="125" t="s">
        <v>624</v>
      </c>
      <c r="C567" s="125" t="s">
        <v>506</v>
      </c>
      <c r="D567" s="125" t="s">
        <v>454</v>
      </c>
      <c r="E567" s="125" t="s">
        <v>464</v>
      </c>
      <c r="F567" s="126">
        <v>40260.0</v>
      </c>
      <c r="G567" s="127">
        <v>3.73E8</v>
      </c>
      <c r="H567" s="126">
        <v>40275.0</v>
      </c>
      <c r="I567" s="128">
        <v>3169.0</v>
      </c>
      <c r="J567" s="128">
        <v>154.06</v>
      </c>
      <c r="K567" s="128">
        <v>90.93</v>
      </c>
      <c r="L567" s="128">
        <v>488216.1</v>
      </c>
      <c r="M567" s="128">
        <v>288157.2</v>
      </c>
      <c r="N567" s="128">
        <v>200059.0</v>
      </c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125" t="s">
        <v>469</v>
      </c>
      <c r="B568" s="125" t="s">
        <v>470</v>
      </c>
      <c r="C568" s="125" t="s">
        <v>468</v>
      </c>
      <c r="D568" s="125" t="s">
        <v>457</v>
      </c>
      <c r="E568" s="125" t="s">
        <v>189</v>
      </c>
      <c r="F568" s="126">
        <v>41929.0</v>
      </c>
      <c r="G568" s="127">
        <v>9.47E8</v>
      </c>
      <c r="H568" s="126">
        <v>41956.0</v>
      </c>
      <c r="I568" s="128">
        <v>6145.0</v>
      </c>
      <c r="J568" s="128">
        <v>81.73</v>
      </c>
      <c r="K568" s="128">
        <v>56.67</v>
      </c>
      <c r="L568" s="128">
        <v>502230.9</v>
      </c>
      <c r="M568" s="128">
        <v>348237.2</v>
      </c>
      <c r="N568" s="128">
        <v>153993.7</v>
      </c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125" t="s">
        <v>458</v>
      </c>
      <c r="B569" s="125" t="s">
        <v>652</v>
      </c>
      <c r="C569" s="125" t="s">
        <v>456</v>
      </c>
      <c r="D569" s="125" t="s">
        <v>454</v>
      </c>
      <c r="E569" s="125" t="s">
        <v>472</v>
      </c>
      <c r="F569" s="126">
        <v>41869.0</v>
      </c>
      <c r="G569" s="127">
        <v>7.47E8</v>
      </c>
      <c r="H569" s="126">
        <v>41897.0</v>
      </c>
      <c r="I569" s="128">
        <v>9587.0</v>
      </c>
      <c r="J569" s="128">
        <v>152.58</v>
      </c>
      <c r="K569" s="128">
        <v>97.44</v>
      </c>
      <c r="L569" s="128">
        <v>1462784.0</v>
      </c>
      <c r="M569" s="128">
        <v>934157.3</v>
      </c>
      <c r="N569" s="128">
        <v>528627.2</v>
      </c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125" t="s">
        <v>475</v>
      </c>
      <c r="B570" s="125" t="s">
        <v>619</v>
      </c>
      <c r="C570" s="125" t="s">
        <v>514</v>
      </c>
      <c r="D570" s="125" t="s">
        <v>457</v>
      </c>
      <c r="E570" s="125" t="s">
        <v>472</v>
      </c>
      <c r="F570" s="126">
        <v>42086.0</v>
      </c>
      <c r="G570" s="127">
        <v>9.66E8</v>
      </c>
      <c r="H570" s="126">
        <v>42131.0</v>
      </c>
      <c r="I570" s="128">
        <v>2716.0</v>
      </c>
      <c r="J570" s="128">
        <v>668.27</v>
      </c>
      <c r="K570" s="128">
        <v>502.54</v>
      </c>
      <c r="L570" s="128">
        <v>1815021.0</v>
      </c>
      <c r="M570" s="128">
        <v>1364899.0</v>
      </c>
      <c r="N570" s="128">
        <v>450122.7</v>
      </c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125" t="s">
        <v>458</v>
      </c>
      <c r="B571" s="125" t="s">
        <v>473</v>
      </c>
      <c r="C571" s="125" t="s">
        <v>471</v>
      </c>
      <c r="D571" s="125" t="s">
        <v>454</v>
      </c>
      <c r="E571" s="125" t="s">
        <v>189</v>
      </c>
      <c r="F571" s="126">
        <v>40826.0</v>
      </c>
      <c r="G571" s="127">
        <v>1.67E8</v>
      </c>
      <c r="H571" s="126">
        <v>40868.0</v>
      </c>
      <c r="I571" s="128">
        <v>1789.0</v>
      </c>
      <c r="J571" s="128">
        <v>109.28</v>
      </c>
      <c r="K571" s="128">
        <v>35.84</v>
      </c>
      <c r="L571" s="128">
        <v>195501.9</v>
      </c>
      <c r="M571" s="128">
        <v>64117.76</v>
      </c>
      <c r="N571" s="128">
        <v>131384.2</v>
      </c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125" t="s">
        <v>469</v>
      </c>
      <c r="B572" s="125" t="s">
        <v>520</v>
      </c>
      <c r="C572" s="125" t="s">
        <v>485</v>
      </c>
      <c r="D572" s="125" t="s">
        <v>457</v>
      </c>
      <c r="E572" s="125" t="s">
        <v>472</v>
      </c>
      <c r="F572" s="126">
        <v>42255.0</v>
      </c>
      <c r="G572" s="127">
        <v>1.31E8</v>
      </c>
      <c r="H572" s="126">
        <v>42301.0</v>
      </c>
      <c r="I572" s="128">
        <v>5091.0</v>
      </c>
      <c r="J572" s="128">
        <v>421.89</v>
      </c>
      <c r="K572" s="128">
        <v>364.69</v>
      </c>
      <c r="L572" s="128">
        <v>2147842.0</v>
      </c>
      <c r="M572" s="128">
        <v>1856637.0</v>
      </c>
      <c r="N572" s="128">
        <v>291205.2</v>
      </c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125" t="s">
        <v>475</v>
      </c>
      <c r="B573" s="125" t="s">
        <v>602</v>
      </c>
      <c r="C573" s="125" t="s">
        <v>506</v>
      </c>
      <c r="D573" s="125" t="s">
        <v>454</v>
      </c>
      <c r="E573" s="125" t="s">
        <v>464</v>
      </c>
      <c r="F573" s="126">
        <v>41247.0</v>
      </c>
      <c r="G573" s="127">
        <v>9.13E8</v>
      </c>
      <c r="H573" s="126">
        <v>41271.0</v>
      </c>
      <c r="I573" s="128">
        <v>7939.0</v>
      </c>
      <c r="J573" s="128">
        <v>154.06</v>
      </c>
      <c r="K573" s="128">
        <v>90.93</v>
      </c>
      <c r="L573" s="128">
        <v>1223082.0</v>
      </c>
      <c r="M573" s="128">
        <v>721893.3</v>
      </c>
      <c r="N573" s="128">
        <v>501189.1</v>
      </c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125" t="s">
        <v>458</v>
      </c>
      <c r="B574" s="125" t="s">
        <v>590</v>
      </c>
      <c r="C574" s="125" t="s">
        <v>468</v>
      </c>
      <c r="D574" s="125" t="s">
        <v>457</v>
      </c>
      <c r="E574" s="125" t="s">
        <v>189</v>
      </c>
      <c r="F574" s="126">
        <v>41364.0</v>
      </c>
      <c r="G574" s="127">
        <v>3.86E8</v>
      </c>
      <c r="H574" s="126">
        <v>41369.0</v>
      </c>
      <c r="I574" s="128">
        <v>7683.0</v>
      </c>
      <c r="J574" s="128">
        <v>81.73</v>
      </c>
      <c r="K574" s="128">
        <v>56.67</v>
      </c>
      <c r="L574" s="128">
        <v>627931.6</v>
      </c>
      <c r="M574" s="128">
        <v>435395.6</v>
      </c>
      <c r="N574" s="128">
        <v>192536.0</v>
      </c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125" t="s">
        <v>458</v>
      </c>
      <c r="B575" s="125" t="s">
        <v>622</v>
      </c>
      <c r="C575" s="125" t="s">
        <v>468</v>
      </c>
      <c r="D575" s="125" t="s">
        <v>457</v>
      </c>
      <c r="E575" s="125" t="s">
        <v>472</v>
      </c>
      <c r="F575" s="126">
        <v>42408.0</v>
      </c>
      <c r="G575" s="127">
        <v>9.93E8</v>
      </c>
      <c r="H575" s="126">
        <v>42416.0</v>
      </c>
      <c r="I575" s="128">
        <v>8702.0</v>
      </c>
      <c r="J575" s="128">
        <v>81.73</v>
      </c>
      <c r="K575" s="128">
        <v>56.67</v>
      </c>
      <c r="L575" s="128">
        <v>711214.5</v>
      </c>
      <c r="M575" s="128">
        <v>493142.3</v>
      </c>
      <c r="N575" s="128">
        <v>218072.1</v>
      </c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125" t="s">
        <v>475</v>
      </c>
      <c r="B576" s="125" t="s">
        <v>635</v>
      </c>
      <c r="C576" s="125" t="s">
        <v>478</v>
      </c>
      <c r="D576" s="125" t="s">
        <v>457</v>
      </c>
      <c r="E576" s="125" t="s">
        <v>472</v>
      </c>
      <c r="F576" s="126">
        <v>41803.0</v>
      </c>
      <c r="G576" s="127">
        <v>2.99E8</v>
      </c>
      <c r="H576" s="126">
        <v>41816.0</v>
      </c>
      <c r="I576" s="128">
        <v>7408.0</v>
      </c>
      <c r="J576" s="128">
        <v>651.21</v>
      </c>
      <c r="K576" s="128">
        <v>524.96</v>
      </c>
      <c r="L576" s="128">
        <v>4824164.0</v>
      </c>
      <c r="M576" s="128">
        <v>3888904.0</v>
      </c>
      <c r="N576" s="128">
        <v>935260.0</v>
      </c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125" t="s">
        <v>466</v>
      </c>
      <c r="B577" s="125" t="s">
        <v>607</v>
      </c>
      <c r="C577" s="125" t="s">
        <v>506</v>
      </c>
      <c r="D577" s="125" t="s">
        <v>457</v>
      </c>
      <c r="E577" s="125" t="s">
        <v>464</v>
      </c>
      <c r="F577" s="126">
        <v>41512.0</v>
      </c>
      <c r="G577" s="127">
        <v>4.39E8</v>
      </c>
      <c r="H577" s="126">
        <v>41552.0</v>
      </c>
      <c r="I577" s="128">
        <v>7242.0</v>
      </c>
      <c r="J577" s="128">
        <v>154.06</v>
      </c>
      <c r="K577" s="128">
        <v>90.93</v>
      </c>
      <c r="L577" s="128">
        <v>1115703.0</v>
      </c>
      <c r="M577" s="128">
        <v>658515.1</v>
      </c>
      <c r="N577" s="128">
        <v>457187.5</v>
      </c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125" t="s">
        <v>461</v>
      </c>
      <c r="B578" s="125" t="s">
        <v>578</v>
      </c>
      <c r="C578" s="125" t="s">
        <v>480</v>
      </c>
      <c r="D578" s="125" t="s">
        <v>457</v>
      </c>
      <c r="E578" s="125" t="s">
        <v>472</v>
      </c>
      <c r="F578" s="126">
        <v>41119.0</v>
      </c>
      <c r="G578" s="127">
        <v>4.66E8</v>
      </c>
      <c r="H578" s="126">
        <v>41138.0</v>
      </c>
      <c r="I578" s="128">
        <v>3678.0</v>
      </c>
      <c r="J578" s="128">
        <v>437.2</v>
      </c>
      <c r="K578" s="128">
        <v>263.33</v>
      </c>
      <c r="L578" s="128">
        <v>1608022.0</v>
      </c>
      <c r="M578" s="128">
        <v>968527.7</v>
      </c>
      <c r="N578" s="128">
        <v>639493.9</v>
      </c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125" t="s">
        <v>458</v>
      </c>
      <c r="B579" s="125" t="s">
        <v>622</v>
      </c>
      <c r="C579" s="125" t="s">
        <v>453</v>
      </c>
      <c r="D579" s="125" t="s">
        <v>454</v>
      </c>
      <c r="E579" s="125" t="s">
        <v>464</v>
      </c>
      <c r="F579" s="126">
        <v>41982.0</v>
      </c>
      <c r="G579" s="127">
        <v>4.06E8</v>
      </c>
      <c r="H579" s="126">
        <v>42006.0</v>
      </c>
      <c r="I579" s="128">
        <v>9222.0</v>
      </c>
      <c r="J579" s="128">
        <v>255.28</v>
      </c>
      <c r="K579" s="128">
        <v>159.42</v>
      </c>
      <c r="L579" s="128">
        <v>2354192.0</v>
      </c>
      <c r="M579" s="128">
        <v>1470171.0</v>
      </c>
      <c r="N579" s="128">
        <v>884020.9</v>
      </c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125" t="s">
        <v>475</v>
      </c>
      <c r="B580" s="125" t="s">
        <v>601</v>
      </c>
      <c r="C580" s="125" t="s">
        <v>514</v>
      </c>
      <c r="D580" s="125" t="s">
        <v>454</v>
      </c>
      <c r="E580" s="125" t="s">
        <v>189</v>
      </c>
      <c r="F580" s="126">
        <v>40315.0</v>
      </c>
      <c r="G580" s="127">
        <v>8.04E8</v>
      </c>
      <c r="H580" s="126">
        <v>40352.0</v>
      </c>
      <c r="I580" s="128">
        <v>8409.0</v>
      </c>
      <c r="J580" s="128">
        <v>668.27</v>
      </c>
      <c r="K580" s="128">
        <v>502.54</v>
      </c>
      <c r="L580" s="128">
        <v>5619482.0</v>
      </c>
      <c r="M580" s="128">
        <v>4225859.0</v>
      </c>
      <c r="N580" s="128">
        <v>1393624.0</v>
      </c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125" t="s">
        <v>458</v>
      </c>
      <c r="B581" s="125" t="s">
        <v>487</v>
      </c>
      <c r="C581" s="125" t="s">
        <v>460</v>
      </c>
      <c r="D581" s="125" t="s">
        <v>454</v>
      </c>
      <c r="E581" s="125" t="s">
        <v>472</v>
      </c>
      <c r="F581" s="126">
        <v>42404.0</v>
      </c>
      <c r="G581" s="127">
        <v>4.77E8</v>
      </c>
      <c r="H581" s="126">
        <v>42436.0</v>
      </c>
      <c r="I581" s="128">
        <v>2807.0</v>
      </c>
      <c r="J581" s="128">
        <v>47.45</v>
      </c>
      <c r="K581" s="128">
        <v>31.79</v>
      </c>
      <c r="L581" s="128">
        <v>133192.2</v>
      </c>
      <c r="M581" s="128">
        <v>89234.53</v>
      </c>
      <c r="N581" s="128">
        <v>43957.62</v>
      </c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125" t="s">
        <v>466</v>
      </c>
      <c r="B582" s="125" t="s">
        <v>598</v>
      </c>
      <c r="C582" s="125" t="s">
        <v>468</v>
      </c>
      <c r="D582" s="125" t="s">
        <v>457</v>
      </c>
      <c r="E582" s="125" t="s">
        <v>464</v>
      </c>
      <c r="F582" s="126">
        <v>41090.0</v>
      </c>
      <c r="G582" s="127">
        <v>5.59E8</v>
      </c>
      <c r="H582" s="126">
        <v>41133.0</v>
      </c>
      <c r="I582" s="128">
        <v>6014.0</v>
      </c>
      <c r="J582" s="128">
        <v>81.73</v>
      </c>
      <c r="K582" s="128">
        <v>56.67</v>
      </c>
      <c r="L582" s="128">
        <v>491524.2</v>
      </c>
      <c r="M582" s="128">
        <v>340813.4</v>
      </c>
      <c r="N582" s="128">
        <v>150710.8</v>
      </c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125" t="s">
        <v>475</v>
      </c>
      <c r="B583" s="125" t="s">
        <v>602</v>
      </c>
      <c r="C583" s="125" t="s">
        <v>480</v>
      </c>
      <c r="D583" s="125" t="s">
        <v>454</v>
      </c>
      <c r="E583" s="125" t="s">
        <v>472</v>
      </c>
      <c r="F583" s="126">
        <v>42053.0</v>
      </c>
      <c r="G583" s="127">
        <v>4.58E8</v>
      </c>
      <c r="H583" s="126">
        <v>42098.0</v>
      </c>
      <c r="I583" s="128">
        <v>8660.0</v>
      </c>
      <c r="J583" s="128">
        <v>437.2</v>
      </c>
      <c r="K583" s="128">
        <v>263.33</v>
      </c>
      <c r="L583" s="128">
        <v>3786152.0</v>
      </c>
      <c r="M583" s="128">
        <v>2280438.0</v>
      </c>
      <c r="N583" s="128">
        <v>1505714.0</v>
      </c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125" t="s">
        <v>466</v>
      </c>
      <c r="B584" s="125" t="s">
        <v>625</v>
      </c>
      <c r="C584" s="125" t="s">
        <v>506</v>
      </c>
      <c r="D584" s="125" t="s">
        <v>454</v>
      </c>
      <c r="E584" s="125" t="s">
        <v>464</v>
      </c>
      <c r="F584" s="126">
        <v>40298.0</v>
      </c>
      <c r="G584" s="127">
        <v>9.99E8</v>
      </c>
      <c r="H584" s="126">
        <v>40323.0</v>
      </c>
      <c r="I584" s="128">
        <v>3407.0</v>
      </c>
      <c r="J584" s="128">
        <v>154.06</v>
      </c>
      <c r="K584" s="128">
        <v>90.93</v>
      </c>
      <c r="L584" s="128">
        <v>524882.4</v>
      </c>
      <c r="M584" s="128">
        <v>309798.5</v>
      </c>
      <c r="N584" s="128">
        <v>215083.9</v>
      </c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125" t="s">
        <v>458</v>
      </c>
      <c r="B585" s="125" t="s">
        <v>541</v>
      </c>
      <c r="C585" s="125" t="s">
        <v>485</v>
      </c>
      <c r="D585" s="125" t="s">
        <v>457</v>
      </c>
      <c r="E585" s="125" t="s">
        <v>284</v>
      </c>
      <c r="F585" s="126">
        <v>40898.0</v>
      </c>
      <c r="G585" s="127">
        <v>3.81E8</v>
      </c>
      <c r="H585" s="126">
        <v>40906.0</v>
      </c>
      <c r="I585" s="128">
        <v>9946.0</v>
      </c>
      <c r="J585" s="128">
        <v>421.89</v>
      </c>
      <c r="K585" s="128">
        <v>364.69</v>
      </c>
      <c r="L585" s="128">
        <v>4196118.0</v>
      </c>
      <c r="M585" s="128">
        <v>3627207.0</v>
      </c>
      <c r="N585" s="128">
        <v>568911.2</v>
      </c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125" t="s">
        <v>461</v>
      </c>
      <c r="B586" s="125" t="s">
        <v>629</v>
      </c>
      <c r="C586" s="125" t="s">
        <v>453</v>
      </c>
      <c r="D586" s="125" t="s">
        <v>454</v>
      </c>
      <c r="E586" s="125" t="s">
        <v>284</v>
      </c>
      <c r="F586" s="126">
        <v>41018.0</v>
      </c>
      <c r="G586" s="127">
        <v>9.19E8</v>
      </c>
      <c r="H586" s="126">
        <v>41053.0</v>
      </c>
      <c r="I586" s="128">
        <v>2.0</v>
      </c>
      <c r="J586" s="128">
        <v>255.28</v>
      </c>
      <c r="K586" s="128">
        <v>159.42</v>
      </c>
      <c r="L586" s="128">
        <v>510.56</v>
      </c>
      <c r="M586" s="128">
        <v>318.84</v>
      </c>
      <c r="N586" s="128">
        <v>191.72</v>
      </c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125" t="s">
        <v>475</v>
      </c>
      <c r="B587" s="125" t="s">
        <v>513</v>
      </c>
      <c r="C587" s="125" t="s">
        <v>478</v>
      </c>
      <c r="D587" s="125" t="s">
        <v>454</v>
      </c>
      <c r="E587" s="125" t="s">
        <v>472</v>
      </c>
      <c r="F587" s="126">
        <v>42363.0</v>
      </c>
      <c r="G587" s="127">
        <v>5.02E8</v>
      </c>
      <c r="H587" s="126">
        <v>42393.0</v>
      </c>
      <c r="I587" s="128">
        <v>2329.0</v>
      </c>
      <c r="J587" s="128">
        <v>651.21</v>
      </c>
      <c r="K587" s="128">
        <v>524.96</v>
      </c>
      <c r="L587" s="128">
        <v>1516668.0</v>
      </c>
      <c r="M587" s="128">
        <v>1222632.0</v>
      </c>
      <c r="N587" s="128">
        <v>294036.3</v>
      </c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125" t="s">
        <v>475</v>
      </c>
      <c r="B588" s="125" t="s">
        <v>566</v>
      </c>
      <c r="C588" s="125" t="s">
        <v>514</v>
      </c>
      <c r="D588" s="125" t="s">
        <v>454</v>
      </c>
      <c r="E588" s="125" t="s">
        <v>189</v>
      </c>
      <c r="F588" s="126">
        <v>41491.0</v>
      </c>
      <c r="G588" s="127">
        <v>2.37E8</v>
      </c>
      <c r="H588" s="126">
        <v>41526.0</v>
      </c>
      <c r="I588" s="128">
        <v>7713.0</v>
      </c>
      <c r="J588" s="128">
        <v>668.27</v>
      </c>
      <c r="K588" s="128">
        <v>502.54</v>
      </c>
      <c r="L588" s="128">
        <v>5154367.0</v>
      </c>
      <c r="M588" s="128">
        <v>3876091.0</v>
      </c>
      <c r="N588" s="128">
        <v>1278275.0</v>
      </c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125" t="s">
        <v>461</v>
      </c>
      <c r="B589" s="125" t="s">
        <v>516</v>
      </c>
      <c r="C589" s="125" t="s">
        <v>480</v>
      </c>
      <c r="D589" s="125" t="s">
        <v>454</v>
      </c>
      <c r="E589" s="125" t="s">
        <v>284</v>
      </c>
      <c r="F589" s="126">
        <v>42266.0</v>
      </c>
      <c r="G589" s="127">
        <v>4.03E8</v>
      </c>
      <c r="H589" s="126">
        <v>42294.0</v>
      </c>
      <c r="I589" s="128">
        <v>3973.0</v>
      </c>
      <c r="J589" s="128">
        <v>437.2</v>
      </c>
      <c r="K589" s="128">
        <v>263.33</v>
      </c>
      <c r="L589" s="128">
        <v>1736996.0</v>
      </c>
      <c r="M589" s="128">
        <v>1046210.0</v>
      </c>
      <c r="N589" s="128">
        <v>690785.5</v>
      </c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125" t="s">
        <v>461</v>
      </c>
      <c r="B590" s="125" t="s">
        <v>595</v>
      </c>
      <c r="C590" s="125" t="s">
        <v>456</v>
      </c>
      <c r="D590" s="125" t="s">
        <v>457</v>
      </c>
      <c r="E590" s="125" t="s">
        <v>472</v>
      </c>
      <c r="F590" s="126">
        <v>40645.0</v>
      </c>
      <c r="G590" s="127">
        <v>8.98E8</v>
      </c>
      <c r="H590" s="126">
        <v>40647.0</v>
      </c>
      <c r="I590" s="128">
        <v>955.0</v>
      </c>
      <c r="J590" s="128">
        <v>152.58</v>
      </c>
      <c r="K590" s="128">
        <v>97.44</v>
      </c>
      <c r="L590" s="128">
        <v>145713.9</v>
      </c>
      <c r="M590" s="128">
        <v>93055.2</v>
      </c>
      <c r="N590" s="128">
        <v>52658.7</v>
      </c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125" t="s">
        <v>461</v>
      </c>
      <c r="B591" s="125" t="s">
        <v>481</v>
      </c>
      <c r="C591" s="125" t="s">
        <v>456</v>
      </c>
      <c r="D591" s="125" t="s">
        <v>457</v>
      </c>
      <c r="E591" s="125" t="s">
        <v>464</v>
      </c>
      <c r="F591" s="126">
        <v>42651.0</v>
      </c>
      <c r="G591" s="127">
        <v>7.91E8</v>
      </c>
      <c r="H591" s="126">
        <v>42687.0</v>
      </c>
      <c r="I591" s="128">
        <v>5541.0</v>
      </c>
      <c r="J591" s="128">
        <v>152.58</v>
      </c>
      <c r="K591" s="128">
        <v>97.44</v>
      </c>
      <c r="L591" s="128">
        <v>845445.8</v>
      </c>
      <c r="M591" s="128">
        <v>539915.0</v>
      </c>
      <c r="N591" s="128">
        <v>305530.7</v>
      </c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125" t="s">
        <v>451</v>
      </c>
      <c r="B592" s="125" t="s">
        <v>490</v>
      </c>
      <c r="C592" s="125" t="s">
        <v>460</v>
      </c>
      <c r="D592" s="125" t="s">
        <v>457</v>
      </c>
      <c r="E592" s="125" t="s">
        <v>189</v>
      </c>
      <c r="F592" s="126">
        <v>40869.0</v>
      </c>
      <c r="G592" s="127">
        <v>5.71E8</v>
      </c>
      <c r="H592" s="126">
        <v>40893.0</v>
      </c>
      <c r="I592" s="128">
        <v>6642.0</v>
      </c>
      <c r="J592" s="128">
        <v>47.45</v>
      </c>
      <c r="K592" s="128">
        <v>31.79</v>
      </c>
      <c r="L592" s="128">
        <v>315162.9</v>
      </c>
      <c r="M592" s="128">
        <v>211149.2</v>
      </c>
      <c r="N592" s="128">
        <v>104013.7</v>
      </c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125" t="s">
        <v>451</v>
      </c>
      <c r="B593" s="125" t="s">
        <v>550</v>
      </c>
      <c r="C593" s="125" t="s">
        <v>480</v>
      </c>
      <c r="D593" s="125" t="s">
        <v>457</v>
      </c>
      <c r="E593" s="125" t="s">
        <v>189</v>
      </c>
      <c r="F593" s="126">
        <v>40719.0</v>
      </c>
      <c r="G593" s="127">
        <v>7.98E8</v>
      </c>
      <c r="H593" s="126">
        <v>40768.0</v>
      </c>
      <c r="I593" s="128">
        <v>199.0</v>
      </c>
      <c r="J593" s="128">
        <v>437.2</v>
      </c>
      <c r="K593" s="128">
        <v>263.33</v>
      </c>
      <c r="L593" s="128">
        <v>87002.8</v>
      </c>
      <c r="M593" s="128">
        <v>52402.67</v>
      </c>
      <c r="N593" s="128">
        <v>34600.13</v>
      </c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125" t="s">
        <v>451</v>
      </c>
      <c r="B594" s="125" t="s">
        <v>490</v>
      </c>
      <c r="C594" s="125" t="s">
        <v>480</v>
      </c>
      <c r="D594" s="125" t="s">
        <v>457</v>
      </c>
      <c r="E594" s="125" t="s">
        <v>284</v>
      </c>
      <c r="F594" s="126">
        <v>42476.0</v>
      </c>
      <c r="G594" s="127">
        <v>7.51E8</v>
      </c>
      <c r="H594" s="126">
        <v>42479.0</v>
      </c>
      <c r="I594" s="128">
        <v>4187.0</v>
      </c>
      <c r="J594" s="128">
        <v>437.2</v>
      </c>
      <c r="K594" s="128">
        <v>263.33</v>
      </c>
      <c r="L594" s="128">
        <v>1830556.0</v>
      </c>
      <c r="M594" s="128">
        <v>1102563.0</v>
      </c>
      <c r="N594" s="128">
        <v>727993.7</v>
      </c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125" t="s">
        <v>475</v>
      </c>
      <c r="B595" s="125" t="s">
        <v>565</v>
      </c>
      <c r="C595" s="125" t="s">
        <v>471</v>
      </c>
      <c r="D595" s="125" t="s">
        <v>457</v>
      </c>
      <c r="E595" s="125" t="s">
        <v>464</v>
      </c>
      <c r="F595" s="126">
        <v>42660.0</v>
      </c>
      <c r="G595" s="127">
        <v>6.8E8</v>
      </c>
      <c r="H595" s="126">
        <v>42682.0</v>
      </c>
      <c r="I595" s="128">
        <v>3610.0</v>
      </c>
      <c r="J595" s="128">
        <v>109.28</v>
      </c>
      <c r="K595" s="128">
        <v>35.84</v>
      </c>
      <c r="L595" s="128">
        <v>394500.8</v>
      </c>
      <c r="M595" s="128">
        <v>129382.4</v>
      </c>
      <c r="N595" s="128">
        <v>265118.4</v>
      </c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125" t="s">
        <v>458</v>
      </c>
      <c r="B596" s="125" t="s">
        <v>603</v>
      </c>
      <c r="C596" s="125" t="s">
        <v>506</v>
      </c>
      <c r="D596" s="125" t="s">
        <v>457</v>
      </c>
      <c r="E596" s="125" t="s">
        <v>464</v>
      </c>
      <c r="F596" s="126">
        <v>40940.0</v>
      </c>
      <c r="G596" s="127">
        <v>4.55E8</v>
      </c>
      <c r="H596" s="126">
        <v>40941.0</v>
      </c>
      <c r="I596" s="128">
        <v>5504.0</v>
      </c>
      <c r="J596" s="128">
        <v>154.06</v>
      </c>
      <c r="K596" s="128">
        <v>90.93</v>
      </c>
      <c r="L596" s="128">
        <v>847946.2</v>
      </c>
      <c r="M596" s="128">
        <v>500478.7</v>
      </c>
      <c r="N596" s="128">
        <v>347467.5</v>
      </c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125" t="s">
        <v>458</v>
      </c>
      <c r="B597" s="125" t="s">
        <v>627</v>
      </c>
      <c r="C597" s="125" t="s">
        <v>471</v>
      </c>
      <c r="D597" s="125" t="s">
        <v>454</v>
      </c>
      <c r="E597" s="125" t="s">
        <v>189</v>
      </c>
      <c r="F597" s="126">
        <v>41527.0</v>
      </c>
      <c r="G597" s="127">
        <v>9.18E8</v>
      </c>
      <c r="H597" s="126">
        <v>41554.0</v>
      </c>
      <c r="I597" s="128">
        <v>3938.0</v>
      </c>
      <c r="J597" s="128">
        <v>109.28</v>
      </c>
      <c r="K597" s="128">
        <v>35.84</v>
      </c>
      <c r="L597" s="128">
        <v>430344.6</v>
      </c>
      <c r="M597" s="128">
        <v>141137.9</v>
      </c>
      <c r="N597" s="128">
        <v>289206.7</v>
      </c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125" t="s">
        <v>458</v>
      </c>
      <c r="B598" s="125" t="s">
        <v>594</v>
      </c>
      <c r="C598" s="125" t="s">
        <v>480</v>
      </c>
      <c r="D598" s="125" t="s">
        <v>457</v>
      </c>
      <c r="E598" s="125" t="s">
        <v>464</v>
      </c>
      <c r="F598" s="126">
        <v>40721.0</v>
      </c>
      <c r="G598" s="127">
        <v>7.29E8</v>
      </c>
      <c r="H598" s="126">
        <v>40767.0</v>
      </c>
      <c r="I598" s="128">
        <v>5009.0</v>
      </c>
      <c r="J598" s="128">
        <v>437.2</v>
      </c>
      <c r="K598" s="128">
        <v>263.33</v>
      </c>
      <c r="L598" s="128">
        <v>2189935.0</v>
      </c>
      <c r="M598" s="128">
        <v>1319020.0</v>
      </c>
      <c r="N598" s="128">
        <v>870914.8</v>
      </c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125" t="s">
        <v>475</v>
      </c>
      <c r="B599" s="125" t="s">
        <v>588</v>
      </c>
      <c r="C599" s="125" t="s">
        <v>494</v>
      </c>
      <c r="D599" s="125" t="s">
        <v>457</v>
      </c>
      <c r="E599" s="125" t="s">
        <v>284</v>
      </c>
      <c r="F599" s="126">
        <v>42128.0</v>
      </c>
      <c r="G599" s="127">
        <v>4.19E8</v>
      </c>
      <c r="H599" s="126">
        <v>42174.0</v>
      </c>
      <c r="I599" s="128">
        <v>1847.0</v>
      </c>
      <c r="J599" s="128">
        <v>9.33</v>
      </c>
      <c r="K599" s="128">
        <v>6.92</v>
      </c>
      <c r="L599" s="128">
        <v>17232.51</v>
      </c>
      <c r="M599" s="128">
        <v>12781.24</v>
      </c>
      <c r="N599" s="128">
        <v>4451.27</v>
      </c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125" t="s">
        <v>466</v>
      </c>
      <c r="B600" s="125" t="s">
        <v>508</v>
      </c>
      <c r="C600" s="125" t="s">
        <v>463</v>
      </c>
      <c r="D600" s="125" t="s">
        <v>454</v>
      </c>
      <c r="E600" s="125" t="s">
        <v>189</v>
      </c>
      <c r="F600" s="126">
        <v>41443.0</v>
      </c>
      <c r="G600" s="127">
        <v>1.41E8</v>
      </c>
      <c r="H600" s="126">
        <v>41468.0</v>
      </c>
      <c r="I600" s="128">
        <v>9613.0</v>
      </c>
      <c r="J600" s="128">
        <v>205.7</v>
      </c>
      <c r="K600" s="128">
        <v>117.11</v>
      </c>
      <c r="L600" s="128">
        <v>1977394.0</v>
      </c>
      <c r="M600" s="128">
        <v>1125778.0</v>
      </c>
      <c r="N600" s="128">
        <v>851615.7</v>
      </c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125" t="s">
        <v>475</v>
      </c>
      <c r="B601" s="125" t="s">
        <v>536</v>
      </c>
      <c r="C601" s="125" t="s">
        <v>463</v>
      </c>
      <c r="D601" s="125" t="s">
        <v>454</v>
      </c>
      <c r="E601" s="125" t="s">
        <v>284</v>
      </c>
      <c r="F601" s="126">
        <v>41666.0</v>
      </c>
      <c r="G601" s="127">
        <v>1.16E8</v>
      </c>
      <c r="H601" s="126">
        <v>41688.0</v>
      </c>
      <c r="I601" s="128">
        <v>501.0</v>
      </c>
      <c r="J601" s="128">
        <v>205.7</v>
      </c>
      <c r="K601" s="128">
        <v>117.11</v>
      </c>
      <c r="L601" s="128">
        <v>103055.7</v>
      </c>
      <c r="M601" s="128">
        <v>58672.11</v>
      </c>
      <c r="N601" s="128">
        <v>44383.59</v>
      </c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125" t="s">
        <v>458</v>
      </c>
      <c r="B602" s="125" t="s">
        <v>486</v>
      </c>
      <c r="C602" s="125" t="s">
        <v>494</v>
      </c>
      <c r="D602" s="125" t="s">
        <v>457</v>
      </c>
      <c r="E602" s="125" t="s">
        <v>189</v>
      </c>
      <c r="F602" s="126">
        <v>40653.0</v>
      </c>
      <c r="G602" s="127">
        <v>1.86E8</v>
      </c>
      <c r="H602" s="126">
        <v>40691.0</v>
      </c>
      <c r="I602" s="128">
        <v>8733.0</v>
      </c>
      <c r="J602" s="128">
        <v>9.33</v>
      </c>
      <c r="K602" s="128">
        <v>6.92</v>
      </c>
      <c r="L602" s="128">
        <v>81478.89</v>
      </c>
      <c r="M602" s="128">
        <v>60432.36</v>
      </c>
      <c r="N602" s="128">
        <v>21046.53</v>
      </c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125" t="s">
        <v>475</v>
      </c>
      <c r="B603" s="125" t="s">
        <v>572</v>
      </c>
      <c r="C603" s="125" t="s">
        <v>514</v>
      </c>
      <c r="D603" s="125" t="s">
        <v>457</v>
      </c>
      <c r="E603" s="125" t="s">
        <v>284</v>
      </c>
      <c r="F603" s="126">
        <v>40798.0</v>
      </c>
      <c r="G603" s="127">
        <v>2.64E8</v>
      </c>
      <c r="H603" s="126">
        <v>40811.0</v>
      </c>
      <c r="I603" s="128">
        <v>5565.0</v>
      </c>
      <c r="J603" s="128">
        <v>668.27</v>
      </c>
      <c r="K603" s="128">
        <v>502.54</v>
      </c>
      <c r="L603" s="128">
        <v>3718923.0</v>
      </c>
      <c r="M603" s="128">
        <v>2796635.0</v>
      </c>
      <c r="N603" s="128">
        <v>922287.5</v>
      </c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125" t="s">
        <v>475</v>
      </c>
      <c r="B604" s="125" t="s">
        <v>562</v>
      </c>
      <c r="C604" s="125" t="s">
        <v>478</v>
      </c>
      <c r="D604" s="125" t="s">
        <v>457</v>
      </c>
      <c r="E604" s="125" t="s">
        <v>189</v>
      </c>
      <c r="F604" s="126">
        <v>42120.0</v>
      </c>
      <c r="G604" s="127">
        <v>7.83E8</v>
      </c>
      <c r="H604" s="126">
        <v>42120.0</v>
      </c>
      <c r="I604" s="128">
        <v>4282.0</v>
      </c>
      <c r="J604" s="128">
        <v>651.21</v>
      </c>
      <c r="K604" s="128">
        <v>524.96</v>
      </c>
      <c r="L604" s="128">
        <v>2788481.0</v>
      </c>
      <c r="M604" s="128">
        <v>2247879.0</v>
      </c>
      <c r="N604" s="128">
        <v>540602.5</v>
      </c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125" t="s">
        <v>458</v>
      </c>
      <c r="B605" s="125" t="s">
        <v>515</v>
      </c>
      <c r="C605" s="125" t="s">
        <v>478</v>
      </c>
      <c r="D605" s="125" t="s">
        <v>457</v>
      </c>
      <c r="E605" s="125" t="s">
        <v>472</v>
      </c>
      <c r="F605" s="126">
        <v>40876.0</v>
      </c>
      <c r="G605" s="127">
        <v>4.45E8</v>
      </c>
      <c r="H605" s="126">
        <v>40917.0</v>
      </c>
      <c r="I605" s="128">
        <v>5201.0</v>
      </c>
      <c r="J605" s="128">
        <v>651.21</v>
      </c>
      <c r="K605" s="128">
        <v>524.96</v>
      </c>
      <c r="L605" s="128">
        <v>3386943.0</v>
      </c>
      <c r="M605" s="128">
        <v>2730317.0</v>
      </c>
      <c r="N605" s="128">
        <v>656626.3</v>
      </c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125" t="s">
        <v>461</v>
      </c>
      <c r="B606" s="125" t="s">
        <v>516</v>
      </c>
      <c r="C606" s="125" t="s">
        <v>478</v>
      </c>
      <c r="D606" s="125" t="s">
        <v>454</v>
      </c>
      <c r="E606" s="125" t="s">
        <v>284</v>
      </c>
      <c r="F606" s="126">
        <v>42011.0</v>
      </c>
      <c r="G606" s="127">
        <v>2.75E8</v>
      </c>
      <c r="H606" s="126">
        <v>42049.0</v>
      </c>
      <c r="I606" s="128">
        <v>673.0</v>
      </c>
      <c r="J606" s="128">
        <v>651.21</v>
      </c>
      <c r="K606" s="128">
        <v>524.96</v>
      </c>
      <c r="L606" s="128">
        <v>438264.3</v>
      </c>
      <c r="M606" s="128">
        <v>353298.1</v>
      </c>
      <c r="N606" s="128">
        <v>84966.25</v>
      </c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125" t="s">
        <v>475</v>
      </c>
      <c r="B607" s="125" t="s">
        <v>548</v>
      </c>
      <c r="C607" s="125" t="s">
        <v>494</v>
      </c>
      <c r="D607" s="125" t="s">
        <v>454</v>
      </c>
      <c r="E607" s="125" t="s">
        <v>189</v>
      </c>
      <c r="F607" s="126">
        <v>41176.0</v>
      </c>
      <c r="G607" s="127">
        <v>4.66E8</v>
      </c>
      <c r="H607" s="126">
        <v>41211.0</v>
      </c>
      <c r="I607" s="128">
        <v>76.0</v>
      </c>
      <c r="J607" s="128">
        <v>9.33</v>
      </c>
      <c r="K607" s="128">
        <v>6.92</v>
      </c>
      <c r="L607" s="128">
        <v>709.08</v>
      </c>
      <c r="M607" s="128">
        <v>525.92</v>
      </c>
      <c r="N607" s="128">
        <v>183.16</v>
      </c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125" t="s">
        <v>466</v>
      </c>
      <c r="B608" s="125" t="s">
        <v>508</v>
      </c>
      <c r="C608" s="125" t="s">
        <v>485</v>
      </c>
      <c r="D608" s="125" t="s">
        <v>457</v>
      </c>
      <c r="E608" s="125" t="s">
        <v>472</v>
      </c>
      <c r="F608" s="126">
        <v>42712.0</v>
      </c>
      <c r="G608" s="127">
        <v>8.33E8</v>
      </c>
      <c r="H608" s="126">
        <v>42750.0</v>
      </c>
      <c r="I608" s="128">
        <v>4821.0</v>
      </c>
      <c r="J608" s="128">
        <v>421.89</v>
      </c>
      <c r="K608" s="128">
        <v>364.69</v>
      </c>
      <c r="L608" s="128">
        <v>2033932.0</v>
      </c>
      <c r="M608" s="128">
        <v>1758170.0</v>
      </c>
      <c r="N608" s="128">
        <v>275761.2</v>
      </c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125" t="s">
        <v>458</v>
      </c>
      <c r="B609" s="125" t="s">
        <v>653</v>
      </c>
      <c r="C609" s="125" t="s">
        <v>453</v>
      </c>
      <c r="D609" s="125" t="s">
        <v>454</v>
      </c>
      <c r="E609" s="125" t="s">
        <v>464</v>
      </c>
      <c r="F609" s="126">
        <v>41665.0</v>
      </c>
      <c r="G609" s="127">
        <v>3.59E8</v>
      </c>
      <c r="H609" s="126">
        <v>41706.0</v>
      </c>
      <c r="I609" s="128">
        <v>3352.0</v>
      </c>
      <c r="J609" s="128">
        <v>255.28</v>
      </c>
      <c r="K609" s="128">
        <v>159.42</v>
      </c>
      <c r="L609" s="128">
        <v>855698.6</v>
      </c>
      <c r="M609" s="128">
        <v>534375.8</v>
      </c>
      <c r="N609" s="128">
        <v>321322.7</v>
      </c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125" t="s">
        <v>466</v>
      </c>
      <c r="B610" s="125" t="s">
        <v>534</v>
      </c>
      <c r="C610" s="125" t="s">
        <v>453</v>
      </c>
      <c r="D610" s="125" t="s">
        <v>454</v>
      </c>
      <c r="E610" s="125" t="s">
        <v>189</v>
      </c>
      <c r="F610" s="126">
        <v>41770.0</v>
      </c>
      <c r="G610" s="127">
        <v>3.5E8</v>
      </c>
      <c r="H610" s="126">
        <v>41771.0</v>
      </c>
      <c r="I610" s="128">
        <v>6141.0</v>
      </c>
      <c r="J610" s="128">
        <v>255.28</v>
      </c>
      <c r="K610" s="128">
        <v>159.42</v>
      </c>
      <c r="L610" s="128">
        <v>1567674.0</v>
      </c>
      <c r="M610" s="128">
        <v>978998.2</v>
      </c>
      <c r="N610" s="128">
        <v>588676.3</v>
      </c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125" t="s">
        <v>461</v>
      </c>
      <c r="B611" s="125" t="s">
        <v>629</v>
      </c>
      <c r="C611" s="125" t="s">
        <v>480</v>
      </c>
      <c r="D611" s="125" t="s">
        <v>454</v>
      </c>
      <c r="E611" s="125" t="s">
        <v>189</v>
      </c>
      <c r="F611" s="126">
        <v>40236.0</v>
      </c>
      <c r="G611" s="127">
        <v>3.8E8</v>
      </c>
      <c r="H611" s="126">
        <v>40252.0</v>
      </c>
      <c r="I611" s="128">
        <v>693.0</v>
      </c>
      <c r="J611" s="128">
        <v>437.2</v>
      </c>
      <c r="K611" s="128">
        <v>263.33</v>
      </c>
      <c r="L611" s="128">
        <v>302979.6</v>
      </c>
      <c r="M611" s="128">
        <v>182487.7</v>
      </c>
      <c r="N611" s="128">
        <v>120491.9</v>
      </c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125" t="s">
        <v>466</v>
      </c>
      <c r="B612" s="125" t="s">
        <v>598</v>
      </c>
      <c r="C612" s="125" t="s">
        <v>514</v>
      </c>
      <c r="D612" s="125" t="s">
        <v>454</v>
      </c>
      <c r="E612" s="125" t="s">
        <v>284</v>
      </c>
      <c r="F612" s="126">
        <v>40192.0</v>
      </c>
      <c r="G612" s="127">
        <v>5.45E8</v>
      </c>
      <c r="H612" s="126">
        <v>40236.0</v>
      </c>
      <c r="I612" s="128">
        <v>6545.0</v>
      </c>
      <c r="J612" s="128">
        <v>668.27</v>
      </c>
      <c r="K612" s="128">
        <v>502.54</v>
      </c>
      <c r="L612" s="128">
        <v>4373827.0</v>
      </c>
      <c r="M612" s="128">
        <v>3289124.0</v>
      </c>
      <c r="N612" s="128">
        <v>1084703.0</v>
      </c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125" t="s">
        <v>466</v>
      </c>
      <c r="B613" s="125" t="s">
        <v>502</v>
      </c>
      <c r="C613" s="125" t="s">
        <v>453</v>
      </c>
      <c r="D613" s="125" t="s">
        <v>457</v>
      </c>
      <c r="E613" s="125" t="s">
        <v>284</v>
      </c>
      <c r="F613" s="126">
        <v>41007.0</v>
      </c>
      <c r="G613" s="127">
        <v>1.11E8</v>
      </c>
      <c r="H613" s="126">
        <v>41038.0</v>
      </c>
      <c r="I613" s="128">
        <v>264.0</v>
      </c>
      <c r="J613" s="128">
        <v>255.28</v>
      </c>
      <c r="K613" s="128">
        <v>159.42</v>
      </c>
      <c r="L613" s="128">
        <v>67393.92</v>
      </c>
      <c r="M613" s="128">
        <v>42086.88</v>
      </c>
      <c r="N613" s="128">
        <v>25307.04</v>
      </c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125" t="s">
        <v>475</v>
      </c>
      <c r="B614" s="125" t="s">
        <v>536</v>
      </c>
      <c r="C614" s="125" t="s">
        <v>480</v>
      </c>
      <c r="D614" s="125" t="s">
        <v>457</v>
      </c>
      <c r="E614" s="125" t="s">
        <v>284</v>
      </c>
      <c r="F614" s="126">
        <v>42438.0</v>
      </c>
      <c r="G614" s="127">
        <v>6.63E8</v>
      </c>
      <c r="H614" s="126">
        <v>42477.0</v>
      </c>
      <c r="I614" s="128">
        <v>449.0</v>
      </c>
      <c r="J614" s="128">
        <v>437.2</v>
      </c>
      <c r="K614" s="128">
        <v>263.33</v>
      </c>
      <c r="L614" s="128">
        <v>196302.8</v>
      </c>
      <c r="M614" s="128">
        <v>118235.2</v>
      </c>
      <c r="N614" s="128">
        <v>78067.63</v>
      </c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125" t="s">
        <v>475</v>
      </c>
      <c r="B615" s="125" t="s">
        <v>500</v>
      </c>
      <c r="C615" s="125" t="s">
        <v>485</v>
      </c>
      <c r="D615" s="125" t="s">
        <v>457</v>
      </c>
      <c r="E615" s="125" t="s">
        <v>284</v>
      </c>
      <c r="F615" s="126">
        <v>40486.0</v>
      </c>
      <c r="G615" s="127">
        <v>2.58E8</v>
      </c>
      <c r="H615" s="126">
        <v>40502.0</v>
      </c>
      <c r="I615" s="128">
        <v>2729.0</v>
      </c>
      <c r="J615" s="128">
        <v>421.89</v>
      </c>
      <c r="K615" s="128">
        <v>364.69</v>
      </c>
      <c r="L615" s="128">
        <v>1151338.0</v>
      </c>
      <c r="M615" s="128">
        <v>995239.0</v>
      </c>
      <c r="N615" s="128">
        <v>156098.8</v>
      </c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125" t="s">
        <v>475</v>
      </c>
      <c r="B616" s="125" t="s">
        <v>651</v>
      </c>
      <c r="C616" s="125" t="s">
        <v>453</v>
      </c>
      <c r="D616" s="125" t="s">
        <v>457</v>
      </c>
      <c r="E616" s="125" t="s">
        <v>189</v>
      </c>
      <c r="F616" s="126">
        <v>42600.0</v>
      </c>
      <c r="G616" s="127">
        <v>1.72E8</v>
      </c>
      <c r="H616" s="126">
        <v>42626.0</v>
      </c>
      <c r="I616" s="128">
        <v>4765.0</v>
      </c>
      <c r="J616" s="128">
        <v>255.28</v>
      </c>
      <c r="K616" s="128">
        <v>159.42</v>
      </c>
      <c r="L616" s="128">
        <v>1216409.0</v>
      </c>
      <c r="M616" s="128">
        <v>759636.3</v>
      </c>
      <c r="N616" s="128">
        <v>456772.9</v>
      </c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125" t="s">
        <v>458</v>
      </c>
      <c r="B617" s="125" t="s">
        <v>652</v>
      </c>
      <c r="C617" s="125" t="s">
        <v>468</v>
      </c>
      <c r="D617" s="125" t="s">
        <v>457</v>
      </c>
      <c r="E617" s="125" t="s">
        <v>464</v>
      </c>
      <c r="F617" s="126">
        <v>41408.0</v>
      </c>
      <c r="G617" s="127">
        <v>8.53E8</v>
      </c>
      <c r="H617" s="126">
        <v>41426.0</v>
      </c>
      <c r="I617" s="128">
        <v>1251.0</v>
      </c>
      <c r="J617" s="128">
        <v>81.73</v>
      </c>
      <c r="K617" s="128">
        <v>56.67</v>
      </c>
      <c r="L617" s="128">
        <v>102244.2</v>
      </c>
      <c r="M617" s="128">
        <v>70894.17</v>
      </c>
      <c r="N617" s="128">
        <v>31350.06</v>
      </c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125" t="s">
        <v>458</v>
      </c>
      <c r="B618" s="125" t="s">
        <v>509</v>
      </c>
      <c r="C618" s="125" t="s">
        <v>494</v>
      </c>
      <c r="D618" s="125" t="s">
        <v>457</v>
      </c>
      <c r="E618" s="125" t="s">
        <v>189</v>
      </c>
      <c r="F618" s="126">
        <v>40989.0</v>
      </c>
      <c r="G618" s="127">
        <v>5.67E8</v>
      </c>
      <c r="H618" s="126">
        <v>40995.0</v>
      </c>
      <c r="I618" s="128">
        <v>8910.0</v>
      </c>
      <c r="J618" s="128">
        <v>9.33</v>
      </c>
      <c r="K618" s="128">
        <v>6.92</v>
      </c>
      <c r="L618" s="128">
        <v>83130.3</v>
      </c>
      <c r="M618" s="128">
        <v>61657.2</v>
      </c>
      <c r="N618" s="128">
        <v>21473.1</v>
      </c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125" t="s">
        <v>488</v>
      </c>
      <c r="B619" s="125" t="s">
        <v>654</v>
      </c>
      <c r="C619" s="125" t="s">
        <v>471</v>
      </c>
      <c r="D619" s="125" t="s">
        <v>457</v>
      </c>
      <c r="E619" s="125" t="s">
        <v>472</v>
      </c>
      <c r="F619" s="126">
        <v>41665.0</v>
      </c>
      <c r="G619" s="127">
        <v>3.53E8</v>
      </c>
      <c r="H619" s="126">
        <v>41708.0</v>
      </c>
      <c r="I619" s="128">
        <v>1495.0</v>
      </c>
      <c r="J619" s="128">
        <v>109.28</v>
      </c>
      <c r="K619" s="128">
        <v>35.84</v>
      </c>
      <c r="L619" s="128">
        <v>163373.6</v>
      </c>
      <c r="M619" s="128">
        <v>53580.8</v>
      </c>
      <c r="N619" s="128">
        <v>109792.8</v>
      </c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125" t="s">
        <v>475</v>
      </c>
      <c r="B620" s="125" t="s">
        <v>623</v>
      </c>
      <c r="C620" s="125" t="s">
        <v>471</v>
      </c>
      <c r="D620" s="125" t="s">
        <v>454</v>
      </c>
      <c r="E620" s="125" t="s">
        <v>189</v>
      </c>
      <c r="F620" s="126">
        <v>41378.0</v>
      </c>
      <c r="G620" s="127">
        <v>8.67E8</v>
      </c>
      <c r="H620" s="126">
        <v>41421.0</v>
      </c>
      <c r="I620" s="128">
        <v>4795.0</v>
      </c>
      <c r="J620" s="128">
        <v>109.28</v>
      </c>
      <c r="K620" s="128">
        <v>35.84</v>
      </c>
      <c r="L620" s="128">
        <v>523997.6</v>
      </c>
      <c r="M620" s="128">
        <v>171852.8</v>
      </c>
      <c r="N620" s="128">
        <v>352144.8</v>
      </c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125" t="s">
        <v>458</v>
      </c>
      <c r="B621" s="125" t="s">
        <v>643</v>
      </c>
      <c r="C621" s="125" t="s">
        <v>480</v>
      </c>
      <c r="D621" s="125" t="s">
        <v>457</v>
      </c>
      <c r="E621" s="125" t="s">
        <v>472</v>
      </c>
      <c r="F621" s="126">
        <v>42609.0</v>
      </c>
      <c r="G621" s="127">
        <v>1.39E8</v>
      </c>
      <c r="H621" s="126">
        <v>42619.0</v>
      </c>
      <c r="I621" s="128">
        <v>1625.0</v>
      </c>
      <c r="J621" s="128">
        <v>437.2</v>
      </c>
      <c r="K621" s="128">
        <v>263.33</v>
      </c>
      <c r="L621" s="128">
        <v>710450.0</v>
      </c>
      <c r="M621" s="128">
        <v>427911.3</v>
      </c>
      <c r="N621" s="128">
        <v>282538.8</v>
      </c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125" t="s">
        <v>451</v>
      </c>
      <c r="B622" s="125" t="s">
        <v>455</v>
      </c>
      <c r="C622" s="125" t="s">
        <v>494</v>
      </c>
      <c r="D622" s="125" t="s">
        <v>457</v>
      </c>
      <c r="E622" s="125" t="s">
        <v>284</v>
      </c>
      <c r="F622" s="126">
        <v>42696.0</v>
      </c>
      <c r="G622" s="127">
        <v>3.17E8</v>
      </c>
      <c r="H622" s="126">
        <v>42708.0</v>
      </c>
      <c r="I622" s="128">
        <v>6836.0</v>
      </c>
      <c r="J622" s="128">
        <v>9.33</v>
      </c>
      <c r="K622" s="128">
        <v>6.92</v>
      </c>
      <c r="L622" s="128">
        <v>63779.88</v>
      </c>
      <c r="M622" s="128">
        <v>47305.12</v>
      </c>
      <c r="N622" s="128">
        <v>16474.76</v>
      </c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125" t="s">
        <v>475</v>
      </c>
      <c r="B623" s="125" t="s">
        <v>521</v>
      </c>
      <c r="C623" s="125" t="s">
        <v>460</v>
      </c>
      <c r="D623" s="125" t="s">
        <v>454</v>
      </c>
      <c r="E623" s="125" t="s">
        <v>472</v>
      </c>
      <c r="F623" s="126">
        <v>40749.0</v>
      </c>
      <c r="G623" s="127">
        <v>9.18E8</v>
      </c>
      <c r="H623" s="126">
        <v>40752.0</v>
      </c>
      <c r="I623" s="128">
        <v>2305.0</v>
      </c>
      <c r="J623" s="128">
        <v>47.45</v>
      </c>
      <c r="K623" s="128">
        <v>31.79</v>
      </c>
      <c r="L623" s="128">
        <v>109372.3</v>
      </c>
      <c r="M623" s="128">
        <v>73275.95</v>
      </c>
      <c r="N623" s="128">
        <v>36096.3</v>
      </c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125" t="s">
        <v>458</v>
      </c>
      <c r="B624" s="125" t="s">
        <v>538</v>
      </c>
      <c r="C624" s="125" t="s">
        <v>480</v>
      </c>
      <c r="D624" s="125" t="s">
        <v>454</v>
      </c>
      <c r="E624" s="125" t="s">
        <v>284</v>
      </c>
      <c r="F624" s="126">
        <v>41799.0</v>
      </c>
      <c r="G624" s="127">
        <v>1.84E8</v>
      </c>
      <c r="H624" s="126">
        <v>41801.0</v>
      </c>
      <c r="I624" s="128">
        <v>1946.0</v>
      </c>
      <c r="J624" s="128">
        <v>437.2</v>
      </c>
      <c r="K624" s="128">
        <v>263.33</v>
      </c>
      <c r="L624" s="128">
        <v>850791.2</v>
      </c>
      <c r="M624" s="128">
        <v>512440.2</v>
      </c>
      <c r="N624" s="128">
        <v>338351.0</v>
      </c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125" t="s">
        <v>458</v>
      </c>
      <c r="B625" s="125" t="s">
        <v>505</v>
      </c>
      <c r="C625" s="125" t="s">
        <v>471</v>
      </c>
      <c r="D625" s="125" t="s">
        <v>454</v>
      </c>
      <c r="E625" s="125" t="s">
        <v>472</v>
      </c>
      <c r="F625" s="126">
        <v>41585.0</v>
      </c>
      <c r="G625" s="127">
        <v>9.22E8</v>
      </c>
      <c r="H625" s="126">
        <v>41601.0</v>
      </c>
      <c r="I625" s="128">
        <v>6700.0</v>
      </c>
      <c r="J625" s="128">
        <v>109.28</v>
      </c>
      <c r="K625" s="128">
        <v>35.84</v>
      </c>
      <c r="L625" s="128">
        <v>732176.0</v>
      </c>
      <c r="M625" s="128">
        <v>240128.0</v>
      </c>
      <c r="N625" s="128">
        <v>492048.0</v>
      </c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125" t="s">
        <v>451</v>
      </c>
      <c r="B626" s="125" t="s">
        <v>646</v>
      </c>
      <c r="C626" s="125" t="s">
        <v>514</v>
      </c>
      <c r="D626" s="125" t="s">
        <v>454</v>
      </c>
      <c r="E626" s="125" t="s">
        <v>189</v>
      </c>
      <c r="F626" s="126">
        <v>41767.0</v>
      </c>
      <c r="G626" s="127">
        <v>1.64E8</v>
      </c>
      <c r="H626" s="126">
        <v>41781.0</v>
      </c>
      <c r="I626" s="128">
        <v>9540.0</v>
      </c>
      <c r="J626" s="128">
        <v>668.27</v>
      </c>
      <c r="K626" s="128">
        <v>502.54</v>
      </c>
      <c r="L626" s="128">
        <v>6375296.0</v>
      </c>
      <c r="M626" s="128">
        <v>4794232.0</v>
      </c>
      <c r="N626" s="128">
        <v>1581064.0</v>
      </c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125" t="s">
        <v>475</v>
      </c>
      <c r="B627" s="125" t="s">
        <v>558</v>
      </c>
      <c r="C627" s="125" t="s">
        <v>494</v>
      </c>
      <c r="D627" s="125" t="s">
        <v>457</v>
      </c>
      <c r="E627" s="125" t="s">
        <v>464</v>
      </c>
      <c r="F627" s="126">
        <v>40244.0</v>
      </c>
      <c r="G627" s="127">
        <v>4.08E8</v>
      </c>
      <c r="H627" s="126">
        <v>40249.0</v>
      </c>
      <c r="I627" s="128">
        <v>472.0</v>
      </c>
      <c r="J627" s="128">
        <v>9.33</v>
      </c>
      <c r="K627" s="128">
        <v>6.92</v>
      </c>
      <c r="L627" s="128">
        <v>4403.76</v>
      </c>
      <c r="M627" s="128">
        <v>3266.24</v>
      </c>
      <c r="N627" s="128">
        <v>1137.52</v>
      </c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125" t="s">
        <v>466</v>
      </c>
      <c r="B628" s="125" t="s">
        <v>535</v>
      </c>
      <c r="C628" s="125" t="s">
        <v>485</v>
      </c>
      <c r="D628" s="125" t="s">
        <v>454</v>
      </c>
      <c r="E628" s="125" t="s">
        <v>472</v>
      </c>
      <c r="F628" s="126">
        <v>40838.0</v>
      </c>
      <c r="G628" s="127">
        <v>1.75E8</v>
      </c>
      <c r="H628" s="126">
        <v>40850.0</v>
      </c>
      <c r="I628" s="128">
        <v>1531.0</v>
      </c>
      <c r="J628" s="128">
        <v>421.89</v>
      </c>
      <c r="K628" s="128">
        <v>364.69</v>
      </c>
      <c r="L628" s="128">
        <v>645913.6</v>
      </c>
      <c r="M628" s="128">
        <v>558340.4</v>
      </c>
      <c r="N628" s="128">
        <v>87573.2</v>
      </c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125" t="s">
        <v>469</v>
      </c>
      <c r="B629" s="125" t="s">
        <v>617</v>
      </c>
      <c r="C629" s="125" t="s">
        <v>514</v>
      </c>
      <c r="D629" s="125" t="s">
        <v>457</v>
      </c>
      <c r="E629" s="125" t="s">
        <v>472</v>
      </c>
      <c r="F629" s="126">
        <v>40843.0</v>
      </c>
      <c r="G629" s="127">
        <v>7.56E8</v>
      </c>
      <c r="H629" s="126">
        <v>40886.0</v>
      </c>
      <c r="I629" s="128">
        <v>1786.0</v>
      </c>
      <c r="J629" s="128">
        <v>668.27</v>
      </c>
      <c r="K629" s="128">
        <v>502.54</v>
      </c>
      <c r="L629" s="128">
        <v>1193530.0</v>
      </c>
      <c r="M629" s="128">
        <v>897536.4</v>
      </c>
      <c r="N629" s="128">
        <v>295993.8</v>
      </c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125" t="s">
        <v>475</v>
      </c>
      <c r="B630" s="125" t="s">
        <v>570</v>
      </c>
      <c r="C630" s="125" t="s">
        <v>485</v>
      </c>
      <c r="D630" s="125" t="s">
        <v>454</v>
      </c>
      <c r="E630" s="125" t="s">
        <v>472</v>
      </c>
      <c r="F630" s="126">
        <v>40709.0</v>
      </c>
      <c r="G630" s="127">
        <v>3.61E8</v>
      </c>
      <c r="H630" s="126">
        <v>40729.0</v>
      </c>
      <c r="I630" s="128">
        <v>2334.0</v>
      </c>
      <c r="J630" s="128">
        <v>421.89</v>
      </c>
      <c r="K630" s="128">
        <v>364.69</v>
      </c>
      <c r="L630" s="128">
        <v>984691.3</v>
      </c>
      <c r="M630" s="128">
        <v>851186.5</v>
      </c>
      <c r="N630" s="128">
        <v>133504.8</v>
      </c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125" t="s">
        <v>475</v>
      </c>
      <c r="B631" s="125" t="s">
        <v>623</v>
      </c>
      <c r="C631" s="125" t="s">
        <v>453</v>
      </c>
      <c r="D631" s="125" t="s">
        <v>454</v>
      </c>
      <c r="E631" s="125" t="s">
        <v>472</v>
      </c>
      <c r="F631" s="126">
        <v>42657.0</v>
      </c>
      <c r="G631" s="127">
        <v>8.73E8</v>
      </c>
      <c r="H631" s="126">
        <v>42665.0</v>
      </c>
      <c r="I631" s="128">
        <v>1306.0</v>
      </c>
      <c r="J631" s="128">
        <v>255.28</v>
      </c>
      <c r="K631" s="128">
        <v>159.42</v>
      </c>
      <c r="L631" s="128">
        <v>333395.7</v>
      </c>
      <c r="M631" s="128">
        <v>208202.5</v>
      </c>
      <c r="N631" s="128">
        <v>125193.2</v>
      </c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125" t="s">
        <v>458</v>
      </c>
      <c r="B632" s="125" t="s">
        <v>486</v>
      </c>
      <c r="C632" s="125" t="s">
        <v>460</v>
      </c>
      <c r="D632" s="125" t="s">
        <v>457</v>
      </c>
      <c r="E632" s="125" t="s">
        <v>284</v>
      </c>
      <c r="F632" s="126">
        <v>41001.0</v>
      </c>
      <c r="G632" s="127">
        <v>1.93E8</v>
      </c>
      <c r="H632" s="126">
        <v>41030.0</v>
      </c>
      <c r="I632" s="128">
        <v>8863.0</v>
      </c>
      <c r="J632" s="128">
        <v>47.45</v>
      </c>
      <c r="K632" s="128">
        <v>31.79</v>
      </c>
      <c r="L632" s="128">
        <v>420549.4</v>
      </c>
      <c r="M632" s="128">
        <v>281754.8</v>
      </c>
      <c r="N632" s="128">
        <v>138794.6</v>
      </c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125" t="s">
        <v>458</v>
      </c>
      <c r="B633" s="125" t="s">
        <v>560</v>
      </c>
      <c r="C633" s="125" t="s">
        <v>463</v>
      </c>
      <c r="D633" s="125" t="s">
        <v>454</v>
      </c>
      <c r="E633" s="125" t="s">
        <v>464</v>
      </c>
      <c r="F633" s="126">
        <v>42889.0</v>
      </c>
      <c r="G633" s="127">
        <v>7.92E8</v>
      </c>
      <c r="H633" s="126">
        <v>42937.0</v>
      </c>
      <c r="I633" s="128">
        <v>2197.0</v>
      </c>
      <c r="J633" s="128">
        <v>205.7</v>
      </c>
      <c r="K633" s="128">
        <v>117.11</v>
      </c>
      <c r="L633" s="128">
        <v>451922.9</v>
      </c>
      <c r="M633" s="128">
        <v>257290.7</v>
      </c>
      <c r="N633" s="128">
        <v>194632.2</v>
      </c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125" t="s">
        <v>475</v>
      </c>
      <c r="B634" s="125" t="s">
        <v>619</v>
      </c>
      <c r="C634" s="125" t="s">
        <v>453</v>
      </c>
      <c r="D634" s="125" t="s">
        <v>454</v>
      </c>
      <c r="E634" s="125" t="s">
        <v>284</v>
      </c>
      <c r="F634" s="126">
        <v>42028.0</v>
      </c>
      <c r="G634" s="127">
        <v>2.63E8</v>
      </c>
      <c r="H634" s="126">
        <v>42067.0</v>
      </c>
      <c r="I634" s="128">
        <v>531.0</v>
      </c>
      <c r="J634" s="128">
        <v>255.28</v>
      </c>
      <c r="K634" s="128">
        <v>159.42</v>
      </c>
      <c r="L634" s="128">
        <v>135553.7</v>
      </c>
      <c r="M634" s="128">
        <v>84652.02</v>
      </c>
      <c r="N634" s="128">
        <v>50901.66</v>
      </c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125" t="s">
        <v>475</v>
      </c>
      <c r="B635" s="125" t="s">
        <v>532</v>
      </c>
      <c r="C635" s="125" t="s">
        <v>478</v>
      </c>
      <c r="D635" s="125" t="s">
        <v>454</v>
      </c>
      <c r="E635" s="125" t="s">
        <v>472</v>
      </c>
      <c r="F635" s="126">
        <v>42197.0</v>
      </c>
      <c r="G635" s="127">
        <v>7.69E8</v>
      </c>
      <c r="H635" s="126">
        <v>42214.0</v>
      </c>
      <c r="I635" s="128">
        <v>122.0</v>
      </c>
      <c r="J635" s="128">
        <v>651.21</v>
      </c>
      <c r="K635" s="128">
        <v>524.96</v>
      </c>
      <c r="L635" s="128">
        <v>79447.62</v>
      </c>
      <c r="M635" s="128">
        <v>64045.12</v>
      </c>
      <c r="N635" s="128">
        <v>15402.5</v>
      </c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125" t="s">
        <v>466</v>
      </c>
      <c r="B636" s="125" t="s">
        <v>477</v>
      </c>
      <c r="C636" s="125" t="s">
        <v>514</v>
      </c>
      <c r="D636" s="125" t="s">
        <v>457</v>
      </c>
      <c r="E636" s="125" t="s">
        <v>472</v>
      </c>
      <c r="F636" s="126">
        <v>42029.0</v>
      </c>
      <c r="G636" s="127">
        <v>4.92E8</v>
      </c>
      <c r="H636" s="126">
        <v>42041.0</v>
      </c>
      <c r="I636" s="128">
        <v>9254.0</v>
      </c>
      <c r="J636" s="128">
        <v>668.27</v>
      </c>
      <c r="K636" s="128">
        <v>502.54</v>
      </c>
      <c r="L636" s="128">
        <v>6184171.0</v>
      </c>
      <c r="M636" s="128">
        <v>4650505.0</v>
      </c>
      <c r="N636" s="128">
        <v>1533665.0</v>
      </c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125" t="s">
        <v>466</v>
      </c>
      <c r="B637" s="125" t="s">
        <v>508</v>
      </c>
      <c r="C637" s="125" t="s">
        <v>494</v>
      </c>
      <c r="D637" s="125" t="s">
        <v>457</v>
      </c>
      <c r="E637" s="125" t="s">
        <v>472</v>
      </c>
      <c r="F637" s="126">
        <v>41932.0</v>
      </c>
      <c r="G637" s="127">
        <v>3.85E8</v>
      </c>
      <c r="H637" s="126">
        <v>41971.0</v>
      </c>
      <c r="I637" s="128">
        <v>3245.0</v>
      </c>
      <c r="J637" s="128">
        <v>9.33</v>
      </c>
      <c r="K637" s="128">
        <v>6.92</v>
      </c>
      <c r="L637" s="128">
        <v>30275.85</v>
      </c>
      <c r="M637" s="128">
        <v>22455.4</v>
      </c>
      <c r="N637" s="128">
        <v>7820.45</v>
      </c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125" t="s">
        <v>451</v>
      </c>
      <c r="B638" s="125" t="s">
        <v>646</v>
      </c>
      <c r="C638" s="125" t="s">
        <v>485</v>
      </c>
      <c r="D638" s="125" t="s">
        <v>457</v>
      </c>
      <c r="E638" s="125" t="s">
        <v>284</v>
      </c>
      <c r="F638" s="126">
        <v>42700.0</v>
      </c>
      <c r="G638" s="127">
        <v>1.22E8</v>
      </c>
      <c r="H638" s="126">
        <v>42726.0</v>
      </c>
      <c r="I638" s="128">
        <v>9444.0</v>
      </c>
      <c r="J638" s="128">
        <v>421.89</v>
      </c>
      <c r="K638" s="128">
        <v>364.69</v>
      </c>
      <c r="L638" s="128">
        <v>3984329.0</v>
      </c>
      <c r="M638" s="128">
        <v>3444132.0</v>
      </c>
      <c r="N638" s="128">
        <v>540196.8</v>
      </c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125" t="s">
        <v>451</v>
      </c>
      <c r="B639" s="125" t="s">
        <v>550</v>
      </c>
      <c r="C639" s="125" t="s">
        <v>514</v>
      </c>
      <c r="D639" s="125" t="s">
        <v>454</v>
      </c>
      <c r="E639" s="125" t="s">
        <v>472</v>
      </c>
      <c r="F639" s="126">
        <v>41370.0</v>
      </c>
      <c r="G639" s="127">
        <v>3.47E8</v>
      </c>
      <c r="H639" s="126">
        <v>41413.0</v>
      </c>
      <c r="I639" s="128">
        <v>2231.0</v>
      </c>
      <c r="J639" s="128">
        <v>668.27</v>
      </c>
      <c r="K639" s="128">
        <v>502.54</v>
      </c>
      <c r="L639" s="128">
        <v>1490910.0</v>
      </c>
      <c r="M639" s="128">
        <v>1121167.0</v>
      </c>
      <c r="N639" s="128">
        <v>369743.6</v>
      </c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125" t="s">
        <v>458</v>
      </c>
      <c r="B640" s="125" t="s">
        <v>541</v>
      </c>
      <c r="C640" s="125" t="s">
        <v>460</v>
      </c>
      <c r="D640" s="125" t="s">
        <v>454</v>
      </c>
      <c r="E640" s="125" t="s">
        <v>189</v>
      </c>
      <c r="F640" s="126">
        <v>40897.0</v>
      </c>
      <c r="G640" s="127">
        <v>4.24E8</v>
      </c>
      <c r="H640" s="126">
        <v>40916.0</v>
      </c>
      <c r="I640" s="128">
        <v>8016.0</v>
      </c>
      <c r="J640" s="128">
        <v>47.45</v>
      </c>
      <c r="K640" s="128">
        <v>31.79</v>
      </c>
      <c r="L640" s="128">
        <v>380359.2</v>
      </c>
      <c r="M640" s="128">
        <v>254828.6</v>
      </c>
      <c r="N640" s="128">
        <v>125530.6</v>
      </c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125" t="s">
        <v>475</v>
      </c>
      <c r="B641" s="125" t="s">
        <v>649</v>
      </c>
      <c r="C641" s="125" t="s">
        <v>478</v>
      </c>
      <c r="D641" s="125" t="s">
        <v>457</v>
      </c>
      <c r="E641" s="125" t="s">
        <v>189</v>
      </c>
      <c r="F641" s="126">
        <v>40479.0</v>
      </c>
      <c r="G641" s="127">
        <v>6.87E8</v>
      </c>
      <c r="H641" s="126">
        <v>40503.0</v>
      </c>
      <c r="I641" s="128">
        <v>243.0</v>
      </c>
      <c r="J641" s="128">
        <v>651.21</v>
      </c>
      <c r="K641" s="128">
        <v>524.96</v>
      </c>
      <c r="L641" s="128">
        <v>158244.0</v>
      </c>
      <c r="M641" s="128">
        <v>127565.3</v>
      </c>
      <c r="N641" s="128">
        <v>30678.75</v>
      </c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125" t="s">
        <v>469</v>
      </c>
      <c r="B642" s="125" t="s">
        <v>530</v>
      </c>
      <c r="C642" s="125" t="s">
        <v>480</v>
      </c>
      <c r="D642" s="125" t="s">
        <v>457</v>
      </c>
      <c r="E642" s="125" t="s">
        <v>472</v>
      </c>
      <c r="F642" s="126">
        <v>42466.0</v>
      </c>
      <c r="G642" s="127">
        <v>1.92E8</v>
      </c>
      <c r="H642" s="126">
        <v>42508.0</v>
      </c>
      <c r="I642" s="128">
        <v>4384.0</v>
      </c>
      <c r="J642" s="128">
        <v>437.2</v>
      </c>
      <c r="K642" s="128">
        <v>263.33</v>
      </c>
      <c r="L642" s="128">
        <v>1916685.0</v>
      </c>
      <c r="M642" s="128">
        <v>1154439.0</v>
      </c>
      <c r="N642" s="128">
        <v>762246.1</v>
      </c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125" t="s">
        <v>469</v>
      </c>
      <c r="B643" s="125" t="s">
        <v>650</v>
      </c>
      <c r="C643" s="125" t="s">
        <v>463</v>
      </c>
      <c r="D643" s="125" t="s">
        <v>454</v>
      </c>
      <c r="E643" s="125" t="s">
        <v>284</v>
      </c>
      <c r="F643" s="126">
        <v>42683.0</v>
      </c>
      <c r="G643" s="127">
        <v>7.62E8</v>
      </c>
      <c r="H643" s="126">
        <v>42724.0</v>
      </c>
      <c r="I643" s="128">
        <v>2945.0</v>
      </c>
      <c r="J643" s="128">
        <v>205.7</v>
      </c>
      <c r="K643" s="128">
        <v>117.11</v>
      </c>
      <c r="L643" s="128">
        <v>605786.5</v>
      </c>
      <c r="M643" s="128">
        <v>344889.0</v>
      </c>
      <c r="N643" s="128">
        <v>260897.6</v>
      </c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125" t="s">
        <v>458</v>
      </c>
      <c r="B644" s="125" t="s">
        <v>643</v>
      </c>
      <c r="C644" s="125" t="s">
        <v>453</v>
      </c>
      <c r="D644" s="125" t="s">
        <v>454</v>
      </c>
      <c r="E644" s="125" t="s">
        <v>472</v>
      </c>
      <c r="F644" s="126">
        <v>42878.0</v>
      </c>
      <c r="G644" s="127">
        <v>2.44E8</v>
      </c>
      <c r="H644" s="126">
        <v>42885.0</v>
      </c>
      <c r="I644" s="128">
        <v>462.0</v>
      </c>
      <c r="J644" s="128">
        <v>255.28</v>
      </c>
      <c r="K644" s="128">
        <v>159.42</v>
      </c>
      <c r="L644" s="128">
        <v>117939.4</v>
      </c>
      <c r="M644" s="128">
        <v>73652.04</v>
      </c>
      <c r="N644" s="128">
        <v>44287.32</v>
      </c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125" t="s">
        <v>458</v>
      </c>
      <c r="B645" s="125" t="s">
        <v>518</v>
      </c>
      <c r="C645" s="125" t="s">
        <v>471</v>
      </c>
      <c r="D645" s="125" t="s">
        <v>457</v>
      </c>
      <c r="E645" s="125" t="s">
        <v>189</v>
      </c>
      <c r="F645" s="126">
        <v>41036.0</v>
      </c>
      <c r="G645" s="127">
        <v>1.53E8</v>
      </c>
      <c r="H645" s="126">
        <v>41048.0</v>
      </c>
      <c r="I645" s="128">
        <v>8503.0</v>
      </c>
      <c r="J645" s="128">
        <v>109.28</v>
      </c>
      <c r="K645" s="128">
        <v>35.84</v>
      </c>
      <c r="L645" s="128">
        <v>929207.8</v>
      </c>
      <c r="M645" s="128">
        <v>304747.5</v>
      </c>
      <c r="N645" s="128">
        <v>624460.3</v>
      </c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125" t="s">
        <v>466</v>
      </c>
      <c r="B646" s="125" t="s">
        <v>508</v>
      </c>
      <c r="C646" s="125" t="s">
        <v>463</v>
      </c>
      <c r="D646" s="125" t="s">
        <v>454</v>
      </c>
      <c r="E646" s="125" t="s">
        <v>189</v>
      </c>
      <c r="F646" s="126">
        <v>41064.0</v>
      </c>
      <c r="G646" s="127">
        <v>7.24E8</v>
      </c>
      <c r="H646" s="126">
        <v>41106.0</v>
      </c>
      <c r="I646" s="128">
        <v>665.0</v>
      </c>
      <c r="J646" s="128">
        <v>205.7</v>
      </c>
      <c r="K646" s="128">
        <v>117.11</v>
      </c>
      <c r="L646" s="128">
        <v>136790.5</v>
      </c>
      <c r="M646" s="128">
        <v>77878.15</v>
      </c>
      <c r="N646" s="128">
        <v>58912.35</v>
      </c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125" t="s">
        <v>461</v>
      </c>
      <c r="B647" s="125" t="s">
        <v>638</v>
      </c>
      <c r="C647" s="125" t="s">
        <v>514</v>
      </c>
      <c r="D647" s="125" t="s">
        <v>457</v>
      </c>
      <c r="E647" s="125" t="s">
        <v>189</v>
      </c>
      <c r="F647" s="126">
        <v>40345.0</v>
      </c>
      <c r="G647" s="127">
        <v>4.66E8</v>
      </c>
      <c r="H647" s="126">
        <v>40365.0</v>
      </c>
      <c r="I647" s="128">
        <v>7579.0</v>
      </c>
      <c r="J647" s="128">
        <v>668.27</v>
      </c>
      <c r="K647" s="128">
        <v>502.54</v>
      </c>
      <c r="L647" s="128">
        <v>5064818.0</v>
      </c>
      <c r="M647" s="128">
        <v>3808751.0</v>
      </c>
      <c r="N647" s="128">
        <v>1256068.0</v>
      </c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125" t="s">
        <v>458</v>
      </c>
      <c r="B648" s="125" t="s">
        <v>653</v>
      </c>
      <c r="C648" s="125" t="s">
        <v>453</v>
      </c>
      <c r="D648" s="125" t="s">
        <v>454</v>
      </c>
      <c r="E648" s="125" t="s">
        <v>464</v>
      </c>
      <c r="F648" s="126">
        <v>42179.0</v>
      </c>
      <c r="G648" s="127">
        <v>2.03E8</v>
      </c>
      <c r="H648" s="126">
        <v>42213.0</v>
      </c>
      <c r="I648" s="128">
        <v>1905.0</v>
      </c>
      <c r="J648" s="128">
        <v>255.28</v>
      </c>
      <c r="K648" s="128">
        <v>159.42</v>
      </c>
      <c r="L648" s="128">
        <v>486308.4</v>
      </c>
      <c r="M648" s="128">
        <v>303695.1</v>
      </c>
      <c r="N648" s="128">
        <v>182613.3</v>
      </c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125" t="s">
        <v>475</v>
      </c>
      <c r="B649" s="125" t="s">
        <v>601</v>
      </c>
      <c r="C649" s="125" t="s">
        <v>485</v>
      </c>
      <c r="D649" s="125" t="s">
        <v>454</v>
      </c>
      <c r="E649" s="125" t="s">
        <v>189</v>
      </c>
      <c r="F649" s="126">
        <v>40578.0</v>
      </c>
      <c r="G649" s="127">
        <v>8.33E8</v>
      </c>
      <c r="H649" s="126">
        <v>40587.0</v>
      </c>
      <c r="I649" s="128">
        <v>3337.0</v>
      </c>
      <c r="J649" s="128">
        <v>421.89</v>
      </c>
      <c r="K649" s="128">
        <v>364.69</v>
      </c>
      <c r="L649" s="128">
        <v>1407847.0</v>
      </c>
      <c r="M649" s="128">
        <v>1216971.0</v>
      </c>
      <c r="N649" s="128">
        <v>190876.4</v>
      </c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125" t="s">
        <v>475</v>
      </c>
      <c r="B650" s="125" t="s">
        <v>640</v>
      </c>
      <c r="C650" s="125" t="s">
        <v>514</v>
      </c>
      <c r="D650" s="125" t="s">
        <v>457</v>
      </c>
      <c r="E650" s="125" t="s">
        <v>472</v>
      </c>
      <c r="F650" s="126">
        <v>41004.0</v>
      </c>
      <c r="G650" s="127">
        <v>1.74E8</v>
      </c>
      <c r="H650" s="126">
        <v>41039.0</v>
      </c>
      <c r="I650" s="128">
        <v>3598.0</v>
      </c>
      <c r="J650" s="128">
        <v>668.27</v>
      </c>
      <c r="K650" s="128">
        <v>502.54</v>
      </c>
      <c r="L650" s="128">
        <v>2404435.0</v>
      </c>
      <c r="M650" s="128">
        <v>1808139.0</v>
      </c>
      <c r="N650" s="128">
        <v>596296.5</v>
      </c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125" t="s">
        <v>458</v>
      </c>
      <c r="B651" s="125" t="s">
        <v>538</v>
      </c>
      <c r="C651" s="125" t="s">
        <v>456</v>
      </c>
      <c r="D651" s="125" t="s">
        <v>457</v>
      </c>
      <c r="E651" s="125" t="s">
        <v>284</v>
      </c>
      <c r="F651" s="126">
        <v>42394.0</v>
      </c>
      <c r="G651" s="127">
        <v>6.12E8</v>
      </c>
      <c r="H651" s="126">
        <v>42432.0</v>
      </c>
      <c r="I651" s="128">
        <v>1443.0</v>
      </c>
      <c r="J651" s="128">
        <v>152.58</v>
      </c>
      <c r="K651" s="128">
        <v>97.44</v>
      </c>
      <c r="L651" s="128">
        <v>220172.9</v>
      </c>
      <c r="M651" s="128">
        <v>140605.9</v>
      </c>
      <c r="N651" s="128">
        <v>79567.02</v>
      </c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125" t="s">
        <v>475</v>
      </c>
      <c r="B652" s="125" t="s">
        <v>570</v>
      </c>
      <c r="C652" s="125" t="s">
        <v>480</v>
      </c>
      <c r="D652" s="125" t="s">
        <v>457</v>
      </c>
      <c r="E652" s="125" t="s">
        <v>284</v>
      </c>
      <c r="F652" s="126">
        <v>41309.0</v>
      </c>
      <c r="G652" s="127">
        <v>5.55E8</v>
      </c>
      <c r="H652" s="126">
        <v>41317.0</v>
      </c>
      <c r="I652" s="128">
        <v>7658.0</v>
      </c>
      <c r="J652" s="128">
        <v>437.2</v>
      </c>
      <c r="K652" s="128">
        <v>263.33</v>
      </c>
      <c r="L652" s="128">
        <v>3348078.0</v>
      </c>
      <c r="M652" s="128">
        <v>2016581.0</v>
      </c>
      <c r="N652" s="128">
        <v>1331496.0</v>
      </c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125" t="s">
        <v>475</v>
      </c>
      <c r="B653" s="125" t="s">
        <v>651</v>
      </c>
      <c r="C653" s="125" t="s">
        <v>460</v>
      </c>
      <c r="D653" s="125" t="s">
        <v>457</v>
      </c>
      <c r="E653" s="125" t="s">
        <v>472</v>
      </c>
      <c r="F653" s="126">
        <v>41612.0</v>
      </c>
      <c r="G653" s="127">
        <v>2.83E8</v>
      </c>
      <c r="H653" s="126">
        <v>41637.0</v>
      </c>
      <c r="I653" s="128">
        <v>59.0</v>
      </c>
      <c r="J653" s="128">
        <v>47.45</v>
      </c>
      <c r="K653" s="128">
        <v>31.79</v>
      </c>
      <c r="L653" s="128">
        <v>2799.55</v>
      </c>
      <c r="M653" s="128">
        <v>1875.61</v>
      </c>
      <c r="N653" s="128">
        <v>923.94</v>
      </c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125" t="s">
        <v>469</v>
      </c>
      <c r="B654" s="125" t="s">
        <v>501</v>
      </c>
      <c r="C654" s="125" t="s">
        <v>463</v>
      </c>
      <c r="D654" s="125" t="s">
        <v>454</v>
      </c>
      <c r="E654" s="125" t="s">
        <v>284</v>
      </c>
      <c r="F654" s="126">
        <v>42024.0</v>
      </c>
      <c r="G654" s="127">
        <v>5.93E8</v>
      </c>
      <c r="H654" s="126">
        <v>42054.0</v>
      </c>
      <c r="I654" s="128">
        <v>8497.0</v>
      </c>
      <c r="J654" s="128">
        <v>205.7</v>
      </c>
      <c r="K654" s="128">
        <v>117.11</v>
      </c>
      <c r="L654" s="128">
        <v>1747833.0</v>
      </c>
      <c r="M654" s="128">
        <v>995083.7</v>
      </c>
      <c r="N654" s="128">
        <v>752749.2</v>
      </c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125" t="s">
        <v>451</v>
      </c>
      <c r="B655" s="125" t="s">
        <v>620</v>
      </c>
      <c r="C655" s="125" t="s">
        <v>471</v>
      </c>
      <c r="D655" s="125" t="s">
        <v>454</v>
      </c>
      <c r="E655" s="125" t="s">
        <v>189</v>
      </c>
      <c r="F655" s="126">
        <v>40273.0</v>
      </c>
      <c r="G655" s="127">
        <v>5.53E8</v>
      </c>
      <c r="H655" s="126">
        <v>40275.0</v>
      </c>
      <c r="I655" s="128">
        <v>9851.0</v>
      </c>
      <c r="J655" s="128">
        <v>109.28</v>
      </c>
      <c r="K655" s="128">
        <v>35.84</v>
      </c>
      <c r="L655" s="128">
        <v>1076517.0</v>
      </c>
      <c r="M655" s="128">
        <v>353059.8</v>
      </c>
      <c r="N655" s="128">
        <v>723457.4</v>
      </c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125" t="s">
        <v>461</v>
      </c>
      <c r="B656" s="125" t="s">
        <v>621</v>
      </c>
      <c r="C656" s="125" t="s">
        <v>471</v>
      </c>
      <c r="D656" s="125" t="s">
        <v>454</v>
      </c>
      <c r="E656" s="125" t="s">
        <v>284</v>
      </c>
      <c r="F656" s="126">
        <v>42772.0</v>
      </c>
      <c r="G656" s="127">
        <v>6.54E8</v>
      </c>
      <c r="H656" s="126">
        <v>42810.0</v>
      </c>
      <c r="I656" s="128">
        <v>3031.0</v>
      </c>
      <c r="J656" s="128">
        <v>109.28</v>
      </c>
      <c r="K656" s="128">
        <v>35.84</v>
      </c>
      <c r="L656" s="128">
        <v>331227.7</v>
      </c>
      <c r="M656" s="128">
        <v>108631.0</v>
      </c>
      <c r="N656" s="128">
        <v>222596.6</v>
      </c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125" t="s">
        <v>458</v>
      </c>
      <c r="B657" s="125" t="s">
        <v>518</v>
      </c>
      <c r="C657" s="125" t="s">
        <v>463</v>
      </c>
      <c r="D657" s="125" t="s">
        <v>457</v>
      </c>
      <c r="E657" s="125" t="s">
        <v>284</v>
      </c>
      <c r="F657" s="126">
        <v>41112.0</v>
      </c>
      <c r="G657" s="127">
        <v>5.55E8</v>
      </c>
      <c r="H657" s="126">
        <v>41127.0</v>
      </c>
      <c r="I657" s="128">
        <v>3981.0</v>
      </c>
      <c r="J657" s="128">
        <v>205.7</v>
      </c>
      <c r="K657" s="128">
        <v>117.11</v>
      </c>
      <c r="L657" s="128">
        <v>818891.7</v>
      </c>
      <c r="M657" s="128">
        <v>466214.9</v>
      </c>
      <c r="N657" s="128">
        <v>352676.8</v>
      </c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125" t="s">
        <v>458</v>
      </c>
      <c r="B658" s="125" t="s">
        <v>473</v>
      </c>
      <c r="C658" s="125" t="s">
        <v>478</v>
      </c>
      <c r="D658" s="125" t="s">
        <v>457</v>
      </c>
      <c r="E658" s="125" t="s">
        <v>472</v>
      </c>
      <c r="F658" s="126">
        <v>41101.0</v>
      </c>
      <c r="G658" s="127">
        <v>4.34E8</v>
      </c>
      <c r="H658" s="126">
        <v>41134.0</v>
      </c>
      <c r="I658" s="128">
        <v>674.0</v>
      </c>
      <c r="J658" s="128">
        <v>651.21</v>
      </c>
      <c r="K658" s="128">
        <v>524.96</v>
      </c>
      <c r="L658" s="128">
        <v>438915.5</v>
      </c>
      <c r="M658" s="128">
        <v>353823.0</v>
      </c>
      <c r="N658" s="128">
        <v>85092.5</v>
      </c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125" t="s">
        <v>475</v>
      </c>
      <c r="B659" s="125" t="s">
        <v>532</v>
      </c>
      <c r="C659" s="125" t="s">
        <v>468</v>
      </c>
      <c r="D659" s="125" t="s">
        <v>454</v>
      </c>
      <c r="E659" s="125" t="s">
        <v>464</v>
      </c>
      <c r="F659" s="126">
        <v>42021.0</v>
      </c>
      <c r="G659" s="127">
        <v>5.43E8</v>
      </c>
      <c r="H659" s="126">
        <v>42042.0</v>
      </c>
      <c r="I659" s="128">
        <v>8115.0</v>
      </c>
      <c r="J659" s="128">
        <v>81.73</v>
      </c>
      <c r="K659" s="128">
        <v>56.67</v>
      </c>
      <c r="L659" s="128">
        <v>663239.0</v>
      </c>
      <c r="M659" s="128">
        <v>459877.1</v>
      </c>
      <c r="N659" s="128">
        <v>203361.9</v>
      </c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125" t="s">
        <v>475</v>
      </c>
      <c r="B660" s="125" t="s">
        <v>640</v>
      </c>
      <c r="C660" s="125" t="s">
        <v>453</v>
      </c>
      <c r="D660" s="125" t="s">
        <v>457</v>
      </c>
      <c r="E660" s="125" t="s">
        <v>284</v>
      </c>
      <c r="F660" s="126">
        <v>40779.0</v>
      </c>
      <c r="G660" s="127">
        <v>7.52E8</v>
      </c>
      <c r="H660" s="126">
        <v>40808.0</v>
      </c>
      <c r="I660" s="128">
        <v>3339.0</v>
      </c>
      <c r="J660" s="128">
        <v>255.28</v>
      </c>
      <c r="K660" s="128">
        <v>159.42</v>
      </c>
      <c r="L660" s="128">
        <v>852379.9</v>
      </c>
      <c r="M660" s="128">
        <v>532303.4</v>
      </c>
      <c r="N660" s="128">
        <v>320076.5</v>
      </c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125" t="s">
        <v>475</v>
      </c>
      <c r="B661" s="125" t="s">
        <v>570</v>
      </c>
      <c r="C661" s="125" t="s">
        <v>506</v>
      </c>
      <c r="D661" s="125" t="s">
        <v>454</v>
      </c>
      <c r="E661" s="125" t="s">
        <v>464</v>
      </c>
      <c r="F661" s="126">
        <v>41585.0</v>
      </c>
      <c r="G661" s="127">
        <v>1.01E8</v>
      </c>
      <c r="H661" s="126">
        <v>41625.0</v>
      </c>
      <c r="I661" s="128">
        <v>415.0</v>
      </c>
      <c r="J661" s="128">
        <v>154.06</v>
      </c>
      <c r="K661" s="128">
        <v>90.93</v>
      </c>
      <c r="L661" s="128">
        <v>63934.9</v>
      </c>
      <c r="M661" s="128">
        <v>37735.95</v>
      </c>
      <c r="N661" s="128">
        <v>26198.95</v>
      </c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125" t="s">
        <v>461</v>
      </c>
      <c r="B662" s="125" t="s">
        <v>465</v>
      </c>
      <c r="C662" s="125" t="s">
        <v>463</v>
      </c>
      <c r="D662" s="125" t="s">
        <v>454</v>
      </c>
      <c r="E662" s="125" t="s">
        <v>284</v>
      </c>
      <c r="F662" s="126">
        <v>40739.0</v>
      </c>
      <c r="G662" s="127">
        <v>8.52E8</v>
      </c>
      <c r="H662" s="126">
        <v>40741.0</v>
      </c>
      <c r="I662" s="128">
        <v>5441.0</v>
      </c>
      <c r="J662" s="128">
        <v>205.7</v>
      </c>
      <c r="K662" s="128">
        <v>117.11</v>
      </c>
      <c r="L662" s="128">
        <v>1119214.0</v>
      </c>
      <c r="M662" s="128">
        <v>637195.5</v>
      </c>
      <c r="N662" s="128">
        <v>482018.2</v>
      </c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125" t="s">
        <v>458</v>
      </c>
      <c r="B663" s="125" t="s">
        <v>622</v>
      </c>
      <c r="C663" s="125" t="s">
        <v>468</v>
      </c>
      <c r="D663" s="125" t="s">
        <v>457</v>
      </c>
      <c r="E663" s="125" t="s">
        <v>472</v>
      </c>
      <c r="F663" s="126">
        <v>41847.0</v>
      </c>
      <c r="G663" s="127">
        <v>8.35E8</v>
      </c>
      <c r="H663" s="126">
        <v>41849.0</v>
      </c>
      <c r="I663" s="128">
        <v>1547.0</v>
      </c>
      <c r="J663" s="128">
        <v>81.73</v>
      </c>
      <c r="K663" s="128">
        <v>56.67</v>
      </c>
      <c r="L663" s="128">
        <v>126436.3</v>
      </c>
      <c r="M663" s="128">
        <v>87668.49</v>
      </c>
      <c r="N663" s="128">
        <v>38767.82</v>
      </c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125" t="s">
        <v>461</v>
      </c>
      <c r="B664" s="125" t="s">
        <v>465</v>
      </c>
      <c r="C664" s="125" t="s">
        <v>463</v>
      </c>
      <c r="D664" s="125" t="s">
        <v>454</v>
      </c>
      <c r="E664" s="125" t="s">
        <v>464</v>
      </c>
      <c r="F664" s="126">
        <v>40602.0</v>
      </c>
      <c r="G664" s="127">
        <v>2.03E8</v>
      </c>
      <c r="H664" s="126">
        <v>40643.0</v>
      </c>
      <c r="I664" s="128">
        <v>3893.0</v>
      </c>
      <c r="J664" s="128">
        <v>205.7</v>
      </c>
      <c r="K664" s="128">
        <v>117.11</v>
      </c>
      <c r="L664" s="128">
        <v>800790.1</v>
      </c>
      <c r="M664" s="128">
        <v>455909.2</v>
      </c>
      <c r="N664" s="128">
        <v>344880.9</v>
      </c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125" t="s">
        <v>458</v>
      </c>
      <c r="B665" s="125" t="s">
        <v>631</v>
      </c>
      <c r="C665" s="125" t="s">
        <v>460</v>
      </c>
      <c r="D665" s="125" t="s">
        <v>454</v>
      </c>
      <c r="E665" s="125" t="s">
        <v>189</v>
      </c>
      <c r="F665" s="126">
        <v>42772.0</v>
      </c>
      <c r="G665" s="127">
        <v>9.76E8</v>
      </c>
      <c r="H665" s="126">
        <v>42776.0</v>
      </c>
      <c r="I665" s="128">
        <v>4674.0</v>
      </c>
      <c r="J665" s="128">
        <v>47.45</v>
      </c>
      <c r="K665" s="128">
        <v>31.79</v>
      </c>
      <c r="L665" s="128">
        <v>221781.3</v>
      </c>
      <c r="M665" s="128">
        <v>148586.5</v>
      </c>
      <c r="N665" s="128">
        <v>73194.84</v>
      </c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125" t="s">
        <v>475</v>
      </c>
      <c r="B666" s="125" t="s">
        <v>536</v>
      </c>
      <c r="C666" s="125" t="s">
        <v>480</v>
      </c>
      <c r="D666" s="125" t="s">
        <v>454</v>
      </c>
      <c r="E666" s="125" t="s">
        <v>284</v>
      </c>
      <c r="F666" s="126">
        <v>40681.0</v>
      </c>
      <c r="G666" s="127">
        <v>2.98E8</v>
      </c>
      <c r="H666" s="126">
        <v>40727.0</v>
      </c>
      <c r="I666" s="128">
        <v>8111.0</v>
      </c>
      <c r="J666" s="128">
        <v>437.2</v>
      </c>
      <c r="K666" s="128">
        <v>263.33</v>
      </c>
      <c r="L666" s="128">
        <v>3546129.0</v>
      </c>
      <c r="M666" s="128">
        <v>2135870.0</v>
      </c>
      <c r="N666" s="128">
        <v>1410260.0</v>
      </c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125" t="s">
        <v>475</v>
      </c>
      <c r="B667" s="125" t="s">
        <v>548</v>
      </c>
      <c r="C667" s="125" t="s">
        <v>460</v>
      </c>
      <c r="D667" s="125" t="s">
        <v>454</v>
      </c>
      <c r="E667" s="125" t="s">
        <v>189</v>
      </c>
      <c r="F667" s="126">
        <v>42256.0</v>
      </c>
      <c r="G667" s="127">
        <v>7.82E8</v>
      </c>
      <c r="H667" s="126">
        <v>42259.0</v>
      </c>
      <c r="I667" s="128">
        <v>5460.0</v>
      </c>
      <c r="J667" s="128">
        <v>47.45</v>
      </c>
      <c r="K667" s="128">
        <v>31.79</v>
      </c>
      <c r="L667" s="128">
        <v>259077.0</v>
      </c>
      <c r="M667" s="128">
        <v>173573.4</v>
      </c>
      <c r="N667" s="128">
        <v>85503.6</v>
      </c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125" t="s">
        <v>488</v>
      </c>
      <c r="B668" s="125" t="s">
        <v>577</v>
      </c>
      <c r="C668" s="125" t="s">
        <v>494</v>
      </c>
      <c r="D668" s="125" t="s">
        <v>454</v>
      </c>
      <c r="E668" s="125" t="s">
        <v>189</v>
      </c>
      <c r="F668" s="126">
        <v>41982.0</v>
      </c>
      <c r="G668" s="127">
        <v>1.59E8</v>
      </c>
      <c r="H668" s="126">
        <v>42013.0</v>
      </c>
      <c r="I668" s="128">
        <v>7.0</v>
      </c>
      <c r="J668" s="128">
        <v>9.33</v>
      </c>
      <c r="K668" s="128">
        <v>6.92</v>
      </c>
      <c r="L668" s="128">
        <v>65.31</v>
      </c>
      <c r="M668" s="128">
        <v>48.44</v>
      </c>
      <c r="N668" s="128">
        <v>16.87</v>
      </c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125" t="s">
        <v>458</v>
      </c>
      <c r="B669" s="125" t="s">
        <v>590</v>
      </c>
      <c r="C669" s="125" t="s">
        <v>460</v>
      </c>
      <c r="D669" s="125" t="s">
        <v>454</v>
      </c>
      <c r="E669" s="125" t="s">
        <v>472</v>
      </c>
      <c r="F669" s="126">
        <v>41648.0</v>
      </c>
      <c r="G669" s="127">
        <v>7.33E8</v>
      </c>
      <c r="H669" s="126">
        <v>41667.0</v>
      </c>
      <c r="I669" s="128">
        <v>2069.0</v>
      </c>
      <c r="J669" s="128">
        <v>47.45</v>
      </c>
      <c r="K669" s="128">
        <v>31.79</v>
      </c>
      <c r="L669" s="128">
        <v>98174.05</v>
      </c>
      <c r="M669" s="128">
        <v>65773.51</v>
      </c>
      <c r="N669" s="128">
        <v>32400.54</v>
      </c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125" t="s">
        <v>475</v>
      </c>
      <c r="B670" s="125" t="s">
        <v>526</v>
      </c>
      <c r="C670" s="125" t="s">
        <v>460</v>
      </c>
      <c r="D670" s="125" t="s">
        <v>457</v>
      </c>
      <c r="E670" s="125" t="s">
        <v>472</v>
      </c>
      <c r="F670" s="126">
        <v>40667.0</v>
      </c>
      <c r="G670" s="127">
        <v>8.27E8</v>
      </c>
      <c r="H670" s="126">
        <v>40689.0</v>
      </c>
      <c r="I670" s="128">
        <v>3996.0</v>
      </c>
      <c r="J670" s="128">
        <v>47.45</v>
      </c>
      <c r="K670" s="128">
        <v>31.79</v>
      </c>
      <c r="L670" s="128">
        <v>189610.2</v>
      </c>
      <c r="M670" s="128">
        <v>127032.8</v>
      </c>
      <c r="N670" s="128">
        <v>62577.36</v>
      </c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125" t="s">
        <v>451</v>
      </c>
      <c r="B671" s="125" t="s">
        <v>592</v>
      </c>
      <c r="C671" s="125" t="s">
        <v>460</v>
      </c>
      <c r="D671" s="125" t="s">
        <v>454</v>
      </c>
      <c r="E671" s="125" t="s">
        <v>284</v>
      </c>
      <c r="F671" s="126">
        <v>40224.0</v>
      </c>
      <c r="G671" s="127">
        <v>6.36E8</v>
      </c>
      <c r="H671" s="126">
        <v>40257.0</v>
      </c>
      <c r="I671" s="128">
        <v>5166.0</v>
      </c>
      <c r="J671" s="128">
        <v>47.45</v>
      </c>
      <c r="K671" s="128">
        <v>31.79</v>
      </c>
      <c r="L671" s="128">
        <v>245126.7</v>
      </c>
      <c r="M671" s="128">
        <v>164227.1</v>
      </c>
      <c r="N671" s="128">
        <v>80899.56</v>
      </c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125" t="s">
        <v>458</v>
      </c>
      <c r="B672" s="125" t="s">
        <v>554</v>
      </c>
      <c r="C672" s="125" t="s">
        <v>514</v>
      </c>
      <c r="D672" s="125" t="s">
        <v>454</v>
      </c>
      <c r="E672" s="125" t="s">
        <v>284</v>
      </c>
      <c r="F672" s="126">
        <v>41892.0</v>
      </c>
      <c r="G672" s="127">
        <v>8.73E8</v>
      </c>
      <c r="H672" s="126">
        <v>41899.0</v>
      </c>
      <c r="I672" s="128">
        <v>6992.0</v>
      </c>
      <c r="J672" s="128">
        <v>668.27</v>
      </c>
      <c r="K672" s="128">
        <v>502.54</v>
      </c>
      <c r="L672" s="128">
        <v>4672544.0</v>
      </c>
      <c r="M672" s="128">
        <v>3513760.0</v>
      </c>
      <c r="N672" s="128">
        <v>1158784.0</v>
      </c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125" t="s">
        <v>458</v>
      </c>
      <c r="B673" s="125" t="s">
        <v>541</v>
      </c>
      <c r="C673" s="125" t="s">
        <v>471</v>
      </c>
      <c r="D673" s="125" t="s">
        <v>454</v>
      </c>
      <c r="E673" s="125" t="s">
        <v>284</v>
      </c>
      <c r="F673" s="126">
        <v>40719.0</v>
      </c>
      <c r="G673" s="127">
        <v>5.24E8</v>
      </c>
      <c r="H673" s="126">
        <v>40759.0</v>
      </c>
      <c r="I673" s="128">
        <v>7915.0</v>
      </c>
      <c r="J673" s="128">
        <v>109.28</v>
      </c>
      <c r="K673" s="128">
        <v>35.84</v>
      </c>
      <c r="L673" s="128">
        <v>864951.2</v>
      </c>
      <c r="M673" s="128">
        <v>283673.6</v>
      </c>
      <c r="N673" s="128">
        <v>581277.6</v>
      </c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125" t="s">
        <v>451</v>
      </c>
      <c r="B674" s="125" t="s">
        <v>655</v>
      </c>
      <c r="C674" s="125" t="s">
        <v>468</v>
      </c>
      <c r="D674" s="125" t="s">
        <v>454</v>
      </c>
      <c r="E674" s="125" t="s">
        <v>472</v>
      </c>
      <c r="F674" s="126">
        <v>40438.0</v>
      </c>
      <c r="G674" s="127">
        <v>8.91E8</v>
      </c>
      <c r="H674" s="126">
        <v>40476.0</v>
      </c>
      <c r="I674" s="128">
        <v>8409.0</v>
      </c>
      <c r="J674" s="128">
        <v>81.73</v>
      </c>
      <c r="K674" s="128">
        <v>56.67</v>
      </c>
      <c r="L674" s="128">
        <v>687267.6</v>
      </c>
      <c r="M674" s="128">
        <v>476538.0</v>
      </c>
      <c r="N674" s="128">
        <v>210729.5</v>
      </c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125" t="s">
        <v>461</v>
      </c>
      <c r="B675" s="125" t="s">
        <v>516</v>
      </c>
      <c r="C675" s="125" t="s">
        <v>471</v>
      </c>
      <c r="D675" s="125" t="s">
        <v>457</v>
      </c>
      <c r="E675" s="125" t="s">
        <v>189</v>
      </c>
      <c r="F675" s="126">
        <v>41024.0</v>
      </c>
      <c r="G675" s="127">
        <v>6.52E8</v>
      </c>
      <c r="H675" s="126">
        <v>41072.0</v>
      </c>
      <c r="I675" s="128">
        <v>5979.0</v>
      </c>
      <c r="J675" s="128">
        <v>109.28</v>
      </c>
      <c r="K675" s="128">
        <v>35.84</v>
      </c>
      <c r="L675" s="128">
        <v>653385.1</v>
      </c>
      <c r="M675" s="128">
        <v>214287.4</v>
      </c>
      <c r="N675" s="128">
        <v>439097.8</v>
      </c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125" t="s">
        <v>458</v>
      </c>
      <c r="B676" s="125" t="s">
        <v>614</v>
      </c>
      <c r="C676" s="125" t="s">
        <v>468</v>
      </c>
      <c r="D676" s="125" t="s">
        <v>454</v>
      </c>
      <c r="E676" s="125" t="s">
        <v>189</v>
      </c>
      <c r="F676" s="126">
        <v>42841.0</v>
      </c>
      <c r="G676" s="127">
        <v>8.0E8</v>
      </c>
      <c r="H676" s="126">
        <v>42869.0</v>
      </c>
      <c r="I676" s="128">
        <v>161.0</v>
      </c>
      <c r="J676" s="128">
        <v>81.73</v>
      </c>
      <c r="K676" s="128">
        <v>56.67</v>
      </c>
      <c r="L676" s="128">
        <v>13158.53</v>
      </c>
      <c r="M676" s="128">
        <v>9123.87</v>
      </c>
      <c r="N676" s="128">
        <v>4034.66</v>
      </c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125" t="s">
        <v>469</v>
      </c>
      <c r="B677" s="125" t="s">
        <v>617</v>
      </c>
      <c r="C677" s="125" t="s">
        <v>478</v>
      </c>
      <c r="D677" s="125" t="s">
        <v>454</v>
      </c>
      <c r="E677" s="125" t="s">
        <v>464</v>
      </c>
      <c r="F677" s="126">
        <v>42491.0</v>
      </c>
      <c r="G677" s="127">
        <v>6.02E8</v>
      </c>
      <c r="H677" s="126">
        <v>42516.0</v>
      </c>
      <c r="I677" s="128">
        <v>7523.0</v>
      </c>
      <c r="J677" s="128">
        <v>651.21</v>
      </c>
      <c r="K677" s="128">
        <v>524.96</v>
      </c>
      <c r="L677" s="128">
        <v>4899053.0</v>
      </c>
      <c r="M677" s="128">
        <v>3949274.0</v>
      </c>
      <c r="N677" s="128">
        <v>949778.8</v>
      </c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125" t="s">
        <v>458</v>
      </c>
      <c r="B678" s="125" t="s">
        <v>555</v>
      </c>
      <c r="C678" s="125" t="s">
        <v>506</v>
      </c>
      <c r="D678" s="125" t="s">
        <v>454</v>
      </c>
      <c r="E678" s="125" t="s">
        <v>189</v>
      </c>
      <c r="F678" s="126">
        <v>42500.0</v>
      </c>
      <c r="G678" s="127">
        <v>7.44E8</v>
      </c>
      <c r="H678" s="126">
        <v>42501.0</v>
      </c>
      <c r="I678" s="128">
        <v>6662.0</v>
      </c>
      <c r="J678" s="128">
        <v>154.06</v>
      </c>
      <c r="K678" s="128">
        <v>90.93</v>
      </c>
      <c r="L678" s="128">
        <v>1026348.0</v>
      </c>
      <c r="M678" s="128">
        <v>605775.7</v>
      </c>
      <c r="N678" s="128">
        <v>420572.1</v>
      </c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125" t="s">
        <v>475</v>
      </c>
      <c r="B679" s="125" t="s">
        <v>558</v>
      </c>
      <c r="C679" s="125" t="s">
        <v>514</v>
      </c>
      <c r="D679" s="125" t="s">
        <v>454</v>
      </c>
      <c r="E679" s="125" t="s">
        <v>284</v>
      </c>
      <c r="F679" s="126">
        <v>41630.0</v>
      </c>
      <c r="G679" s="127">
        <v>1.81E8</v>
      </c>
      <c r="H679" s="126">
        <v>41635.0</v>
      </c>
      <c r="I679" s="128">
        <v>3210.0</v>
      </c>
      <c r="J679" s="128">
        <v>668.27</v>
      </c>
      <c r="K679" s="128">
        <v>502.54</v>
      </c>
      <c r="L679" s="128">
        <v>2145147.0</v>
      </c>
      <c r="M679" s="128">
        <v>1613153.0</v>
      </c>
      <c r="N679" s="128">
        <v>531993.3</v>
      </c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125" t="s">
        <v>451</v>
      </c>
      <c r="B680" s="125" t="s">
        <v>452</v>
      </c>
      <c r="C680" s="125" t="s">
        <v>494</v>
      </c>
      <c r="D680" s="125" t="s">
        <v>454</v>
      </c>
      <c r="E680" s="125" t="s">
        <v>284</v>
      </c>
      <c r="F680" s="126">
        <v>41802.0</v>
      </c>
      <c r="G680" s="127">
        <v>1.92E8</v>
      </c>
      <c r="H680" s="126">
        <v>41852.0</v>
      </c>
      <c r="I680" s="128">
        <v>4827.0</v>
      </c>
      <c r="J680" s="128">
        <v>9.33</v>
      </c>
      <c r="K680" s="128">
        <v>6.92</v>
      </c>
      <c r="L680" s="128">
        <v>45035.91</v>
      </c>
      <c r="M680" s="128">
        <v>33402.84</v>
      </c>
      <c r="N680" s="128">
        <v>11633.07</v>
      </c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125" t="s">
        <v>466</v>
      </c>
      <c r="B681" s="125" t="s">
        <v>524</v>
      </c>
      <c r="C681" s="125" t="s">
        <v>494</v>
      </c>
      <c r="D681" s="125" t="s">
        <v>457</v>
      </c>
      <c r="E681" s="125" t="s">
        <v>464</v>
      </c>
      <c r="F681" s="126">
        <v>41174.0</v>
      </c>
      <c r="G681" s="127">
        <v>3.21E8</v>
      </c>
      <c r="H681" s="126">
        <v>41207.0</v>
      </c>
      <c r="I681" s="128">
        <v>6205.0</v>
      </c>
      <c r="J681" s="128">
        <v>9.33</v>
      </c>
      <c r="K681" s="128">
        <v>6.92</v>
      </c>
      <c r="L681" s="128">
        <v>57892.65</v>
      </c>
      <c r="M681" s="128">
        <v>42938.6</v>
      </c>
      <c r="N681" s="128">
        <v>14954.05</v>
      </c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125" t="s">
        <v>475</v>
      </c>
      <c r="B682" s="125" t="s">
        <v>570</v>
      </c>
      <c r="C682" s="125" t="s">
        <v>478</v>
      </c>
      <c r="D682" s="125" t="s">
        <v>454</v>
      </c>
      <c r="E682" s="125" t="s">
        <v>472</v>
      </c>
      <c r="F682" s="126">
        <v>41061.0</v>
      </c>
      <c r="G682" s="127">
        <v>6.38E8</v>
      </c>
      <c r="H682" s="126">
        <v>41082.0</v>
      </c>
      <c r="I682" s="128">
        <v>4069.0</v>
      </c>
      <c r="J682" s="128">
        <v>651.21</v>
      </c>
      <c r="K682" s="128">
        <v>524.96</v>
      </c>
      <c r="L682" s="128">
        <v>2649773.0</v>
      </c>
      <c r="M682" s="128">
        <v>2136062.0</v>
      </c>
      <c r="N682" s="128">
        <v>513711.3</v>
      </c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125" t="s">
        <v>475</v>
      </c>
      <c r="B683" s="125" t="s">
        <v>635</v>
      </c>
      <c r="C683" s="125" t="s">
        <v>471</v>
      </c>
      <c r="D683" s="125" t="s">
        <v>454</v>
      </c>
      <c r="E683" s="125" t="s">
        <v>464</v>
      </c>
      <c r="F683" s="126">
        <v>41783.0</v>
      </c>
      <c r="G683" s="127">
        <v>3.78E8</v>
      </c>
      <c r="H683" s="126">
        <v>41798.0</v>
      </c>
      <c r="I683" s="128">
        <v>2172.0</v>
      </c>
      <c r="J683" s="128">
        <v>109.28</v>
      </c>
      <c r="K683" s="128">
        <v>35.84</v>
      </c>
      <c r="L683" s="128">
        <v>237356.2</v>
      </c>
      <c r="M683" s="128">
        <v>77844.48</v>
      </c>
      <c r="N683" s="128">
        <v>159511.7</v>
      </c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125" t="s">
        <v>458</v>
      </c>
      <c r="B684" s="125" t="s">
        <v>518</v>
      </c>
      <c r="C684" s="125" t="s">
        <v>456</v>
      </c>
      <c r="D684" s="125" t="s">
        <v>457</v>
      </c>
      <c r="E684" s="125" t="s">
        <v>464</v>
      </c>
      <c r="F684" s="126">
        <v>41283.0</v>
      </c>
      <c r="G684" s="127">
        <v>2.01E8</v>
      </c>
      <c r="H684" s="126">
        <v>41314.0</v>
      </c>
      <c r="I684" s="128">
        <v>6302.0</v>
      </c>
      <c r="J684" s="128">
        <v>152.58</v>
      </c>
      <c r="K684" s="128">
        <v>97.44</v>
      </c>
      <c r="L684" s="128">
        <v>961559.2</v>
      </c>
      <c r="M684" s="128">
        <v>614066.9</v>
      </c>
      <c r="N684" s="128">
        <v>347492.3</v>
      </c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125" t="s">
        <v>475</v>
      </c>
      <c r="B685" s="125" t="s">
        <v>602</v>
      </c>
      <c r="C685" s="125" t="s">
        <v>485</v>
      </c>
      <c r="D685" s="125" t="s">
        <v>457</v>
      </c>
      <c r="E685" s="125" t="s">
        <v>284</v>
      </c>
      <c r="F685" s="126">
        <v>42041.0</v>
      </c>
      <c r="G685" s="127">
        <v>8.34E8</v>
      </c>
      <c r="H685" s="126">
        <v>42062.0</v>
      </c>
      <c r="I685" s="128">
        <v>9275.0</v>
      </c>
      <c r="J685" s="128">
        <v>421.89</v>
      </c>
      <c r="K685" s="128">
        <v>364.69</v>
      </c>
      <c r="L685" s="128">
        <v>3913030.0</v>
      </c>
      <c r="M685" s="128">
        <v>3382500.0</v>
      </c>
      <c r="N685" s="128">
        <v>530530.0</v>
      </c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125" t="s">
        <v>461</v>
      </c>
      <c r="B686" s="125" t="s">
        <v>618</v>
      </c>
      <c r="C686" s="125" t="s">
        <v>463</v>
      </c>
      <c r="D686" s="125" t="s">
        <v>454</v>
      </c>
      <c r="E686" s="125" t="s">
        <v>189</v>
      </c>
      <c r="F686" s="126">
        <v>41396.0</v>
      </c>
      <c r="G686" s="127">
        <v>8.26E8</v>
      </c>
      <c r="H686" s="126">
        <v>41399.0</v>
      </c>
      <c r="I686" s="128">
        <v>5940.0</v>
      </c>
      <c r="J686" s="128">
        <v>205.7</v>
      </c>
      <c r="K686" s="128">
        <v>117.11</v>
      </c>
      <c r="L686" s="128">
        <v>1221858.0</v>
      </c>
      <c r="M686" s="128">
        <v>695633.4</v>
      </c>
      <c r="N686" s="128">
        <v>526224.6</v>
      </c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125" t="s">
        <v>475</v>
      </c>
      <c r="B687" s="125" t="s">
        <v>561</v>
      </c>
      <c r="C687" s="125" t="s">
        <v>506</v>
      </c>
      <c r="D687" s="125" t="s">
        <v>457</v>
      </c>
      <c r="E687" s="125" t="s">
        <v>189</v>
      </c>
      <c r="F687" s="126">
        <v>41224.0</v>
      </c>
      <c r="G687" s="127">
        <v>5.96E8</v>
      </c>
      <c r="H687" s="126">
        <v>41258.0</v>
      </c>
      <c r="I687" s="128">
        <v>8177.0</v>
      </c>
      <c r="J687" s="128">
        <v>154.06</v>
      </c>
      <c r="K687" s="128">
        <v>90.93</v>
      </c>
      <c r="L687" s="128">
        <v>1259749.0</v>
      </c>
      <c r="M687" s="128">
        <v>743534.6</v>
      </c>
      <c r="N687" s="128">
        <v>516214.0</v>
      </c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125" t="s">
        <v>488</v>
      </c>
      <c r="B688" s="125" t="s">
        <v>645</v>
      </c>
      <c r="C688" s="125" t="s">
        <v>468</v>
      </c>
      <c r="D688" s="125" t="s">
        <v>457</v>
      </c>
      <c r="E688" s="125" t="s">
        <v>472</v>
      </c>
      <c r="F688" s="126">
        <v>41023.0</v>
      </c>
      <c r="G688" s="127">
        <v>1.82E8</v>
      </c>
      <c r="H688" s="126">
        <v>41052.0</v>
      </c>
      <c r="I688" s="128">
        <v>9898.0</v>
      </c>
      <c r="J688" s="128">
        <v>81.73</v>
      </c>
      <c r="K688" s="128">
        <v>56.67</v>
      </c>
      <c r="L688" s="128">
        <v>808963.5</v>
      </c>
      <c r="M688" s="128">
        <v>560919.7</v>
      </c>
      <c r="N688" s="128">
        <v>248043.9</v>
      </c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125" t="s">
        <v>475</v>
      </c>
      <c r="B689" s="125" t="s">
        <v>570</v>
      </c>
      <c r="C689" s="125" t="s">
        <v>494</v>
      </c>
      <c r="D689" s="125" t="s">
        <v>457</v>
      </c>
      <c r="E689" s="125" t="s">
        <v>189</v>
      </c>
      <c r="F689" s="126">
        <v>42065.0</v>
      </c>
      <c r="G689" s="127">
        <v>5.95E8</v>
      </c>
      <c r="H689" s="126">
        <v>42113.0</v>
      </c>
      <c r="I689" s="128">
        <v>2044.0</v>
      </c>
      <c r="J689" s="128">
        <v>9.33</v>
      </c>
      <c r="K689" s="128">
        <v>6.92</v>
      </c>
      <c r="L689" s="128">
        <v>19070.52</v>
      </c>
      <c r="M689" s="128">
        <v>14144.48</v>
      </c>
      <c r="N689" s="128">
        <v>4926.04</v>
      </c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125" t="s">
        <v>475</v>
      </c>
      <c r="B690" s="125" t="s">
        <v>640</v>
      </c>
      <c r="C690" s="125" t="s">
        <v>485</v>
      </c>
      <c r="D690" s="125" t="s">
        <v>454</v>
      </c>
      <c r="E690" s="125" t="s">
        <v>189</v>
      </c>
      <c r="F690" s="126">
        <v>40477.0</v>
      </c>
      <c r="G690" s="127">
        <v>6.63E8</v>
      </c>
      <c r="H690" s="126">
        <v>40484.0</v>
      </c>
      <c r="I690" s="128">
        <v>7589.0</v>
      </c>
      <c r="J690" s="128">
        <v>421.89</v>
      </c>
      <c r="K690" s="128">
        <v>364.69</v>
      </c>
      <c r="L690" s="128">
        <v>3201723.0</v>
      </c>
      <c r="M690" s="128">
        <v>2767632.0</v>
      </c>
      <c r="N690" s="128">
        <v>434090.8</v>
      </c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125" t="s">
        <v>461</v>
      </c>
      <c r="B691" s="125" t="s">
        <v>525</v>
      </c>
      <c r="C691" s="125" t="s">
        <v>514</v>
      </c>
      <c r="D691" s="125" t="s">
        <v>457</v>
      </c>
      <c r="E691" s="125" t="s">
        <v>464</v>
      </c>
      <c r="F691" s="126">
        <v>42458.0</v>
      </c>
      <c r="G691" s="127">
        <v>1.87E8</v>
      </c>
      <c r="H691" s="126">
        <v>42477.0</v>
      </c>
      <c r="I691" s="128">
        <v>6539.0</v>
      </c>
      <c r="J691" s="128">
        <v>668.27</v>
      </c>
      <c r="K691" s="128">
        <v>502.54</v>
      </c>
      <c r="L691" s="128">
        <v>4369818.0</v>
      </c>
      <c r="M691" s="128">
        <v>3286109.0</v>
      </c>
      <c r="N691" s="128">
        <v>1083708.0</v>
      </c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125" t="s">
        <v>461</v>
      </c>
      <c r="B692" s="125" t="s">
        <v>621</v>
      </c>
      <c r="C692" s="125" t="s">
        <v>471</v>
      </c>
      <c r="D692" s="125" t="s">
        <v>454</v>
      </c>
      <c r="E692" s="125" t="s">
        <v>284</v>
      </c>
      <c r="F692" s="126">
        <v>40764.0</v>
      </c>
      <c r="G692" s="127">
        <v>3.87E8</v>
      </c>
      <c r="H692" s="126">
        <v>40766.0</v>
      </c>
      <c r="I692" s="128">
        <v>928.0</v>
      </c>
      <c r="J692" s="128">
        <v>109.28</v>
      </c>
      <c r="K692" s="128">
        <v>35.84</v>
      </c>
      <c r="L692" s="128">
        <v>101411.8</v>
      </c>
      <c r="M692" s="128">
        <v>33259.52</v>
      </c>
      <c r="N692" s="128">
        <v>68152.32</v>
      </c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125" t="s">
        <v>469</v>
      </c>
      <c r="B693" s="125" t="s">
        <v>503</v>
      </c>
      <c r="C693" s="125" t="s">
        <v>460</v>
      </c>
      <c r="D693" s="125" t="s">
        <v>454</v>
      </c>
      <c r="E693" s="125" t="s">
        <v>284</v>
      </c>
      <c r="F693" s="126">
        <v>40988.0</v>
      </c>
      <c r="G693" s="127">
        <v>7.55E8</v>
      </c>
      <c r="H693" s="126">
        <v>41007.0</v>
      </c>
      <c r="I693" s="128">
        <v>9826.0</v>
      </c>
      <c r="J693" s="128">
        <v>47.45</v>
      </c>
      <c r="K693" s="128">
        <v>31.79</v>
      </c>
      <c r="L693" s="128">
        <v>466243.7</v>
      </c>
      <c r="M693" s="128">
        <v>312368.5</v>
      </c>
      <c r="N693" s="128">
        <v>153875.2</v>
      </c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125" t="s">
        <v>466</v>
      </c>
      <c r="B694" s="125" t="s">
        <v>535</v>
      </c>
      <c r="C694" s="125" t="s">
        <v>460</v>
      </c>
      <c r="D694" s="125" t="s">
        <v>457</v>
      </c>
      <c r="E694" s="125" t="s">
        <v>284</v>
      </c>
      <c r="F694" s="126">
        <v>40813.0</v>
      </c>
      <c r="G694" s="127">
        <v>4.0E8</v>
      </c>
      <c r="H694" s="126">
        <v>40854.0</v>
      </c>
      <c r="I694" s="128">
        <v>4329.0</v>
      </c>
      <c r="J694" s="128">
        <v>47.45</v>
      </c>
      <c r="K694" s="128">
        <v>31.79</v>
      </c>
      <c r="L694" s="128">
        <v>205411.1</v>
      </c>
      <c r="M694" s="128">
        <v>137618.9</v>
      </c>
      <c r="N694" s="128">
        <v>67792.14</v>
      </c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125" t="s">
        <v>461</v>
      </c>
      <c r="B695" s="125" t="s">
        <v>542</v>
      </c>
      <c r="C695" s="125" t="s">
        <v>460</v>
      </c>
      <c r="D695" s="125" t="s">
        <v>454</v>
      </c>
      <c r="E695" s="125" t="s">
        <v>284</v>
      </c>
      <c r="F695" s="126">
        <v>42462.0</v>
      </c>
      <c r="G695" s="127">
        <v>3.05E8</v>
      </c>
      <c r="H695" s="126">
        <v>42491.0</v>
      </c>
      <c r="I695" s="128">
        <v>2569.0</v>
      </c>
      <c r="J695" s="128">
        <v>47.45</v>
      </c>
      <c r="K695" s="128">
        <v>31.79</v>
      </c>
      <c r="L695" s="128">
        <v>121899.1</v>
      </c>
      <c r="M695" s="128">
        <v>81668.51</v>
      </c>
      <c r="N695" s="128">
        <v>40230.54</v>
      </c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125" t="s">
        <v>475</v>
      </c>
      <c r="B696" s="125" t="s">
        <v>656</v>
      </c>
      <c r="C696" s="125" t="s">
        <v>485</v>
      </c>
      <c r="D696" s="125" t="s">
        <v>457</v>
      </c>
      <c r="E696" s="125" t="s">
        <v>464</v>
      </c>
      <c r="F696" s="126">
        <v>40247.0</v>
      </c>
      <c r="G696" s="127">
        <v>1.7E8</v>
      </c>
      <c r="H696" s="126">
        <v>40256.0</v>
      </c>
      <c r="I696" s="128">
        <v>4705.0</v>
      </c>
      <c r="J696" s="128">
        <v>421.89</v>
      </c>
      <c r="K696" s="128">
        <v>364.69</v>
      </c>
      <c r="L696" s="128">
        <v>1984992.0</v>
      </c>
      <c r="M696" s="128">
        <v>1715866.0</v>
      </c>
      <c r="N696" s="128">
        <v>269126.0</v>
      </c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125" t="s">
        <v>458</v>
      </c>
      <c r="B697" s="125" t="s">
        <v>545</v>
      </c>
      <c r="C697" s="125" t="s">
        <v>485</v>
      </c>
      <c r="D697" s="125" t="s">
        <v>454</v>
      </c>
      <c r="E697" s="125" t="s">
        <v>464</v>
      </c>
      <c r="F697" s="126">
        <v>41316.0</v>
      </c>
      <c r="G697" s="127">
        <v>6.68E8</v>
      </c>
      <c r="H697" s="126">
        <v>41361.0</v>
      </c>
      <c r="I697" s="128">
        <v>7932.0</v>
      </c>
      <c r="J697" s="128">
        <v>421.89</v>
      </c>
      <c r="K697" s="128">
        <v>364.69</v>
      </c>
      <c r="L697" s="128">
        <v>3346431.0</v>
      </c>
      <c r="M697" s="128">
        <v>2892721.0</v>
      </c>
      <c r="N697" s="128">
        <v>453710.4</v>
      </c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125" t="s">
        <v>475</v>
      </c>
      <c r="B698" s="125" t="s">
        <v>562</v>
      </c>
      <c r="C698" s="125" t="s">
        <v>468</v>
      </c>
      <c r="D698" s="125" t="s">
        <v>457</v>
      </c>
      <c r="E698" s="125" t="s">
        <v>284</v>
      </c>
      <c r="F698" s="126">
        <v>42144.0</v>
      </c>
      <c r="G698" s="127">
        <v>2.91E8</v>
      </c>
      <c r="H698" s="126">
        <v>42154.0</v>
      </c>
      <c r="I698" s="128">
        <v>1472.0</v>
      </c>
      <c r="J698" s="128">
        <v>81.73</v>
      </c>
      <c r="K698" s="128">
        <v>56.67</v>
      </c>
      <c r="L698" s="128">
        <v>120306.6</v>
      </c>
      <c r="M698" s="128">
        <v>83418.24</v>
      </c>
      <c r="N698" s="128">
        <v>36888.32</v>
      </c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125" t="s">
        <v>466</v>
      </c>
      <c r="B699" s="125" t="s">
        <v>508</v>
      </c>
      <c r="C699" s="125" t="s">
        <v>494</v>
      </c>
      <c r="D699" s="125" t="s">
        <v>457</v>
      </c>
      <c r="E699" s="125" t="s">
        <v>189</v>
      </c>
      <c r="F699" s="126">
        <v>40975.0</v>
      </c>
      <c r="G699" s="127">
        <v>3.02E8</v>
      </c>
      <c r="H699" s="126">
        <v>40997.0</v>
      </c>
      <c r="I699" s="128">
        <v>1579.0</v>
      </c>
      <c r="J699" s="128">
        <v>9.33</v>
      </c>
      <c r="K699" s="128">
        <v>6.92</v>
      </c>
      <c r="L699" s="128">
        <v>14732.07</v>
      </c>
      <c r="M699" s="128">
        <v>10926.68</v>
      </c>
      <c r="N699" s="128">
        <v>3805.39</v>
      </c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125" t="s">
        <v>451</v>
      </c>
      <c r="B700" s="125" t="s">
        <v>543</v>
      </c>
      <c r="C700" s="125" t="s">
        <v>463</v>
      </c>
      <c r="D700" s="125" t="s">
        <v>457</v>
      </c>
      <c r="E700" s="125" t="s">
        <v>464</v>
      </c>
      <c r="F700" s="126">
        <v>41977.0</v>
      </c>
      <c r="G700" s="127">
        <v>6.83E8</v>
      </c>
      <c r="H700" s="126">
        <v>41984.0</v>
      </c>
      <c r="I700" s="128">
        <v>6542.0</v>
      </c>
      <c r="J700" s="128">
        <v>205.7</v>
      </c>
      <c r="K700" s="128">
        <v>117.11</v>
      </c>
      <c r="L700" s="128">
        <v>1345689.0</v>
      </c>
      <c r="M700" s="128">
        <v>766133.6</v>
      </c>
      <c r="N700" s="128">
        <v>579555.8</v>
      </c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125" t="s">
        <v>475</v>
      </c>
      <c r="B701" s="125" t="s">
        <v>636</v>
      </c>
      <c r="C701" s="125" t="s">
        <v>478</v>
      </c>
      <c r="D701" s="125" t="s">
        <v>454</v>
      </c>
      <c r="E701" s="125" t="s">
        <v>464</v>
      </c>
      <c r="F701" s="126">
        <v>42790.0</v>
      </c>
      <c r="G701" s="127">
        <v>5.88E8</v>
      </c>
      <c r="H701" s="126">
        <v>42822.0</v>
      </c>
      <c r="I701" s="128">
        <v>1675.0</v>
      </c>
      <c r="J701" s="128">
        <v>651.21</v>
      </c>
      <c r="K701" s="128">
        <v>524.96</v>
      </c>
      <c r="L701" s="128">
        <v>1090777.0</v>
      </c>
      <c r="M701" s="128">
        <v>879308.0</v>
      </c>
      <c r="N701" s="128">
        <v>211468.8</v>
      </c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125" t="s">
        <v>475</v>
      </c>
      <c r="B702" s="125" t="s">
        <v>604</v>
      </c>
      <c r="C702" s="125" t="s">
        <v>468</v>
      </c>
      <c r="D702" s="125" t="s">
        <v>457</v>
      </c>
      <c r="E702" s="125" t="s">
        <v>284</v>
      </c>
      <c r="F702" s="126">
        <v>41443.0</v>
      </c>
      <c r="G702" s="127">
        <v>5.9E8</v>
      </c>
      <c r="H702" s="126">
        <v>41468.0</v>
      </c>
      <c r="I702" s="128">
        <v>4329.0</v>
      </c>
      <c r="J702" s="128">
        <v>81.73</v>
      </c>
      <c r="K702" s="128">
        <v>56.67</v>
      </c>
      <c r="L702" s="128">
        <v>353809.2</v>
      </c>
      <c r="M702" s="128">
        <v>245324.4</v>
      </c>
      <c r="N702" s="128">
        <v>108484.7</v>
      </c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125" t="s">
        <v>469</v>
      </c>
      <c r="B703" s="125" t="s">
        <v>650</v>
      </c>
      <c r="C703" s="125" t="s">
        <v>453</v>
      </c>
      <c r="D703" s="125" t="s">
        <v>457</v>
      </c>
      <c r="E703" s="125" t="s">
        <v>189</v>
      </c>
      <c r="F703" s="126">
        <v>40505.0</v>
      </c>
      <c r="G703" s="127">
        <v>4.33E8</v>
      </c>
      <c r="H703" s="126">
        <v>40510.0</v>
      </c>
      <c r="I703" s="128">
        <v>8884.0</v>
      </c>
      <c r="J703" s="128">
        <v>255.28</v>
      </c>
      <c r="K703" s="128">
        <v>159.42</v>
      </c>
      <c r="L703" s="128">
        <v>2267908.0</v>
      </c>
      <c r="M703" s="128">
        <v>1416287.0</v>
      </c>
      <c r="N703" s="128">
        <v>851620.2</v>
      </c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125" t="s">
        <v>458</v>
      </c>
      <c r="B704" s="125" t="s">
        <v>594</v>
      </c>
      <c r="C704" s="125" t="s">
        <v>514</v>
      </c>
      <c r="D704" s="125" t="s">
        <v>454</v>
      </c>
      <c r="E704" s="125" t="s">
        <v>284</v>
      </c>
      <c r="F704" s="126">
        <v>42930.0</v>
      </c>
      <c r="G704" s="127">
        <v>3.8E8</v>
      </c>
      <c r="H704" s="126">
        <v>42932.0</v>
      </c>
      <c r="I704" s="128">
        <v>1749.0</v>
      </c>
      <c r="J704" s="128">
        <v>668.27</v>
      </c>
      <c r="K704" s="128">
        <v>502.54</v>
      </c>
      <c r="L704" s="128">
        <v>1168804.0</v>
      </c>
      <c r="M704" s="128">
        <v>878942.5</v>
      </c>
      <c r="N704" s="128">
        <v>289861.8</v>
      </c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125" t="s">
        <v>458</v>
      </c>
      <c r="B705" s="125" t="s">
        <v>529</v>
      </c>
      <c r="C705" s="125" t="s">
        <v>471</v>
      </c>
      <c r="D705" s="125" t="s">
        <v>454</v>
      </c>
      <c r="E705" s="125" t="s">
        <v>472</v>
      </c>
      <c r="F705" s="126">
        <v>42385.0</v>
      </c>
      <c r="G705" s="127">
        <v>7.67E8</v>
      </c>
      <c r="H705" s="126">
        <v>42423.0</v>
      </c>
      <c r="I705" s="128">
        <v>6368.0</v>
      </c>
      <c r="J705" s="128">
        <v>109.28</v>
      </c>
      <c r="K705" s="128">
        <v>35.84</v>
      </c>
      <c r="L705" s="128">
        <v>695895.0</v>
      </c>
      <c r="M705" s="128">
        <v>228229.1</v>
      </c>
      <c r="N705" s="128">
        <v>467665.9</v>
      </c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125" t="s">
        <v>469</v>
      </c>
      <c r="B706" s="125" t="s">
        <v>589</v>
      </c>
      <c r="C706" s="125" t="s">
        <v>506</v>
      </c>
      <c r="D706" s="125" t="s">
        <v>454</v>
      </c>
      <c r="E706" s="125" t="s">
        <v>189</v>
      </c>
      <c r="F706" s="126">
        <v>41219.0</v>
      </c>
      <c r="G706" s="127">
        <v>6.49E8</v>
      </c>
      <c r="H706" s="126">
        <v>41261.0</v>
      </c>
      <c r="I706" s="128">
        <v>8215.0</v>
      </c>
      <c r="J706" s="128">
        <v>154.06</v>
      </c>
      <c r="K706" s="128">
        <v>90.93</v>
      </c>
      <c r="L706" s="128">
        <v>1265603.0</v>
      </c>
      <c r="M706" s="128">
        <v>746990.0</v>
      </c>
      <c r="N706" s="128">
        <v>518613.0</v>
      </c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125" t="s">
        <v>451</v>
      </c>
      <c r="B707" s="125" t="s">
        <v>546</v>
      </c>
      <c r="C707" s="125" t="s">
        <v>494</v>
      </c>
      <c r="D707" s="125" t="s">
        <v>454</v>
      </c>
      <c r="E707" s="125" t="s">
        <v>464</v>
      </c>
      <c r="F707" s="126">
        <v>40791.0</v>
      </c>
      <c r="G707" s="127">
        <v>9.49E8</v>
      </c>
      <c r="H707" s="126">
        <v>40827.0</v>
      </c>
      <c r="I707" s="128">
        <v>9794.0</v>
      </c>
      <c r="J707" s="128">
        <v>9.33</v>
      </c>
      <c r="K707" s="128">
        <v>6.92</v>
      </c>
      <c r="L707" s="128">
        <v>91378.02</v>
      </c>
      <c r="M707" s="128">
        <v>67774.48</v>
      </c>
      <c r="N707" s="128">
        <v>23603.54</v>
      </c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125" t="s">
        <v>461</v>
      </c>
      <c r="B708" s="125" t="s">
        <v>465</v>
      </c>
      <c r="C708" s="125" t="s">
        <v>485</v>
      </c>
      <c r="D708" s="125" t="s">
        <v>457</v>
      </c>
      <c r="E708" s="125" t="s">
        <v>472</v>
      </c>
      <c r="F708" s="126">
        <v>42847.0</v>
      </c>
      <c r="G708" s="127">
        <v>4.14E8</v>
      </c>
      <c r="H708" s="126">
        <v>42852.0</v>
      </c>
      <c r="I708" s="128">
        <v>5641.0</v>
      </c>
      <c r="J708" s="128">
        <v>421.89</v>
      </c>
      <c r="K708" s="128">
        <v>364.69</v>
      </c>
      <c r="L708" s="128">
        <v>2379881.0</v>
      </c>
      <c r="M708" s="128">
        <v>2057216.0</v>
      </c>
      <c r="N708" s="128">
        <v>322665.2</v>
      </c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125" t="s">
        <v>475</v>
      </c>
      <c r="B709" s="125" t="s">
        <v>588</v>
      </c>
      <c r="C709" s="125" t="s">
        <v>456</v>
      </c>
      <c r="D709" s="125" t="s">
        <v>457</v>
      </c>
      <c r="E709" s="125" t="s">
        <v>284</v>
      </c>
      <c r="F709" s="126">
        <v>42607.0</v>
      </c>
      <c r="G709" s="127">
        <v>5.59E8</v>
      </c>
      <c r="H709" s="126">
        <v>42628.0</v>
      </c>
      <c r="I709" s="128">
        <v>7324.0</v>
      </c>
      <c r="J709" s="128">
        <v>152.58</v>
      </c>
      <c r="K709" s="128">
        <v>97.44</v>
      </c>
      <c r="L709" s="128">
        <v>1117496.0</v>
      </c>
      <c r="M709" s="128">
        <v>713650.6</v>
      </c>
      <c r="N709" s="128">
        <v>403845.4</v>
      </c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125" t="s">
        <v>458</v>
      </c>
      <c r="B710" s="125" t="s">
        <v>627</v>
      </c>
      <c r="C710" s="125" t="s">
        <v>456</v>
      </c>
      <c r="D710" s="125" t="s">
        <v>457</v>
      </c>
      <c r="E710" s="125" t="s">
        <v>464</v>
      </c>
      <c r="F710" s="126">
        <v>41212.0</v>
      </c>
      <c r="G710" s="127">
        <v>7.21E8</v>
      </c>
      <c r="H710" s="126">
        <v>41231.0</v>
      </c>
      <c r="I710" s="128">
        <v>8441.0</v>
      </c>
      <c r="J710" s="128">
        <v>152.58</v>
      </c>
      <c r="K710" s="128">
        <v>97.44</v>
      </c>
      <c r="L710" s="128">
        <v>1287928.0</v>
      </c>
      <c r="M710" s="128">
        <v>822491.0</v>
      </c>
      <c r="N710" s="128">
        <v>465436.7</v>
      </c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125" t="s">
        <v>488</v>
      </c>
      <c r="B711" s="125" t="s">
        <v>489</v>
      </c>
      <c r="C711" s="125" t="s">
        <v>478</v>
      </c>
      <c r="D711" s="125" t="s">
        <v>457</v>
      </c>
      <c r="E711" s="125" t="s">
        <v>472</v>
      </c>
      <c r="F711" s="126">
        <v>41576.0</v>
      </c>
      <c r="G711" s="127">
        <v>3.05E8</v>
      </c>
      <c r="H711" s="126">
        <v>41599.0</v>
      </c>
      <c r="I711" s="128">
        <v>9623.0</v>
      </c>
      <c r="J711" s="128">
        <v>651.21</v>
      </c>
      <c r="K711" s="128">
        <v>524.96</v>
      </c>
      <c r="L711" s="128">
        <v>6266594.0</v>
      </c>
      <c r="M711" s="128">
        <v>5051690.0</v>
      </c>
      <c r="N711" s="128">
        <v>1214904.0</v>
      </c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125" t="s">
        <v>458</v>
      </c>
      <c r="B712" s="125" t="s">
        <v>553</v>
      </c>
      <c r="C712" s="125" t="s">
        <v>456</v>
      </c>
      <c r="D712" s="125" t="s">
        <v>454</v>
      </c>
      <c r="E712" s="125" t="s">
        <v>464</v>
      </c>
      <c r="F712" s="126">
        <v>41468.0</v>
      </c>
      <c r="G712" s="127">
        <v>1.38E8</v>
      </c>
      <c r="H712" s="126">
        <v>41489.0</v>
      </c>
      <c r="I712" s="128">
        <v>3529.0</v>
      </c>
      <c r="J712" s="128">
        <v>152.58</v>
      </c>
      <c r="K712" s="128">
        <v>97.44</v>
      </c>
      <c r="L712" s="128">
        <v>538454.8</v>
      </c>
      <c r="M712" s="128">
        <v>343865.8</v>
      </c>
      <c r="N712" s="128">
        <v>194589.1</v>
      </c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125" t="s">
        <v>461</v>
      </c>
      <c r="B713" s="125" t="s">
        <v>629</v>
      </c>
      <c r="C713" s="125" t="s">
        <v>471</v>
      </c>
      <c r="D713" s="125" t="s">
        <v>457</v>
      </c>
      <c r="E713" s="125" t="s">
        <v>472</v>
      </c>
      <c r="F713" s="126">
        <v>40431.0</v>
      </c>
      <c r="G713" s="127">
        <v>2.17E8</v>
      </c>
      <c r="H713" s="126">
        <v>40470.0</v>
      </c>
      <c r="I713" s="128">
        <v>9854.0</v>
      </c>
      <c r="J713" s="128">
        <v>109.28</v>
      </c>
      <c r="K713" s="128">
        <v>35.84</v>
      </c>
      <c r="L713" s="128">
        <v>1076845.0</v>
      </c>
      <c r="M713" s="128">
        <v>353167.4</v>
      </c>
      <c r="N713" s="128">
        <v>723677.8</v>
      </c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125" t="s">
        <v>451</v>
      </c>
      <c r="B714" s="125" t="s">
        <v>543</v>
      </c>
      <c r="C714" s="125" t="s">
        <v>485</v>
      </c>
      <c r="D714" s="125" t="s">
        <v>454</v>
      </c>
      <c r="E714" s="125" t="s">
        <v>189</v>
      </c>
      <c r="F714" s="126">
        <v>41162.0</v>
      </c>
      <c r="G714" s="127">
        <v>1.6E8</v>
      </c>
      <c r="H714" s="126">
        <v>41176.0</v>
      </c>
      <c r="I714" s="128">
        <v>320.0</v>
      </c>
      <c r="J714" s="128">
        <v>421.89</v>
      </c>
      <c r="K714" s="128">
        <v>364.69</v>
      </c>
      <c r="L714" s="128">
        <v>135004.8</v>
      </c>
      <c r="M714" s="128">
        <v>116700.8</v>
      </c>
      <c r="N714" s="128">
        <v>18304.0</v>
      </c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125" t="s">
        <v>458</v>
      </c>
      <c r="B715" s="125" t="s">
        <v>626</v>
      </c>
      <c r="C715" s="125" t="s">
        <v>485</v>
      </c>
      <c r="D715" s="125" t="s">
        <v>457</v>
      </c>
      <c r="E715" s="125" t="s">
        <v>472</v>
      </c>
      <c r="F715" s="126">
        <v>42598.0</v>
      </c>
      <c r="G715" s="127">
        <v>5.53E8</v>
      </c>
      <c r="H715" s="126">
        <v>42622.0</v>
      </c>
      <c r="I715" s="128">
        <v>3682.0</v>
      </c>
      <c r="J715" s="128">
        <v>421.89</v>
      </c>
      <c r="K715" s="128">
        <v>364.69</v>
      </c>
      <c r="L715" s="128">
        <v>1553399.0</v>
      </c>
      <c r="M715" s="128">
        <v>1342789.0</v>
      </c>
      <c r="N715" s="128">
        <v>210610.4</v>
      </c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125" t="s">
        <v>475</v>
      </c>
      <c r="B716" s="125" t="s">
        <v>651</v>
      </c>
      <c r="C716" s="125" t="s">
        <v>456</v>
      </c>
      <c r="D716" s="125" t="s">
        <v>457</v>
      </c>
      <c r="E716" s="125" t="s">
        <v>464</v>
      </c>
      <c r="F716" s="126">
        <v>41300.0</v>
      </c>
      <c r="G716" s="127">
        <v>7.05E8</v>
      </c>
      <c r="H716" s="126">
        <v>41310.0</v>
      </c>
      <c r="I716" s="128">
        <v>727.0</v>
      </c>
      <c r="J716" s="128">
        <v>152.58</v>
      </c>
      <c r="K716" s="128">
        <v>97.44</v>
      </c>
      <c r="L716" s="128">
        <v>110925.7</v>
      </c>
      <c r="M716" s="128">
        <v>70838.88</v>
      </c>
      <c r="N716" s="128">
        <v>40086.78</v>
      </c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125" t="s">
        <v>475</v>
      </c>
      <c r="B717" s="125" t="s">
        <v>640</v>
      </c>
      <c r="C717" s="125" t="s">
        <v>456</v>
      </c>
      <c r="D717" s="125" t="s">
        <v>454</v>
      </c>
      <c r="E717" s="125" t="s">
        <v>464</v>
      </c>
      <c r="F717" s="126">
        <v>41130.0</v>
      </c>
      <c r="G717" s="127">
        <v>8.94E8</v>
      </c>
      <c r="H717" s="126">
        <v>41180.0</v>
      </c>
      <c r="I717" s="128">
        <v>9271.0</v>
      </c>
      <c r="J717" s="128">
        <v>152.58</v>
      </c>
      <c r="K717" s="128">
        <v>97.44</v>
      </c>
      <c r="L717" s="128">
        <v>1414569.0</v>
      </c>
      <c r="M717" s="128">
        <v>903366.2</v>
      </c>
      <c r="N717" s="128">
        <v>511202.9</v>
      </c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125" t="s">
        <v>461</v>
      </c>
      <c r="B718" s="125" t="s">
        <v>629</v>
      </c>
      <c r="C718" s="125" t="s">
        <v>478</v>
      </c>
      <c r="D718" s="125" t="s">
        <v>454</v>
      </c>
      <c r="E718" s="125" t="s">
        <v>472</v>
      </c>
      <c r="F718" s="126">
        <v>40811.0</v>
      </c>
      <c r="G718" s="127">
        <v>1.18E8</v>
      </c>
      <c r="H718" s="126">
        <v>40846.0</v>
      </c>
      <c r="I718" s="128">
        <v>9164.0</v>
      </c>
      <c r="J718" s="128">
        <v>651.21</v>
      </c>
      <c r="K718" s="128">
        <v>524.96</v>
      </c>
      <c r="L718" s="128">
        <v>5967688.0</v>
      </c>
      <c r="M718" s="128">
        <v>4810733.0</v>
      </c>
      <c r="N718" s="128">
        <v>1156955.0</v>
      </c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125" t="s">
        <v>466</v>
      </c>
      <c r="B719" s="125" t="s">
        <v>531</v>
      </c>
      <c r="C719" s="125" t="s">
        <v>456</v>
      </c>
      <c r="D719" s="125" t="s">
        <v>457</v>
      </c>
      <c r="E719" s="125" t="s">
        <v>189</v>
      </c>
      <c r="F719" s="126">
        <v>40834.0</v>
      </c>
      <c r="G719" s="127">
        <v>1.46E8</v>
      </c>
      <c r="H719" s="126">
        <v>40881.0</v>
      </c>
      <c r="I719" s="128">
        <v>7285.0</v>
      </c>
      <c r="J719" s="128">
        <v>152.58</v>
      </c>
      <c r="K719" s="128">
        <v>97.44</v>
      </c>
      <c r="L719" s="128">
        <v>1111545.0</v>
      </c>
      <c r="M719" s="128">
        <v>709850.4</v>
      </c>
      <c r="N719" s="128">
        <v>401694.9</v>
      </c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125" t="s">
        <v>475</v>
      </c>
      <c r="B720" s="125" t="s">
        <v>656</v>
      </c>
      <c r="C720" s="125" t="s">
        <v>471</v>
      </c>
      <c r="D720" s="125" t="s">
        <v>454</v>
      </c>
      <c r="E720" s="125" t="s">
        <v>284</v>
      </c>
      <c r="F720" s="126">
        <v>42083.0</v>
      </c>
      <c r="G720" s="127">
        <v>5.68E8</v>
      </c>
      <c r="H720" s="126">
        <v>42111.0</v>
      </c>
      <c r="I720" s="128">
        <v>2546.0</v>
      </c>
      <c r="J720" s="128">
        <v>109.28</v>
      </c>
      <c r="K720" s="128">
        <v>35.84</v>
      </c>
      <c r="L720" s="128">
        <v>278226.9</v>
      </c>
      <c r="M720" s="128">
        <v>91248.64</v>
      </c>
      <c r="N720" s="128">
        <v>186978.2</v>
      </c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125" t="s">
        <v>458</v>
      </c>
      <c r="B721" s="125" t="s">
        <v>551</v>
      </c>
      <c r="C721" s="125" t="s">
        <v>494</v>
      </c>
      <c r="D721" s="125" t="s">
        <v>454</v>
      </c>
      <c r="E721" s="125" t="s">
        <v>464</v>
      </c>
      <c r="F721" s="126">
        <v>41678.0</v>
      </c>
      <c r="G721" s="127">
        <v>1.42E8</v>
      </c>
      <c r="H721" s="126">
        <v>41689.0</v>
      </c>
      <c r="I721" s="128">
        <v>888.0</v>
      </c>
      <c r="J721" s="128">
        <v>9.33</v>
      </c>
      <c r="K721" s="128">
        <v>6.92</v>
      </c>
      <c r="L721" s="128">
        <v>8285.04</v>
      </c>
      <c r="M721" s="128">
        <v>6144.96</v>
      </c>
      <c r="N721" s="128">
        <v>2140.08</v>
      </c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125" t="s">
        <v>461</v>
      </c>
      <c r="B722" s="125" t="s">
        <v>629</v>
      </c>
      <c r="C722" s="125" t="s">
        <v>460</v>
      </c>
      <c r="D722" s="125" t="s">
        <v>454</v>
      </c>
      <c r="E722" s="125" t="s">
        <v>284</v>
      </c>
      <c r="F722" s="126">
        <v>42664.0</v>
      </c>
      <c r="G722" s="127">
        <v>8.49E8</v>
      </c>
      <c r="H722" s="126">
        <v>42704.0</v>
      </c>
      <c r="I722" s="128">
        <v>286.0</v>
      </c>
      <c r="J722" s="128">
        <v>47.45</v>
      </c>
      <c r="K722" s="128">
        <v>31.79</v>
      </c>
      <c r="L722" s="128">
        <v>13570.7</v>
      </c>
      <c r="M722" s="128">
        <v>9091.94</v>
      </c>
      <c r="N722" s="128">
        <v>4478.76</v>
      </c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125" t="s">
        <v>451</v>
      </c>
      <c r="B723" s="125" t="s">
        <v>455</v>
      </c>
      <c r="C723" s="125" t="s">
        <v>468</v>
      </c>
      <c r="D723" s="125" t="s">
        <v>454</v>
      </c>
      <c r="E723" s="125" t="s">
        <v>472</v>
      </c>
      <c r="F723" s="126">
        <v>41556.0</v>
      </c>
      <c r="G723" s="127">
        <v>2.38E8</v>
      </c>
      <c r="H723" s="126">
        <v>41605.0</v>
      </c>
      <c r="I723" s="128">
        <v>5744.0</v>
      </c>
      <c r="J723" s="128">
        <v>81.73</v>
      </c>
      <c r="K723" s="128">
        <v>56.67</v>
      </c>
      <c r="L723" s="128">
        <v>469457.1</v>
      </c>
      <c r="M723" s="128">
        <v>325512.5</v>
      </c>
      <c r="N723" s="128">
        <v>143944.6</v>
      </c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125" t="s">
        <v>466</v>
      </c>
      <c r="B724" s="125" t="s">
        <v>612</v>
      </c>
      <c r="C724" s="125" t="s">
        <v>456</v>
      </c>
      <c r="D724" s="125" t="s">
        <v>454</v>
      </c>
      <c r="E724" s="125" t="s">
        <v>472</v>
      </c>
      <c r="F724" s="126">
        <v>40792.0</v>
      </c>
      <c r="G724" s="127">
        <v>8.8E8</v>
      </c>
      <c r="H724" s="126">
        <v>40826.0</v>
      </c>
      <c r="I724" s="128">
        <v>4299.0</v>
      </c>
      <c r="J724" s="128">
        <v>152.58</v>
      </c>
      <c r="K724" s="128">
        <v>97.44</v>
      </c>
      <c r="L724" s="128">
        <v>655941.4</v>
      </c>
      <c r="M724" s="128">
        <v>418894.6</v>
      </c>
      <c r="N724" s="128">
        <v>237046.9</v>
      </c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125" t="s">
        <v>458</v>
      </c>
      <c r="B725" s="125" t="s">
        <v>517</v>
      </c>
      <c r="C725" s="125" t="s">
        <v>480</v>
      </c>
      <c r="D725" s="125" t="s">
        <v>457</v>
      </c>
      <c r="E725" s="125" t="s">
        <v>284</v>
      </c>
      <c r="F725" s="126">
        <v>41817.0</v>
      </c>
      <c r="G725" s="127">
        <v>9.16E8</v>
      </c>
      <c r="H725" s="126">
        <v>41848.0</v>
      </c>
      <c r="I725" s="128">
        <v>17.0</v>
      </c>
      <c r="J725" s="128">
        <v>437.2</v>
      </c>
      <c r="K725" s="128">
        <v>263.33</v>
      </c>
      <c r="L725" s="128">
        <v>7432.4</v>
      </c>
      <c r="M725" s="128">
        <v>4476.61</v>
      </c>
      <c r="N725" s="128">
        <v>2955.79</v>
      </c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125" t="s">
        <v>461</v>
      </c>
      <c r="B726" s="125" t="s">
        <v>629</v>
      </c>
      <c r="C726" s="125" t="s">
        <v>463</v>
      </c>
      <c r="D726" s="125" t="s">
        <v>454</v>
      </c>
      <c r="E726" s="125" t="s">
        <v>472</v>
      </c>
      <c r="F726" s="126">
        <v>40930.0</v>
      </c>
      <c r="G726" s="127">
        <v>8.06E8</v>
      </c>
      <c r="H726" s="126">
        <v>40967.0</v>
      </c>
      <c r="I726" s="128">
        <v>8998.0</v>
      </c>
      <c r="J726" s="128">
        <v>205.7</v>
      </c>
      <c r="K726" s="128">
        <v>117.11</v>
      </c>
      <c r="L726" s="128">
        <v>1850889.0</v>
      </c>
      <c r="M726" s="128">
        <v>1053756.0</v>
      </c>
      <c r="N726" s="128">
        <v>797132.8</v>
      </c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125" t="s">
        <v>461</v>
      </c>
      <c r="B727" s="125" t="s">
        <v>481</v>
      </c>
      <c r="C727" s="125" t="s">
        <v>463</v>
      </c>
      <c r="D727" s="125" t="s">
        <v>454</v>
      </c>
      <c r="E727" s="125" t="s">
        <v>189</v>
      </c>
      <c r="F727" s="126">
        <v>41738.0</v>
      </c>
      <c r="G727" s="127">
        <v>1.82E8</v>
      </c>
      <c r="H727" s="126">
        <v>41776.0</v>
      </c>
      <c r="I727" s="128">
        <v>4372.0</v>
      </c>
      <c r="J727" s="128">
        <v>205.7</v>
      </c>
      <c r="K727" s="128">
        <v>117.11</v>
      </c>
      <c r="L727" s="128">
        <v>899320.4</v>
      </c>
      <c r="M727" s="128">
        <v>512004.9</v>
      </c>
      <c r="N727" s="128">
        <v>387315.5</v>
      </c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125" t="s">
        <v>461</v>
      </c>
      <c r="B728" s="125" t="s">
        <v>595</v>
      </c>
      <c r="C728" s="125" t="s">
        <v>494</v>
      </c>
      <c r="D728" s="125" t="s">
        <v>457</v>
      </c>
      <c r="E728" s="125" t="s">
        <v>472</v>
      </c>
      <c r="F728" s="126">
        <v>42700.0</v>
      </c>
      <c r="G728" s="127">
        <v>9.95E8</v>
      </c>
      <c r="H728" s="126">
        <v>42735.0</v>
      </c>
      <c r="I728" s="128">
        <v>1299.0</v>
      </c>
      <c r="J728" s="128">
        <v>9.33</v>
      </c>
      <c r="K728" s="128">
        <v>6.92</v>
      </c>
      <c r="L728" s="128">
        <v>12119.67</v>
      </c>
      <c r="M728" s="128">
        <v>8989.08</v>
      </c>
      <c r="N728" s="128">
        <v>3130.59</v>
      </c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125" t="s">
        <v>475</v>
      </c>
      <c r="B729" s="125" t="s">
        <v>579</v>
      </c>
      <c r="C729" s="125" t="s">
        <v>460</v>
      </c>
      <c r="D729" s="125" t="s">
        <v>454</v>
      </c>
      <c r="E729" s="125" t="s">
        <v>284</v>
      </c>
      <c r="F729" s="126">
        <v>41286.0</v>
      </c>
      <c r="G729" s="127">
        <v>7.68E8</v>
      </c>
      <c r="H729" s="126">
        <v>41302.0</v>
      </c>
      <c r="I729" s="128">
        <v>1971.0</v>
      </c>
      <c r="J729" s="128">
        <v>47.45</v>
      </c>
      <c r="K729" s="128">
        <v>31.79</v>
      </c>
      <c r="L729" s="128">
        <v>93523.95</v>
      </c>
      <c r="M729" s="128">
        <v>62658.09</v>
      </c>
      <c r="N729" s="128">
        <v>30865.86</v>
      </c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125" t="s">
        <v>458</v>
      </c>
      <c r="B730" s="125" t="s">
        <v>505</v>
      </c>
      <c r="C730" s="125" t="s">
        <v>494</v>
      </c>
      <c r="D730" s="125" t="s">
        <v>457</v>
      </c>
      <c r="E730" s="125" t="s">
        <v>464</v>
      </c>
      <c r="F730" s="126">
        <v>40883.0</v>
      </c>
      <c r="G730" s="127">
        <v>2.42E8</v>
      </c>
      <c r="H730" s="126">
        <v>40915.0</v>
      </c>
      <c r="I730" s="128">
        <v>614.0</v>
      </c>
      <c r="J730" s="128">
        <v>9.33</v>
      </c>
      <c r="K730" s="128">
        <v>6.92</v>
      </c>
      <c r="L730" s="128">
        <v>5728.62</v>
      </c>
      <c r="M730" s="128">
        <v>4248.88</v>
      </c>
      <c r="N730" s="128">
        <v>1479.74</v>
      </c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125" t="s">
        <v>475</v>
      </c>
      <c r="B731" s="125" t="s">
        <v>572</v>
      </c>
      <c r="C731" s="125" t="s">
        <v>478</v>
      </c>
      <c r="D731" s="125" t="s">
        <v>457</v>
      </c>
      <c r="E731" s="125" t="s">
        <v>189</v>
      </c>
      <c r="F731" s="126">
        <v>41121.0</v>
      </c>
      <c r="G731" s="127">
        <v>2.31E8</v>
      </c>
      <c r="H731" s="126">
        <v>41143.0</v>
      </c>
      <c r="I731" s="128">
        <v>8480.0</v>
      </c>
      <c r="J731" s="128">
        <v>651.21</v>
      </c>
      <c r="K731" s="128">
        <v>524.96</v>
      </c>
      <c r="L731" s="128">
        <v>5522261.0</v>
      </c>
      <c r="M731" s="128">
        <v>4451661.0</v>
      </c>
      <c r="N731" s="128">
        <v>1070600.0</v>
      </c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125" t="s">
        <v>458</v>
      </c>
      <c r="B732" s="125" t="s">
        <v>555</v>
      </c>
      <c r="C732" s="125" t="s">
        <v>480</v>
      </c>
      <c r="D732" s="125" t="s">
        <v>454</v>
      </c>
      <c r="E732" s="125" t="s">
        <v>189</v>
      </c>
      <c r="F732" s="126">
        <v>42016.0</v>
      </c>
      <c r="G732" s="127">
        <v>2.66E8</v>
      </c>
      <c r="H732" s="126">
        <v>42056.0</v>
      </c>
      <c r="I732" s="128">
        <v>8857.0</v>
      </c>
      <c r="J732" s="128">
        <v>437.2</v>
      </c>
      <c r="K732" s="128">
        <v>263.33</v>
      </c>
      <c r="L732" s="128">
        <v>3872280.0</v>
      </c>
      <c r="M732" s="128">
        <v>2332314.0</v>
      </c>
      <c r="N732" s="128">
        <v>1539967.0</v>
      </c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125" t="s">
        <v>488</v>
      </c>
      <c r="B733" s="125" t="s">
        <v>654</v>
      </c>
      <c r="C733" s="125" t="s">
        <v>514</v>
      </c>
      <c r="D733" s="125" t="s">
        <v>457</v>
      </c>
      <c r="E733" s="125" t="s">
        <v>189</v>
      </c>
      <c r="F733" s="126">
        <v>42592.0</v>
      </c>
      <c r="G733" s="127">
        <v>8.51E8</v>
      </c>
      <c r="H733" s="126">
        <v>42618.0</v>
      </c>
      <c r="I733" s="128">
        <v>2062.0</v>
      </c>
      <c r="J733" s="128">
        <v>668.27</v>
      </c>
      <c r="K733" s="128">
        <v>502.54</v>
      </c>
      <c r="L733" s="128">
        <v>1377973.0</v>
      </c>
      <c r="M733" s="128">
        <v>1036237.0</v>
      </c>
      <c r="N733" s="128">
        <v>341735.3</v>
      </c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125" t="s">
        <v>451</v>
      </c>
      <c r="B734" s="125" t="s">
        <v>593</v>
      </c>
      <c r="C734" s="125" t="s">
        <v>468</v>
      </c>
      <c r="D734" s="125" t="s">
        <v>457</v>
      </c>
      <c r="E734" s="125" t="s">
        <v>464</v>
      </c>
      <c r="F734" s="126">
        <v>42263.0</v>
      </c>
      <c r="G734" s="127">
        <v>3.1E8</v>
      </c>
      <c r="H734" s="126">
        <v>42298.0</v>
      </c>
      <c r="I734" s="128">
        <v>444.0</v>
      </c>
      <c r="J734" s="128">
        <v>81.73</v>
      </c>
      <c r="K734" s="128">
        <v>56.67</v>
      </c>
      <c r="L734" s="128">
        <v>36288.12</v>
      </c>
      <c r="M734" s="128">
        <v>25161.48</v>
      </c>
      <c r="N734" s="128">
        <v>11126.64</v>
      </c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125" t="s">
        <v>458</v>
      </c>
      <c r="B735" s="125" t="s">
        <v>633</v>
      </c>
      <c r="C735" s="125" t="s">
        <v>456</v>
      </c>
      <c r="D735" s="125" t="s">
        <v>454</v>
      </c>
      <c r="E735" s="125" t="s">
        <v>464</v>
      </c>
      <c r="F735" s="126">
        <v>42211.0</v>
      </c>
      <c r="G735" s="127">
        <v>6.37E8</v>
      </c>
      <c r="H735" s="126">
        <v>42220.0</v>
      </c>
      <c r="I735" s="128">
        <v>3382.0</v>
      </c>
      <c r="J735" s="128">
        <v>152.58</v>
      </c>
      <c r="K735" s="128">
        <v>97.44</v>
      </c>
      <c r="L735" s="128">
        <v>516025.6</v>
      </c>
      <c r="M735" s="128">
        <v>329542.1</v>
      </c>
      <c r="N735" s="128">
        <v>186483.5</v>
      </c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125" t="s">
        <v>475</v>
      </c>
      <c r="B736" s="125" t="s">
        <v>513</v>
      </c>
      <c r="C736" s="125" t="s">
        <v>460</v>
      </c>
      <c r="D736" s="125" t="s">
        <v>454</v>
      </c>
      <c r="E736" s="125" t="s">
        <v>472</v>
      </c>
      <c r="F736" s="126">
        <v>41246.0</v>
      </c>
      <c r="G736" s="127">
        <v>7.45E8</v>
      </c>
      <c r="H736" s="126">
        <v>41251.0</v>
      </c>
      <c r="I736" s="128">
        <v>2288.0</v>
      </c>
      <c r="J736" s="128">
        <v>47.45</v>
      </c>
      <c r="K736" s="128">
        <v>31.79</v>
      </c>
      <c r="L736" s="128">
        <v>108565.6</v>
      </c>
      <c r="M736" s="128">
        <v>72735.52</v>
      </c>
      <c r="N736" s="128">
        <v>35830.08</v>
      </c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125" t="s">
        <v>475</v>
      </c>
      <c r="B737" s="125" t="s">
        <v>657</v>
      </c>
      <c r="C737" s="125" t="s">
        <v>514</v>
      </c>
      <c r="D737" s="125" t="s">
        <v>454</v>
      </c>
      <c r="E737" s="125" t="s">
        <v>189</v>
      </c>
      <c r="F737" s="126">
        <v>42711.0</v>
      </c>
      <c r="G737" s="127">
        <v>5.19E8</v>
      </c>
      <c r="H737" s="126">
        <v>42728.0</v>
      </c>
      <c r="I737" s="128">
        <v>5603.0</v>
      </c>
      <c r="J737" s="128">
        <v>668.27</v>
      </c>
      <c r="K737" s="128">
        <v>502.54</v>
      </c>
      <c r="L737" s="128">
        <v>3744317.0</v>
      </c>
      <c r="M737" s="128">
        <v>2815732.0</v>
      </c>
      <c r="N737" s="128">
        <v>928585.2</v>
      </c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125" t="s">
        <v>461</v>
      </c>
      <c r="B738" s="125" t="s">
        <v>586</v>
      </c>
      <c r="C738" s="125" t="s">
        <v>506</v>
      </c>
      <c r="D738" s="125" t="s">
        <v>454</v>
      </c>
      <c r="E738" s="125" t="s">
        <v>284</v>
      </c>
      <c r="F738" s="126">
        <v>42044.0</v>
      </c>
      <c r="G738" s="127">
        <v>3.64E8</v>
      </c>
      <c r="H738" s="126">
        <v>42046.0</v>
      </c>
      <c r="I738" s="128">
        <v>3802.0</v>
      </c>
      <c r="J738" s="128">
        <v>154.06</v>
      </c>
      <c r="K738" s="128">
        <v>90.93</v>
      </c>
      <c r="L738" s="128">
        <v>585736.1</v>
      </c>
      <c r="M738" s="128">
        <v>345715.9</v>
      </c>
      <c r="N738" s="128">
        <v>240020.3</v>
      </c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125" t="s">
        <v>458</v>
      </c>
      <c r="B739" s="125" t="s">
        <v>626</v>
      </c>
      <c r="C739" s="125" t="s">
        <v>468</v>
      </c>
      <c r="D739" s="125" t="s">
        <v>457</v>
      </c>
      <c r="E739" s="125" t="s">
        <v>464</v>
      </c>
      <c r="F739" s="126">
        <v>41985.0</v>
      </c>
      <c r="G739" s="127">
        <v>7.55E8</v>
      </c>
      <c r="H739" s="126">
        <v>41992.0</v>
      </c>
      <c r="I739" s="128">
        <v>4390.0</v>
      </c>
      <c r="J739" s="128">
        <v>81.73</v>
      </c>
      <c r="K739" s="128">
        <v>56.67</v>
      </c>
      <c r="L739" s="128">
        <v>358794.7</v>
      </c>
      <c r="M739" s="128">
        <v>248781.3</v>
      </c>
      <c r="N739" s="128">
        <v>110013.4</v>
      </c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125" t="s">
        <v>451</v>
      </c>
      <c r="B740" s="125" t="s">
        <v>593</v>
      </c>
      <c r="C740" s="125" t="s">
        <v>514</v>
      </c>
      <c r="D740" s="125" t="s">
        <v>454</v>
      </c>
      <c r="E740" s="125" t="s">
        <v>472</v>
      </c>
      <c r="F740" s="126">
        <v>42897.0</v>
      </c>
      <c r="G740" s="127">
        <v>8.86E8</v>
      </c>
      <c r="H740" s="126">
        <v>42937.0</v>
      </c>
      <c r="I740" s="128">
        <v>6902.0</v>
      </c>
      <c r="J740" s="128">
        <v>668.27</v>
      </c>
      <c r="K740" s="128">
        <v>502.54</v>
      </c>
      <c r="L740" s="128">
        <v>4612400.0</v>
      </c>
      <c r="M740" s="128">
        <v>3468531.0</v>
      </c>
      <c r="N740" s="128">
        <v>1143868.0</v>
      </c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125" t="s">
        <v>475</v>
      </c>
      <c r="B741" s="125" t="s">
        <v>601</v>
      </c>
      <c r="C741" s="125" t="s">
        <v>453</v>
      </c>
      <c r="D741" s="125" t="s">
        <v>454</v>
      </c>
      <c r="E741" s="125" t="s">
        <v>284</v>
      </c>
      <c r="F741" s="126">
        <v>41383.0</v>
      </c>
      <c r="G741" s="127">
        <v>9.25E8</v>
      </c>
      <c r="H741" s="126">
        <v>41432.0</v>
      </c>
      <c r="I741" s="128">
        <v>7906.0</v>
      </c>
      <c r="J741" s="128">
        <v>255.28</v>
      </c>
      <c r="K741" s="128">
        <v>159.42</v>
      </c>
      <c r="L741" s="128">
        <v>2018244.0</v>
      </c>
      <c r="M741" s="128">
        <v>1260375.0</v>
      </c>
      <c r="N741" s="128">
        <v>757869.2</v>
      </c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125" t="s">
        <v>461</v>
      </c>
      <c r="B742" s="125" t="s">
        <v>539</v>
      </c>
      <c r="C742" s="125" t="s">
        <v>514</v>
      </c>
      <c r="D742" s="125" t="s">
        <v>454</v>
      </c>
      <c r="E742" s="125" t="s">
        <v>472</v>
      </c>
      <c r="F742" s="126">
        <v>42734.0</v>
      </c>
      <c r="G742" s="127">
        <v>6.56E8</v>
      </c>
      <c r="H742" s="126">
        <v>42777.0</v>
      </c>
      <c r="I742" s="128">
        <v>6001.0</v>
      </c>
      <c r="J742" s="128">
        <v>668.27</v>
      </c>
      <c r="K742" s="128">
        <v>502.54</v>
      </c>
      <c r="L742" s="128">
        <v>4010288.0</v>
      </c>
      <c r="M742" s="128">
        <v>3015743.0</v>
      </c>
      <c r="N742" s="128">
        <v>994545.7</v>
      </c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125" t="s">
        <v>475</v>
      </c>
      <c r="B743" s="125" t="s">
        <v>507</v>
      </c>
      <c r="C743" s="125" t="s">
        <v>460</v>
      </c>
      <c r="D743" s="125" t="s">
        <v>457</v>
      </c>
      <c r="E743" s="125" t="s">
        <v>472</v>
      </c>
      <c r="F743" s="126">
        <v>40181.0</v>
      </c>
      <c r="G743" s="127">
        <v>8.36E8</v>
      </c>
      <c r="H743" s="126">
        <v>40204.0</v>
      </c>
      <c r="I743" s="128">
        <v>6816.0</v>
      </c>
      <c r="J743" s="128">
        <v>47.45</v>
      </c>
      <c r="K743" s="128">
        <v>31.79</v>
      </c>
      <c r="L743" s="128">
        <v>323419.2</v>
      </c>
      <c r="M743" s="128">
        <v>216680.6</v>
      </c>
      <c r="N743" s="128">
        <v>106738.6</v>
      </c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125" t="s">
        <v>466</v>
      </c>
      <c r="B744" s="125" t="s">
        <v>477</v>
      </c>
      <c r="C744" s="125" t="s">
        <v>514</v>
      </c>
      <c r="D744" s="125" t="s">
        <v>457</v>
      </c>
      <c r="E744" s="125" t="s">
        <v>284</v>
      </c>
      <c r="F744" s="126">
        <v>41177.0</v>
      </c>
      <c r="G744" s="127">
        <v>9.42E8</v>
      </c>
      <c r="H744" s="126">
        <v>41177.0</v>
      </c>
      <c r="I744" s="128">
        <v>8013.0</v>
      </c>
      <c r="J744" s="128">
        <v>668.27</v>
      </c>
      <c r="K744" s="128">
        <v>502.54</v>
      </c>
      <c r="L744" s="128">
        <v>5354848.0</v>
      </c>
      <c r="M744" s="128">
        <v>4026853.0</v>
      </c>
      <c r="N744" s="128">
        <v>1327994.0</v>
      </c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125" t="s">
        <v>461</v>
      </c>
      <c r="B745" s="125" t="s">
        <v>525</v>
      </c>
      <c r="C745" s="125" t="s">
        <v>463</v>
      </c>
      <c r="D745" s="125" t="s">
        <v>454</v>
      </c>
      <c r="E745" s="125" t="s">
        <v>472</v>
      </c>
      <c r="F745" s="126">
        <v>41114.0</v>
      </c>
      <c r="G745" s="127">
        <v>5.21E8</v>
      </c>
      <c r="H745" s="126">
        <v>41141.0</v>
      </c>
      <c r="I745" s="128">
        <v>4284.0</v>
      </c>
      <c r="J745" s="128">
        <v>205.7</v>
      </c>
      <c r="K745" s="128">
        <v>117.11</v>
      </c>
      <c r="L745" s="128">
        <v>881218.8</v>
      </c>
      <c r="M745" s="128">
        <v>501699.2</v>
      </c>
      <c r="N745" s="128">
        <v>379519.6</v>
      </c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125" t="s">
        <v>466</v>
      </c>
      <c r="B746" s="125" t="s">
        <v>637</v>
      </c>
      <c r="C746" s="125" t="s">
        <v>456</v>
      </c>
      <c r="D746" s="125" t="s">
        <v>457</v>
      </c>
      <c r="E746" s="125" t="s">
        <v>472</v>
      </c>
      <c r="F746" s="126">
        <v>41306.0</v>
      </c>
      <c r="G746" s="127">
        <v>5.39E8</v>
      </c>
      <c r="H746" s="126">
        <v>41320.0</v>
      </c>
      <c r="I746" s="128">
        <v>2353.0</v>
      </c>
      <c r="J746" s="128">
        <v>152.58</v>
      </c>
      <c r="K746" s="128">
        <v>97.44</v>
      </c>
      <c r="L746" s="128">
        <v>359020.7</v>
      </c>
      <c r="M746" s="128">
        <v>229276.3</v>
      </c>
      <c r="N746" s="128">
        <v>129744.4</v>
      </c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125" t="s">
        <v>461</v>
      </c>
      <c r="B747" s="125" t="s">
        <v>511</v>
      </c>
      <c r="C747" s="125" t="s">
        <v>453</v>
      </c>
      <c r="D747" s="125" t="s">
        <v>457</v>
      </c>
      <c r="E747" s="125" t="s">
        <v>189</v>
      </c>
      <c r="F747" s="126">
        <v>42074.0</v>
      </c>
      <c r="G747" s="127">
        <v>2.35E8</v>
      </c>
      <c r="H747" s="126">
        <v>42089.0</v>
      </c>
      <c r="I747" s="128">
        <v>5974.0</v>
      </c>
      <c r="J747" s="128">
        <v>255.28</v>
      </c>
      <c r="K747" s="128">
        <v>159.42</v>
      </c>
      <c r="L747" s="128">
        <v>1525043.0</v>
      </c>
      <c r="M747" s="128">
        <v>952375.1</v>
      </c>
      <c r="N747" s="128">
        <v>572667.6</v>
      </c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125" t="s">
        <v>461</v>
      </c>
      <c r="B748" s="125" t="s">
        <v>618</v>
      </c>
      <c r="C748" s="125" t="s">
        <v>463</v>
      </c>
      <c r="D748" s="125" t="s">
        <v>454</v>
      </c>
      <c r="E748" s="125" t="s">
        <v>284</v>
      </c>
      <c r="F748" s="126">
        <v>41360.0</v>
      </c>
      <c r="G748" s="127">
        <v>2.66E8</v>
      </c>
      <c r="H748" s="126">
        <v>41407.0</v>
      </c>
      <c r="I748" s="128">
        <v>933.0</v>
      </c>
      <c r="J748" s="128">
        <v>205.7</v>
      </c>
      <c r="K748" s="128">
        <v>117.11</v>
      </c>
      <c r="L748" s="128">
        <v>191918.1</v>
      </c>
      <c r="M748" s="128">
        <v>109263.6</v>
      </c>
      <c r="N748" s="128">
        <v>82654.47</v>
      </c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125" t="s">
        <v>461</v>
      </c>
      <c r="B749" s="125" t="s">
        <v>557</v>
      </c>
      <c r="C749" s="125" t="s">
        <v>453</v>
      </c>
      <c r="D749" s="125" t="s">
        <v>454</v>
      </c>
      <c r="E749" s="125" t="s">
        <v>472</v>
      </c>
      <c r="F749" s="126">
        <v>41645.0</v>
      </c>
      <c r="G749" s="127">
        <v>4.61E8</v>
      </c>
      <c r="H749" s="126">
        <v>41655.0</v>
      </c>
      <c r="I749" s="128">
        <v>49.0</v>
      </c>
      <c r="J749" s="128">
        <v>255.28</v>
      </c>
      <c r="K749" s="128">
        <v>159.42</v>
      </c>
      <c r="L749" s="128">
        <v>12508.72</v>
      </c>
      <c r="M749" s="128">
        <v>7811.58</v>
      </c>
      <c r="N749" s="128">
        <v>4697.14</v>
      </c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125" t="s">
        <v>475</v>
      </c>
      <c r="B750" s="125" t="s">
        <v>619</v>
      </c>
      <c r="C750" s="125" t="s">
        <v>463</v>
      </c>
      <c r="D750" s="125" t="s">
        <v>454</v>
      </c>
      <c r="E750" s="125" t="s">
        <v>189</v>
      </c>
      <c r="F750" s="126">
        <v>40268.0</v>
      </c>
      <c r="G750" s="127">
        <v>2.67E8</v>
      </c>
      <c r="H750" s="126">
        <v>40292.0</v>
      </c>
      <c r="I750" s="128">
        <v>8169.0</v>
      </c>
      <c r="J750" s="128">
        <v>205.7</v>
      </c>
      <c r="K750" s="128">
        <v>117.11</v>
      </c>
      <c r="L750" s="128">
        <v>1680363.0</v>
      </c>
      <c r="M750" s="128">
        <v>956671.6</v>
      </c>
      <c r="N750" s="128">
        <v>723691.7</v>
      </c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125" t="s">
        <v>475</v>
      </c>
      <c r="B751" s="125" t="s">
        <v>574</v>
      </c>
      <c r="C751" s="125" t="s">
        <v>463</v>
      </c>
      <c r="D751" s="125" t="s">
        <v>457</v>
      </c>
      <c r="E751" s="125" t="s">
        <v>472</v>
      </c>
      <c r="F751" s="126">
        <v>41871.0</v>
      </c>
      <c r="G751" s="127">
        <v>1.05E8</v>
      </c>
      <c r="H751" s="126">
        <v>41913.0</v>
      </c>
      <c r="I751" s="128">
        <v>7174.0</v>
      </c>
      <c r="J751" s="128">
        <v>205.7</v>
      </c>
      <c r="K751" s="128">
        <v>117.11</v>
      </c>
      <c r="L751" s="128">
        <v>1475692.0</v>
      </c>
      <c r="M751" s="128">
        <v>840147.1</v>
      </c>
      <c r="N751" s="128">
        <v>635544.7</v>
      </c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125" t="s">
        <v>451</v>
      </c>
      <c r="B752" s="125" t="s">
        <v>609</v>
      </c>
      <c r="C752" s="125" t="s">
        <v>480</v>
      </c>
      <c r="D752" s="125" t="s">
        <v>454</v>
      </c>
      <c r="E752" s="125" t="s">
        <v>464</v>
      </c>
      <c r="F752" s="126">
        <v>40420.0</v>
      </c>
      <c r="G752" s="127">
        <v>9.12E8</v>
      </c>
      <c r="H752" s="126">
        <v>40454.0</v>
      </c>
      <c r="I752" s="128">
        <v>975.0</v>
      </c>
      <c r="J752" s="128">
        <v>437.2</v>
      </c>
      <c r="K752" s="128">
        <v>263.33</v>
      </c>
      <c r="L752" s="128">
        <v>426270.0</v>
      </c>
      <c r="M752" s="128">
        <v>256746.8</v>
      </c>
      <c r="N752" s="128">
        <v>169523.3</v>
      </c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125" t="s">
        <v>466</v>
      </c>
      <c r="B753" s="125" t="s">
        <v>612</v>
      </c>
      <c r="C753" s="125" t="s">
        <v>453</v>
      </c>
      <c r="D753" s="125" t="s">
        <v>457</v>
      </c>
      <c r="E753" s="125" t="s">
        <v>464</v>
      </c>
      <c r="F753" s="126">
        <v>42718.0</v>
      </c>
      <c r="G753" s="127">
        <v>9.98E8</v>
      </c>
      <c r="H753" s="126">
        <v>42724.0</v>
      </c>
      <c r="I753" s="128">
        <v>514.0</v>
      </c>
      <c r="J753" s="128">
        <v>255.28</v>
      </c>
      <c r="K753" s="128">
        <v>159.42</v>
      </c>
      <c r="L753" s="128">
        <v>131213.9</v>
      </c>
      <c r="M753" s="128">
        <v>81941.88</v>
      </c>
      <c r="N753" s="128">
        <v>49272.04</v>
      </c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125" t="s">
        <v>461</v>
      </c>
      <c r="B754" s="125" t="s">
        <v>615</v>
      </c>
      <c r="C754" s="125" t="s">
        <v>468</v>
      </c>
      <c r="D754" s="125" t="s">
        <v>454</v>
      </c>
      <c r="E754" s="125" t="s">
        <v>464</v>
      </c>
      <c r="F754" s="126">
        <v>42127.0</v>
      </c>
      <c r="G754" s="127">
        <v>9.93E8</v>
      </c>
      <c r="H754" s="126">
        <v>42156.0</v>
      </c>
      <c r="I754" s="128">
        <v>8764.0</v>
      </c>
      <c r="J754" s="128">
        <v>81.73</v>
      </c>
      <c r="K754" s="128">
        <v>56.67</v>
      </c>
      <c r="L754" s="128">
        <v>716281.7</v>
      </c>
      <c r="M754" s="128">
        <v>496655.9</v>
      </c>
      <c r="N754" s="128">
        <v>219625.8</v>
      </c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125" t="s">
        <v>458</v>
      </c>
      <c r="B755" s="125" t="s">
        <v>541</v>
      </c>
      <c r="C755" s="125" t="s">
        <v>506</v>
      </c>
      <c r="D755" s="125" t="s">
        <v>457</v>
      </c>
      <c r="E755" s="125" t="s">
        <v>464</v>
      </c>
      <c r="F755" s="126">
        <v>42079.0</v>
      </c>
      <c r="G755" s="127">
        <v>6.98E8</v>
      </c>
      <c r="H755" s="126">
        <v>42089.0</v>
      </c>
      <c r="I755" s="128">
        <v>5731.0</v>
      </c>
      <c r="J755" s="128">
        <v>154.06</v>
      </c>
      <c r="K755" s="128">
        <v>90.93</v>
      </c>
      <c r="L755" s="128">
        <v>882917.9</v>
      </c>
      <c r="M755" s="128">
        <v>521119.8</v>
      </c>
      <c r="N755" s="128">
        <v>361798.0</v>
      </c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125" t="s">
        <v>466</v>
      </c>
      <c r="B756" s="125" t="s">
        <v>637</v>
      </c>
      <c r="C756" s="125" t="s">
        <v>480</v>
      </c>
      <c r="D756" s="125" t="s">
        <v>454</v>
      </c>
      <c r="E756" s="125" t="s">
        <v>284</v>
      </c>
      <c r="F756" s="126">
        <v>40863.0</v>
      </c>
      <c r="G756" s="127">
        <v>4.31E8</v>
      </c>
      <c r="H756" s="126">
        <v>40885.0</v>
      </c>
      <c r="I756" s="128">
        <v>3451.0</v>
      </c>
      <c r="J756" s="128">
        <v>437.2</v>
      </c>
      <c r="K756" s="128">
        <v>263.33</v>
      </c>
      <c r="L756" s="128">
        <v>1508777.0</v>
      </c>
      <c r="M756" s="128">
        <v>908751.8</v>
      </c>
      <c r="N756" s="128">
        <v>600025.4</v>
      </c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125" t="s">
        <v>469</v>
      </c>
      <c r="B757" s="125" t="s">
        <v>470</v>
      </c>
      <c r="C757" s="125" t="s">
        <v>506</v>
      </c>
      <c r="D757" s="125" t="s">
        <v>457</v>
      </c>
      <c r="E757" s="125" t="s">
        <v>284</v>
      </c>
      <c r="F757" s="126">
        <v>41306.0</v>
      </c>
      <c r="G757" s="127">
        <v>5.85E8</v>
      </c>
      <c r="H757" s="126">
        <v>41330.0</v>
      </c>
      <c r="I757" s="128">
        <v>990.0</v>
      </c>
      <c r="J757" s="128">
        <v>154.06</v>
      </c>
      <c r="K757" s="128">
        <v>90.93</v>
      </c>
      <c r="L757" s="128">
        <v>152519.4</v>
      </c>
      <c r="M757" s="128">
        <v>90020.7</v>
      </c>
      <c r="N757" s="128">
        <v>62498.7</v>
      </c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125" t="s">
        <v>451</v>
      </c>
      <c r="B758" s="125" t="s">
        <v>550</v>
      </c>
      <c r="C758" s="125" t="s">
        <v>468</v>
      </c>
      <c r="D758" s="125" t="s">
        <v>457</v>
      </c>
      <c r="E758" s="125" t="s">
        <v>284</v>
      </c>
      <c r="F758" s="126">
        <v>41091.0</v>
      </c>
      <c r="G758" s="127">
        <v>2.7E8</v>
      </c>
      <c r="H758" s="126">
        <v>41130.0</v>
      </c>
      <c r="I758" s="128">
        <v>9449.0</v>
      </c>
      <c r="J758" s="128">
        <v>81.73</v>
      </c>
      <c r="K758" s="128">
        <v>56.67</v>
      </c>
      <c r="L758" s="128">
        <v>772266.8</v>
      </c>
      <c r="M758" s="128">
        <v>535474.8</v>
      </c>
      <c r="N758" s="128">
        <v>236791.9</v>
      </c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125" t="s">
        <v>458</v>
      </c>
      <c r="B759" s="125" t="s">
        <v>459</v>
      </c>
      <c r="C759" s="125" t="s">
        <v>453</v>
      </c>
      <c r="D759" s="125" t="s">
        <v>454</v>
      </c>
      <c r="E759" s="125" t="s">
        <v>284</v>
      </c>
      <c r="F759" s="126">
        <v>42439.0</v>
      </c>
      <c r="G759" s="127">
        <v>4.67E8</v>
      </c>
      <c r="H759" s="126">
        <v>42468.0</v>
      </c>
      <c r="I759" s="128">
        <v>6956.0</v>
      </c>
      <c r="J759" s="128">
        <v>255.28</v>
      </c>
      <c r="K759" s="128">
        <v>159.42</v>
      </c>
      <c r="L759" s="128">
        <v>1775728.0</v>
      </c>
      <c r="M759" s="128">
        <v>1108926.0</v>
      </c>
      <c r="N759" s="128">
        <v>666802.2</v>
      </c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125" t="s">
        <v>466</v>
      </c>
      <c r="B760" s="125" t="s">
        <v>534</v>
      </c>
      <c r="C760" s="125" t="s">
        <v>494</v>
      </c>
      <c r="D760" s="125" t="s">
        <v>457</v>
      </c>
      <c r="E760" s="125" t="s">
        <v>284</v>
      </c>
      <c r="F760" s="126">
        <v>42431.0</v>
      </c>
      <c r="G760" s="127">
        <v>8.79E8</v>
      </c>
      <c r="H760" s="126">
        <v>42449.0</v>
      </c>
      <c r="I760" s="128">
        <v>3673.0</v>
      </c>
      <c r="J760" s="128">
        <v>9.33</v>
      </c>
      <c r="K760" s="128">
        <v>6.92</v>
      </c>
      <c r="L760" s="128">
        <v>34269.09</v>
      </c>
      <c r="M760" s="128">
        <v>25417.16</v>
      </c>
      <c r="N760" s="128">
        <v>8851.93</v>
      </c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125" t="s">
        <v>451</v>
      </c>
      <c r="B761" s="125" t="s">
        <v>452</v>
      </c>
      <c r="C761" s="125" t="s">
        <v>480</v>
      </c>
      <c r="D761" s="125" t="s">
        <v>454</v>
      </c>
      <c r="E761" s="125" t="s">
        <v>284</v>
      </c>
      <c r="F761" s="126">
        <v>42682.0</v>
      </c>
      <c r="G761" s="127">
        <v>3.76E8</v>
      </c>
      <c r="H761" s="126">
        <v>42702.0</v>
      </c>
      <c r="I761" s="128">
        <v>6792.0</v>
      </c>
      <c r="J761" s="128">
        <v>437.2</v>
      </c>
      <c r="K761" s="128">
        <v>263.33</v>
      </c>
      <c r="L761" s="128">
        <v>2969462.0</v>
      </c>
      <c r="M761" s="128">
        <v>1788537.0</v>
      </c>
      <c r="N761" s="128">
        <v>1180925.0</v>
      </c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125" t="s">
        <v>475</v>
      </c>
      <c r="B762" s="125" t="s">
        <v>548</v>
      </c>
      <c r="C762" s="125" t="s">
        <v>494</v>
      </c>
      <c r="D762" s="125" t="s">
        <v>457</v>
      </c>
      <c r="E762" s="125" t="s">
        <v>189</v>
      </c>
      <c r="F762" s="126">
        <v>42432.0</v>
      </c>
      <c r="G762" s="127">
        <v>1.51E8</v>
      </c>
      <c r="H762" s="126">
        <v>42442.0</v>
      </c>
      <c r="I762" s="128">
        <v>5537.0</v>
      </c>
      <c r="J762" s="128">
        <v>9.33</v>
      </c>
      <c r="K762" s="128">
        <v>6.92</v>
      </c>
      <c r="L762" s="128">
        <v>51660.21</v>
      </c>
      <c r="M762" s="128">
        <v>38316.04</v>
      </c>
      <c r="N762" s="128">
        <v>13344.17</v>
      </c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125" t="s">
        <v>475</v>
      </c>
      <c r="B763" s="125" t="s">
        <v>504</v>
      </c>
      <c r="C763" s="125" t="s">
        <v>506</v>
      </c>
      <c r="D763" s="125" t="s">
        <v>457</v>
      </c>
      <c r="E763" s="125" t="s">
        <v>284</v>
      </c>
      <c r="F763" s="126">
        <v>42692.0</v>
      </c>
      <c r="G763" s="127">
        <v>5.67E8</v>
      </c>
      <c r="H763" s="126">
        <v>42696.0</v>
      </c>
      <c r="I763" s="128">
        <v>6162.0</v>
      </c>
      <c r="J763" s="128">
        <v>154.06</v>
      </c>
      <c r="K763" s="128">
        <v>90.93</v>
      </c>
      <c r="L763" s="128">
        <v>949317.7</v>
      </c>
      <c r="M763" s="128">
        <v>560310.7</v>
      </c>
      <c r="N763" s="128">
        <v>389007.1</v>
      </c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125" t="s">
        <v>461</v>
      </c>
      <c r="B764" s="125" t="s">
        <v>556</v>
      </c>
      <c r="C764" s="125" t="s">
        <v>468</v>
      </c>
      <c r="D764" s="125" t="s">
        <v>454</v>
      </c>
      <c r="E764" s="125" t="s">
        <v>189</v>
      </c>
      <c r="F764" s="126">
        <v>42098.0</v>
      </c>
      <c r="G764" s="127">
        <v>7.06E8</v>
      </c>
      <c r="H764" s="126">
        <v>42128.0</v>
      </c>
      <c r="I764" s="128">
        <v>6954.0</v>
      </c>
      <c r="J764" s="128">
        <v>81.73</v>
      </c>
      <c r="K764" s="128">
        <v>56.67</v>
      </c>
      <c r="L764" s="128">
        <v>568350.4</v>
      </c>
      <c r="M764" s="128">
        <v>394083.2</v>
      </c>
      <c r="N764" s="128">
        <v>174267.2</v>
      </c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125" t="s">
        <v>458</v>
      </c>
      <c r="B765" s="125" t="s">
        <v>554</v>
      </c>
      <c r="C765" s="125" t="s">
        <v>471</v>
      </c>
      <c r="D765" s="125" t="s">
        <v>454</v>
      </c>
      <c r="E765" s="125" t="s">
        <v>464</v>
      </c>
      <c r="F765" s="126">
        <v>41055.0</v>
      </c>
      <c r="G765" s="127">
        <v>6.22E8</v>
      </c>
      <c r="H765" s="126">
        <v>41057.0</v>
      </c>
      <c r="I765" s="128">
        <v>3231.0</v>
      </c>
      <c r="J765" s="128">
        <v>109.28</v>
      </c>
      <c r="K765" s="128">
        <v>35.84</v>
      </c>
      <c r="L765" s="128">
        <v>353083.7</v>
      </c>
      <c r="M765" s="128">
        <v>115799.0</v>
      </c>
      <c r="N765" s="128">
        <v>237284.6</v>
      </c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125" t="s">
        <v>466</v>
      </c>
      <c r="B766" s="125" t="s">
        <v>534</v>
      </c>
      <c r="C766" s="125" t="s">
        <v>460</v>
      </c>
      <c r="D766" s="125" t="s">
        <v>457</v>
      </c>
      <c r="E766" s="125" t="s">
        <v>472</v>
      </c>
      <c r="F766" s="126">
        <v>40359.0</v>
      </c>
      <c r="G766" s="127">
        <v>8.89E8</v>
      </c>
      <c r="H766" s="126">
        <v>40360.0</v>
      </c>
      <c r="I766" s="128">
        <v>2340.0</v>
      </c>
      <c r="J766" s="128">
        <v>47.45</v>
      </c>
      <c r="K766" s="128">
        <v>31.79</v>
      </c>
      <c r="L766" s="128">
        <v>111033.0</v>
      </c>
      <c r="M766" s="128">
        <v>74388.6</v>
      </c>
      <c r="N766" s="128">
        <v>36644.4</v>
      </c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125" t="s">
        <v>458</v>
      </c>
      <c r="B767" s="125" t="s">
        <v>487</v>
      </c>
      <c r="C767" s="125" t="s">
        <v>485</v>
      </c>
      <c r="D767" s="125" t="s">
        <v>454</v>
      </c>
      <c r="E767" s="125" t="s">
        <v>284</v>
      </c>
      <c r="F767" s="126">
        <v>42578.0</v>
      </c>
      <c r="G767" s="127">
        <v>3.49E8</v>
      </c>
      <c r="H767" s="126">
        <v>42624.0</v>
      </c>
      <c r="I767" s="128">
        <v>8662.0</v>
      </c>
      <c r="J767" s="128">
        <v>421.89</v>
      </c>
      <c r="K767" s="128">
        <v>364.69</v>
      </c>
      <c r="L767" s="128">
        <v>3654411.0</v>
      </c>
      <c r="M767" s="128">
        <v>3158945.0</v>
      </c>
      <c r="N767" s="128">
        <v>495466.4</v>
      </c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125" t="s">
        <v>461</v>
      </c>
      <c r="B768" s="125" t="s">
        <v>618</v>
      </c>
      <c r="C768" s="125" t="s">
        <v>485</v>
      </c>
      <c r="D768" s="125" t="s">
        <v>457</v>
      </c>
      <c r="E768" s="125" t="s">
        <v>464</v>
      </c>
      <c r="F768" s="126">
        <v>42370.0</v>
      </c>
      <c r="G768" s="127">
        <v>1.68E8</v>
      </c>
      <c r="H768" s="126">
        <v>42385.0</v>
      </c>
      <c r="I768" s="128">
        <v>8607.0</v>
      </c>
      <c r="J768" s="128">
        <v>421.89</v>
      </c>
      <c r="K768" s="128">
        <v>364.69</v>
      </c>
      <c r="L768" s="128">
        <v>3631207.0</v>
      </c>
      <c r="M768" s="128">
        <v>3138887.0</v>
      </c>
      <c r="N768" s="128">
        <v>492320.4</v>
      </c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125" t="s">
        <v>466</v>
      </c>
      <c r="B769" s="125" t="s">
        <v>598</v>
      </c>
      <c r="C769" s="125" t="s">
        <v>494</v>
      </c>
      <c r="D769" s="125" t="s">
        <v>457</v>
      </c>
      <c r="E769" s="125" t="s">
        <v>189</v>
      </c>
      <c r="F769" s="126">
        <v>41698.0</v>
      </c>
      <c r="G769" s="127">
        <v>6.79E8</v>
      </c>
      <c r="H769" s="126">
        <v>41727.0</v>
      </c>
      <c r="I769" s="128">
        <v>5619.0</v>
      </c>
      <c r="J769" s="128">
        <v>9.33</v>
      </c>
      <c r="K769" s="128">
        <v>6.92</v>
      </c>
      <c r="L769" s="128">
        <v>52425.27</v>
      </c>
      <c r="M769" s="128">
        <v>38883.48</v>
      </c>
      <c r="N769" s="128">
        <v>13541.79</v>
      </c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125" t="s">
        <v>469</v>
      </c>
      <c r="B770" s="125" t="s">
        <v>650</v>
      </c>
      <c r="C770" s="125" t="s">
        <v>514</v>
      </c>
      <c r="D770" s="125" t="s">
        <v>454</v>
      </c>
      <c r="E770" s="125" t="s">
        <v>284</v>
      </c>
      <c r="F770" s="126">
        <v>42912.0</v>
      </c>
      <c r="G770" s="127">
        <v>9.37E8</v>
      </c>
      <c r="H770" s="126">
        <v>42932.0</v>
      </c>
      <c r="I770" s="128">
        <v>5171.0</v>
      </c>
      <c r="J770" s="128">
        <v>668.27</v>
      </c>
      <c r="K770" s="128">
        <v>502.54</v>
      </c>
      <c r="L770" s="128">
        <v>3455624.0</v>
      </c>
      <c r="M770" s="128">
        <v>2598634.0</v>
      </c>
      <c r="N770" s="128">
        <v>856989.8</v>
      </c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125" t="s">
        <v>466</v>
      </c>
      <c r="B771" s="125" t="s">
        <v>477</v>
      </c>
      <c r="C771" s="125" t="s">
        <v>471</v>
      </c>
      <c r="D771" s="125" t="s">
        <v>454</v>
      </c>
      <c r="E771" s="125" t="s">
        <v>189</v>
      </c>
      <c r="F771" s="126">
        <v>41839.0</v>
      </c>
      <c r="G771" s="127">
        <v>9.68E8</v>
      </c>
      <c r="H771" s="126">
        <v>41848.0</v>
      </c>
      <c r="I771" s="128">
        <v>9767.0</v>
      </c>
      <c r="J771" s="128">
        <v>109.28</v>
      </c>
      <c r="K771" s="128">
        <v>35.84</v>
      </c>
      <c r="L771" s="128">
        <v>1067338.0</v>
      </c>
      <c r="M771" s="128">
        <v>350049.3</v>
      </c>
      <c r="N771" s="128">
        <v>717288.5</v>
      </c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125" t="s">
        <v>475</v>
      </c>
      <c r="B772" s="125" t="s">
        <v>623</v>
      </c>
      <c r="C772" s="125" t="s">
        <v>480</v>
      </c>
      <c r="D772" s="125" t="s">
        <v>457</v>
      </c>
      <c r="E772" s="125" t="s">
        <v>464</v>
      </c>
      <c r="F772" s="126">
        <v>40223.0</v>
      </c>
      <c r="G772" s="127">
        <v>4.16E8</v>
      </c>
      <c r="H772" s="126">
        <v>40254.0</v>
      </c>
      <c r="I772" s="128">
        <v>3945.0</v>
      </c>
      <c r="J772" s="128">
        <v>437.2</v>
      </c>
      <c r="K772" s="128">
        <v>263.33</v>
      </c>
      <c r="L772" s="128">
        <v>1724754.0</v>
      </c>
      <c r="M772" s="128">
        <v>1038837.0</v>
      </c>
      <c r="N772" s="128">
        <v>685917.2</v>
      </c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125" t="s">
        <v>469</v>
      </c>
      <c r="B773" s="125" t="s">
        <v>495</v>
      </c>
      <c r="C773" s="125" t="s">
        <v>453</v>
      </c>
      <c r="D773" s="125" t="s">
        <v>457</v>
      </c>
      <c r="E773" s="125" t="s">
        <v>284</v>
      </c>
      <c r="F773" s="126">
        <v>41585.0</v>
      </c>
      <c r="G773" s="127">
        <v>7.98E8</v>
      </c>
      <c r="H773" s="126">
        <v>41592.0</v>
      </c>
      <c r="I773" s="128">
        <v>9270.0</v>
      </c>
      <c r="J773" s="128">
        <v>255.28</v>
      </c>
      <c r="K773" s="128">
        <v>159.42</v>
      </c>
      <c r="L773" s="128">
        <v>2366446.0</v>
      </c>
      <c r="M773" s="128">
        <v>1477823.0</v>
      </c>
      <c r="N773" s="128">
        <v>888622.2</v>
      </c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125" t="s">
        <v>451</v>
      </c>
      <c r="B774" s="125" t="s">
        <v>655</v>
      </c>
      <c r="C774" s="125" t="s">
        <v>456</v>
      </c>
      <c r="D774" s="125" t="s">
        <v>454</v>
      </c>
      <c r="E774" s="125" t="s">
        <v>284</v>
      </c>
      <c r="F774" s="126">
        <v>41533.0</v>
      </c>
      <c r="G774" s="127">
        <v>5.49E8</v>
      </c>
      <c r="H774" s="126">
        <v>41557.0</v>
      </c>
      <c r="I774" s="128">
        <v>9342.0</v>
      </c>
      <c r="J774" s="128">
        <v>152.58</v>
      </c>
      <c r="K774" s="128">
        <v>97.44</v>
      </c>
      <c r="L774" s="128">
        <v>1425402.0</v>
      </c>
      <c r="M774" s="128">
        <v>910284.5</v>
      </c>
      <c r="N774" s="128">
        <v>515117.9</v>
      </c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125" t="s">
        <v>461</v>
      </c>
      <c r="B775" s="125" t="s">
        <v>525</v>
      </c>
      <c r="C775" s="125" t="s">
        <v>494</v>
      </c>
      <c r="D775" s="125" t="s">
        <v>454</v>
      </c>
      <c r="E775" s="125" t="s">
        <v>472</v>
      </c>
      <c r="F775" s="126">
        <v>40213.0</v>
      </c>
      <c r="G775" s="127">
        <v>8.75E8</v>
      </c>
      <c r="H775" s="126">
        <v>40217.0</v>
      </c>
      <c r="I775" s="128">
        <v>4791.0</v>
      </c>
      <c r="J775" s="128">
        <v>9.33</v>
      </c>
      <c r="K775" s="128">
        <v>6.92</v>
      </c>
      <c r="L775" s="128">
        <v>44700.03</v>
      </c>
      <c r="M775" s="128">
        <v>33153.72</v>
      </c>
      <c r="N775" s="128">
        <v>11546.31</v>
      </c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125" t="s">
        <v>475</v>
      </c>
      <c r="B776" s="125" t="s">
        <v>561</v>
      </c>
      <c r="C776" s="125" t="s">
        <v>456</v>
      </c>
      <c r="D776" s="125" t="s">
        <v>454</v>
      </c>
      <c r="E776" s="125" t="s">
        <v>472</v>
      </c>
      <c r="F776" s="126">
        <v>40930.0</v>
      </c>
      <c r="G776" s="127">
        <v>8.04E8</v>
      </c>
      <c r="H776" s="126">
        <v>40967.0</v>
      </c>
      <c r="I776" s="128">
        <v>8278.0</v>
      </c>
      <c r="J776" s="128">
        <v>152.58</v>
      </c>
      <c r="K776" s="128">
        <v>97.44</v>
      </c>
      <c r="L776" s="128">
        <v>1263057.0</v>
      </c>
      <c r="M776" s="128">
        <v>806608.3</v>
      </c>
      <c r="N776" s="128">
        <v>456448.9</v>
      </c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125" t="s">
        <v>458</v>
      </c>
      <c r="B777" s="125" t="s">
        <v>583</v>
      </c>
      <c r="C777" s="125" t="s">
        <v>480</v>
      </c>
      <c r="D777" s="125" t="s">
        <v>454</v>
      </c>
      <c r="E777" s="125" t="s">
        <v>472</v>
      </c>
      <c r="F777" s="126">
        <v>40457.0</v>
      </c>
      <c r="G777" s="127">
        <v>3.32E8</v>
      </c>
      <c r="H777" s="126">
        <v>40504.0</v>
      </c>
      <c r="I777" s="128">
        <v>9495.0</v>
      </c>
      <c r="J777" s="128">
        <v>437.2</v>
      </c>
      <c r="K777" s="128">
        <v>263.33</v>
      </c>
      <c r="L777" s="128">
        <v>4151214.0</v>
      </c>
      <c r="M777" s="128">
        <v>2500318.0</v>
      </c>
      <c r="N777" s="128">
        <v>1650896.0</v>
      </c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125" t="s">
        <v>458</v>
      </c>
      <c r="B778" s="125" t="s">
        <v>633</v>
      </c>
      <c r="C778" s="125" t="s">
        <v>485</v>
      </c>
      <c r="D778" s="125" t="s">
        <v>457</v>
      </c>
      <c r="E778" s="125" t="s">
        <v>472</v>
      </c>
      <c r="F778" s="126">
        <v>41494.0</v>
      </c>
      <c r="G778" s="127">
        <v>8.77E8</v>
      </c>
      <c r="H778" s="126">
        <v>41515.0</v>
      </c>
      <c r="I778" s="128">
        <v>166.0</v>
      </c>
      <c r="J778" s="128">
        <v>421.89</v>
      </c>
      <c r="K778" s="128">
        <v>364.69</v>
      </c>
      <c r="L778" s="128">
        <v>70033.74</v>
      </c>
      <c r="M778" s="128">
        <v>60538.54</v>
      </c>
      <c r="N778" s="128">
        <v>9495.2</v>
      </c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125" t="s">
        <v>461</v>
      </c>
      <c r="B779" s="125" t="s">
        <v>557</v>
      </c>
      <c r="C779" s="125" t="s">
        <v>506</v>
      </c>
      <c r="D779" s="125" t="s">
        <v>454</v>
      </c>
      <c r="E779" s="125" t="s">
        <v>189</v>
      </c>
      <c r="F779" s="126">
        <v>40210.0</v>
      </c>
      <c r="G779" s="127">
        <v>3.25E8</v>
      </c>
      <c r="H779" s="126">
        <v>40249.0</v>
      </c>
      <c r="I779" s="128">
        <v>9046.0</v>
      </c>
      <c r="J779" s="128">
        <v>154.06</v>
      </c>
      <c r="K779" s="128">
        <v>90.93</v>
      </c>
      <c r="L779" s="128">
        <v>1393627.0</v>
      </c>
      <c r="M779" s="128">
        <v>822552.8</v>
      </c>
      <c r="N779" s="128">
        <v>571074.0</v>
      </c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125" t="s">
        <v>461</v>
      </c>
      <c r="B780" s="125" t="s">
        <v>539</v>
      </c>
      <c r="C780" s="125" t="s">
        <v>514</v>
      </c>
      <c r="D780" s="125" t="s">
        <v>454</v>
      </c>
      <c r="E780" s="125" t="s">
        <v>464</v>
      </c>
      <c r="F780" s="126">
        <v>41463.0</v>
      </c>
      <c r="G780" s="127">
        <v>6.86E8</v>
      </c>
      <c r="H780" s="126">
        <v>41503.0</v>
      </c>
      <c r="I780" s="128">
        <v>6921.0</v>
      </c>
      <c r="J780" s="128">
        <v>668.27</v>
      </c>
      <c r="K780" s="128">
        <v>502.54</v>
      </c>
      <c r="L780" s="128">
        <v>4625097.0</v>
      </c>
      <c r="M780" s="128">
        <v>3478079.0</v>
      </c>
      <c r="N780" s="128">
        <v>1147017.0</v>
      </c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125" t="s">
        <v>475</v>
      </c>
      <c r="B781" s="125" t="s">
        <v>521</v>
      </c>
      <c r="C781" s="125" t="s">
        <v>460</v>
      </c>
      <c r="D781" s="125" t="s">
        <v>457</v>
      </c>
      <c r="E781" s="125" t="s">
        <v>189</v>
      </c>
      <c r="F781" s="126">
        <v>40821.0</v>
      </c>
      <c r="G781" s="127">
        <v>4.36E8</v>
      </c>
      <c r="H781" s="126">
        <v>40823.0</v>
      </c>
      <c r="I781" s="128">
        <v>1608.0</v>
      </c>
      <c r="J781" s="128">
        <v>47.45</v>
      </c>
      <c r="K781" s="128">
        <v>31.79</v>
      </c>
      <c r="L781" s="128">
        <v>76299.6</v>
      </c>
      <c r="M781" s="128">
        <v>51118.32</v>
      </c>
      <c r="N781" s="128">
        <v>25181.28</v>
      </c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125" t="s">
        <v>461</v>
      </c>
      <c r="B782" s="125" t="s">
        <v>638</v>
      </c>
      <c r="C782" s="125" t="s">
        <v>453</v>
      </c>
      <c r="D782" s="125" t="s">
        <v>454</v>
      </c>
      <c r="E782" s="125" t="s">
        <v>284</v>
      </c>
      <c r="F782" s="126">
        <v>42536.0</v>
      </c>
      <c r="G782" s="127">
        <v>3.75E8</v>
      </c>
      <c r="H782" s="126">
        <v>42555.0</v>
      </c>
      <c r="I782" s="128">
        <v>2956.0</v>
      </c>
      <c r="J782" s="128">
        <v>255.28</v>
      </c>
      <c r="K782" s="128">
        <v>159.42</v>
      </c>
      <c r="L782" s="128">
        <v>754607.7</v>
      </c>
      <c r="M782" s="128">
        <v>471245.5</v>
      </c>
      <c r="N782" s="128">
        <v>283362.2</v>
      </c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125" t="s">
        <v>475</v>
      </c>
      <c r="B783" s="125" t="s">
        <v>536</v>
      </c>
      <c r="C783" s="125" t="s">
        <v>463</v>
      </c>
      <c r="D783" s="125" t="s">
        <v>457</v>
      </c>
      <c r="E783" s="125" t="s">
        <v>464</v>
      </c>
      <c r="F783" s="126">
        <v>41568.0</v>
      </c>
      <c r="G783" s="127">
        <v>4.71E8</v>
      </c>
      <c r="H783" s="126">
        <v>41587.0</v>
      </c>
      <c r="I783" s="128">
        <v>7845.0</v>
      </c>
      <c r="J783" s="128">
        <v>205.7</v>
      </c>
      <c r="K783" s="128">
        <v>117.11</v>
      </c>
      <c r="L783" s="128">
        <v>1613717.0</v>
      </c>
      <c r="M783" s="128">
        <v>918728.0</v>
      </c>
      <c r="N783" s="128">
        <v>694988.6</v>
      </c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125" t="s">
        <v>458</v>
      </c>
      <c r="B784" s="125" t="s">
        <v>487</v>
      </c>
      <c r="C784" s="125" t="s">
        <v>460</v>
      </c>
      <c r="D784" s="125" t="s">
        <v>457</v>
      </c>
      <c r="E784" s="125" t="s">
        <v>284</v>
      </c>
      <c r="F784" s="126">
        <v>41566.0</v>
      </c>
      <c r="G784" s="127">
        <v>3.13E8</v>
      </c>
      <c r="H784" s="126">
        <v>41614.0</v>
      </c>
      <c r="I784" s="128">
        <v>5185.0</v>
      </c>
      <c r="J784" s="128">
        <v>47.45</v>
      </c>
      <c r="K784" s="128">
        <v>31.79</v>
      </c>
      <c r="L784" s="128">
        <v>246028.3</v>
      </c>
      <c r="M784" s="128">
        <v>164831.2</v>
      </c>
      <c r="N784" s="128">
        <v>81197.1</v>
      </c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125" t="s">
        <v>458</v>
      </c>
      <c r="B785" s="125" t="s">
        <v>582</v>
      </c>
      <c r="C785" s="125" t="s">
        <v>468</v>
      </c>
      <c r="D785" s="125" t="s">
        <v>454</v>
      </c>
      <c r="E785" s="125" t="s">
        <v>464</v>
      </c>
      <c r="F785" s="126">
        <v>42417.0</v>
      </c>
      <c r="G785" s="127">
        <v>4.61E8</v>
      </c>
      <c r="H785" s="126">
        <v>42451.0</v>
      </c>
      <c r="I785" s="128">
        <v>920.0</v>
      </c>
      <c r="J785" s="128">
        <v>81.73</v>
      </c>
      <c r="K785" s="128">
        <v>56.67</v>
      </c>
      <c r="L785" s="128">
        <v>75191.6</v>
      </c>
      <c r="M785" s="128">
        <v>52136.4</v>
      </c>
      <c r="N785" s="128">
        <v>23055.2</v>
      </c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125" t="s">
        <v>475</v>
      </c>
      <c r="B786" s="125" t="s">
        <v>649</v>
      </c>
      <c r="C786" s="125" t="s">
        <v>468</v>
      </c>
      <c r="D786" s="125" t="s">
        <v>454</v>
      </c>
      <c r="E786" s="125" t="s">
        <v>464</v>
      </c>
      <c r="F786" s="126">
        <v>41634.0</v>
      </c>
      <c r="G786" s="127">
        <v>1.95E8</v>
      </c>
      <c r="H786" s="126">
        <v>41660.0</v>
      </c>
      <c r="I786" s="128">
        <v>3023.0</v>
      </c>
      <c r="J786" s="128">
        <v>81.73</v>
      </c>
      <c r="K786" s="128">
        <v>56.67</v>
      </c>
      <c r="L786" s="128">
        <v>247069.8</v>
      </c>
      <c r="M786" s="128">
        <v>171313.4</v>
      </c>
      <c r="N786" s="128">
        <v>75756.38</v>
      </c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125" t="s">
        <v>451</v>
      </c>
      <c r="B787" s="125" t="s">
        <v>646</v>
      </c>
      <c r="C787" s="125" t="s">
        <v>456</v>
      </c>
      <c r="D787" s="125" t="s">
        <v>457</v>
      </c>
      <c r="E787" s="125" t="s">
        <v>284</v>
      </c>
      <c r="F787" s="126">
        <v>41263.0</v>
      </c>
      <c r="G787" s="127">
        <v>6.65E8</v>
      </c>
      <c r="H787" s="126">
        <v>41267.0</v>
      </c>
      <c r="I787" s="128">
        <v>6499.0</v>
      </c>
      <c r="J787" s="128">
        <v>152.58</v>
      </c>
      <c r="K787" s="128">
        <v>97.44</v>
      </c>
      <c r="L787" s="128">
        <v>991617.4</v>
      </c>
      <c r="M787" s="128">
        <v>633262.6</v>
      </c>
      <c r="N787" s="128">
        <v>358354.9</v>
      </c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125" t="s">
        <v>475</v>
      </c>
      <c r="B788" s="125" t="s">
        <v>585</v>
      </c>
      <c r="C788" s="125" t="s">
        <v>456</v>
      </c>
      <c r="D788" s="125" t="s">
        <v>454</v>
      </c>
      <c r="E788" s="125" t="s">
        <v>284</v>
      </c>
      <c r="F788" s="126">
        <v>40977.0</v>
      </c>
      <c r="G788" s="127">
        <v>8.4E8</v>
      </c>
      <c r="H788" s="126">
        <v>40994.0</v>
      </c>
      <c r="I788" s="128">
        <v>8384.0</v>
      </c>
      <c r="J788" s="128">
        <v>152.58</v>
      </c>
      <c r="K788" s="128">
        <v>97.44</v>
      </c>
      <c r="L788" s="128">
        <v>1279231.0</v>
      </c>
      <c r="M788" s="128">
        <v>816937.0</v>
      </c>
      <c r="N788" s="128">
        <v>462293.8</v>
      </c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125" t="s">
        <v>475</v>
      </c>
      <c r="B789" s="125" t="s">
        <v>548</v>
      </c>
      <c r="C789" s="125" t="s">
        <v>480</v>
      </c>
      <c r="D789" s="125" t="s">
        <v>457</v>
      </c>
      <c r="E789" s="125" t="s">
        <v>464</v>
      </c>
      <c r="F789" s="126">
        <v>42221.0</v>
      </c>
      <c r="G789" s="127">
        <v>6.62E8</v>
      </c>
      <c r="H789" s="126">
        <v>42271.0</v>
      </c>
      <c r="I789" s="128">
        <v>2745.0</v>
      </c>
      <c r="J789" s="128">
        <v>437.2</v>
      </c>
      <c r="K789" s="128">
        <v>263.33</v>
      </c>
      <c r="L789" s="128">
        <v>1200114.0</v>
      </c>
      <c r="M789" s="128">
        <v>722840.9</v>
      </c>
      <c r="N789" s="128">
        <v>477273.2</v>
      </c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125" t="s">
        <v>469</v>
      </c>
      <c r="B790" s="125" t="s">
        <v>520</v>
      </c>
      <c r="C790" s="125" t="s">
        <v>506</v>
      </c>
      <c r="D790" s="125" t="s">
        <v>454</v>
      </c>
      <c r="E790" s="125" t="s">
        <v>284</v>
      </c>
      <c r="F790" s="126">
        <v>41294.0</v>
      </c>
      <c r="G790" s="127">
        <v>5.92E8</v>
      </c>
      <c r="H790" s="126">
        <v>41343.0</v>
      </c>
      <c r="I790" s="128">
        <v>5681.0</v>
      </c>
      <c r="J790" s="128">
        <v>154.06</v>
      </c>
      <c r="K790" s="128">
        <v>90.93</v>
      </c>
      <c r="L790" s="128">
        <v>875214.9</v>
      </c>
      <c r="M790" s="128">
        <v>516573.3</v>
      </c>
      <c r="N790" s="128">
        <v>358641.5</v>
      </c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125" t="s">
        <v>475</v>
      </c>
      <c r="B791" s="125" t="s">
        <v>628</v>
      </c>
      <c r="C791" s="125" t="s">
        <v>471</v>
      </c>
      <c r="D791" s="125" t="s">
        <v>454</v>
      </c>
      <c r="E791" s="125" t="s">
        <v>472</v>
      </c>
      <c r="F791" s="126">
        <v>41801.0</v>
      </c>
      <c r="G791" s="127">
        <v>2.6E8</v>
      </c>
      <c r="H791" s="126">
        <v>41802.0</v>
      </c>
      <c r="I791" s="128">
        <v>322.0</v>
      </c>
      <c r="J791" s="128">
        <v>109.28</v>
      </c>
      <c r="K791" s="128">
        <v>35.84</v>
      </c>
      <c r="L791" s="128">
        <v>35188.16</v>
      </c>
      <c r="M791" s="128">
        <v>11540.48</v>
      </c>
      <c r="N791" s="128">
        <v>23647.68</v>
      </c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125" t="s">
        <v>461</v>
      </c>
      <c r="B792" s="125" t="s">
        <v>595</v>
      </c>
      <c r="C792" s="125" t="s">
        <v>485</v>
      </c>
      <c r="D792" s="125" t="s">
        <v>457</v>
      </c>
      <c r="E792" s="125" t="s">
        <v>284</v>
      </c>
      <c r="F792" s="126">
        <v>42205.0</v>
      </c>
      <c r="G792" s="127">
        <v>7.19E8</v>
      </c>
      <c r="H792" s="126">
        <v>42212.0</v>
      </c>
      <c r="I792" s="128">
        <v>1829.0</v>
      </c>
      <c r="J792" s="128">
        <v>421.89</v>
      </c>
      <c r="K792" s="128">
        <v>364.69</v>
      </c>
      <c r="L792" s="128">
        <v>771636.8</v>
      </c>
      <c r="M792" s="128">
        <v>667018.0</v>
      </c>
      <c r="N792" s="128">
        <v>104618.8</v>
      </c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125" t="s">
        <v>458</v>
      </c>
      <c r="B793" s="125" t="s">
        <v>606</v>
      </c>
      <c r="C793" s="125" t="s">
        <v>480</v>
      </c>
      <c r="D793" s="125" t="s">
        <v>457</v>
      </c>
      <c r="E793" s="125" t="s">
        <v>284</v>
      </c>
      <c r="F793" s="126">
        <v>42738.0</v>
      </c>
      <c r="G793" s="127">
        <v>3.91E8</v>
      </c>
      <c r="H793" s="126">
        <v>42743.0</v>
      </c>
      <c r="I793" s="128">
        <v>2394.0</v>
      </c>
      <c r="J793" s="128">
        <v>437.2</v>
      </c>
      <c r="K793" s="128">
        <v>263.33</v>
      </c>
      <c r="L793" s="128">
        <v>1046657.0</v>
      </c>
      <c r="M793" s="128">
        <v>630412.0</v>
      </c>
      <c r="N793" s="128">
        <v>416244.8</v>
      </c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125" t="s">
        <v>461</v>
      </c>
      <c r="B794" s="125" t="s">
        <v>510</v>
      </c>
      <c r="C794" s="125" t="s">
        <v>468</v>
      </c>
      <c r="D794" s="125" t="s">
        <v>457</v>
      </c>
      <c r="E794" s="125" t="s">
        <v>464</v>
      </c>
      <c r="F794" s="126">
        <v>41258.0</v>
      </c>
      <c r="G794" s="127">
        <v>9.17E8</v>
      </c>
      <c r="H794" s="126">
        <v>41304.0</v>
      </c>
      <c r="I794" s="128">
        <v>6241.0</v>
      </c>
      <c r="J794" s="128">
        <v>81.73</v>
      </c>
      <c r="K794" s="128">
        <v>56.67</v>
      </c>
      <c r="L794" s="128">
        <v>510076.9</v>
      </c>
      <c r="M794" s="128">
        <v>353677.5</v>
      </c>
      <c r="N794" s="128">
        <v>156399.5</v>
      </c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125" t="s">
        <v>469</v>
      </c>
      <c r="B795" s="125" t="s">
        <v>530</v>
      </c>
      <c r="C795" s="125" t="s">
        <v>453</v>
      </c>
      <c r="D795" s="125" t="s">
        <v>457</v>
      </c>
      <c r="E795" s="125" t="s">
        <v>464</v>
      </c>
      <c r="F795" s="126">
        <v>42924.0</v>
      </c>
      <c r="G795" s="127">
        <v>4.11E8</v>
      </c>
      <c r="H795" s="126">
        <v>42943.0</v>
      </c>
      <c r="I795" s="128">
        <v>4626.0</v>
      </c>
      <c r="J795" s="128">
        <v>255.28</v>
      </c>
      <c r="K795" s="128">
        <v>159.42</v>
      </c>
      <c r="L795" s="128">
        <v>1180925.0</v>
      </c>
      <c r="M795" s="128">
        <v>737476.9</v>
      </c>
      <c r="N795" s="128">
        <v>443448.4</v>
      </c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125" t="s">
        <v>458</v>
      </c>
      <c r="B796" s="125" t="s">
        <v>622</v>
      </c>
      <c r="C796" s="125" t="s">
        <v>506</v>
      </c>
      <c r="D796" s="125" t="s">
        <v>457</v>
      </c>
      <c r="E796" s="125" t="s">
        <v>284</v>
      </c>
      <c r="F796" s="126">
        <v>42223.0</v>
      </c>
      <c r="G796" s="127">
        <v>2.04E8</v>
      </c>
      <c r="H796" s="126">
        <v>42250.0</v>
      </c>
      <c r="I796" s="128">
        <v>833.0</v>
      </c>
      <c r="J796" s="128">
        <v>154.06</v>
      </c>
      <c r="K796" s="128">
        <v>90.93</v>
      </c>
      <c r="L796" s="128">
        <v>128332.0</v>
      </c>
      <c r="M796" s="128">
        <v>75744.69</v>
      </c>
      <c r="N796" s="128">
        <v>52587.29</v>
      </c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125" t="s">
        <v>475</v>
      </c>
      <c r="B797" s="125" t="s">
        <v>600</v>
      </c>
      <c r="C797" s="125" t="s">
        <v>468</v>
      </c>
      <c r="D797" s="125" t="s">
        <v>454</v>
      </c>
      <c r="E797" s="125" t="s">
        <v>284</v>
      </c>
      <c r="F797" s="126">
        <v>40944.0</v>
      </c>
      <c r="G797" s="127">
        <v>8.01E8</v>
      </c>
      <c r="H797" s="126">
        <v>40954.0</v>
      </c>
      <c r="I797" s="128">
        <v>5180.0</v>
      </c>
      <c r="J797" s="128">
        <v>81.73</v>
      </c>
      <c r="K797" s="128">
        <v>56.67</v>
      </c>
      <c r="L797" s="128">
        <v>423361.4</v>
      </c>
      <c r="M797" s="128">
        <v>293550.6</v>
      </c>
      <c r="N797" s="128">
        <v>129810.8</v>
      </c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125" t="s">
        <v>458</v>
      </c>
      <c r="B798" s="125" t="s">
        <v>652</v>
      </c>
      <c r="C798" s="125" t="s">
        <v>485</v>
      </c>
      <c r="D798" s="125" t="s">
        <v>457</v>
      </c>
      <c r="E798" s="125" t="s">
        <v>464</v>
      </c>
      <c r="F798" s="126">
        <v>41265.0</v>
      </c>
      <c r="G798" s="127">
        <v>5.25E8</v>
      </c>
      <c r="H798" s="126">
        <v>41291.0</v>
      </c>
      <c r="I798" s="128">
        <v>17.0</v>
      </c>
      <c r="J798" s="128">
        <v>421.89</v>
      </c>
      <c r="K798" s="128">
        <v>364.69</v>
      </c>
      <c r="L798" s="128">
        <v>7172.13</v>
      </c>
      <c r="M798" s="128">
        <v>6199.73</v>
      </c>
      <c r="N798" s="128">
        <v>972.4</v>
      </c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125" t="s">
        <v>458</v>
      </c>
      <c r="B799" s="125" t="s">
        <v>540</v>
      </c>
      <c r="C799" s="125" t="s">
        <v>460</v>
      </c>
      <c r="D799" s="125" t="s">
        <v>454</v>
      </c>
      <c r="E799" s="125" t="s">
        <v>284</v>
      </c>
      <c r="F799" s="126">
        <v>41605.0</v>
      </c>
      <c r="G799" s="127">
        <v>4.69E8</v>
      </c>
      <c r="H799" s="126">
        <v>41619.0</v>
      </c>
      <c r="I799" s="128">
        <v>4723.0</v>
      </c>
      <c r="J799" s="128">
        <v>47.45</v>
      </c>
      <c r="K799" s="128">
        <v>31.79</v>
      </c>
      <c r="L799" s="128">
        <v>224106.4</v>
      </c>
      <c r="M799" s="128">
        <v>150144.2</v>
      </c>
      <c r="N799" s="128">
        <v>73962.18</v>
      </c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125" t="s">
        <v>466</v>
      </c>
      <c r="B800" s="125" t="s">
        <v>568</v>
      </c>
      <c r="C800" s="125" t="s">
        <v>478</v>
      </c>
      <c r="D800" s="125" t="s">
        <v>457</v>
      </c>
      <c r="E800" s="125" t="s">
        <v>464</v>
      </c>
      <c r="F800" s="126">
        <v>40772.0</v>
      </c>
      <c r="G800" s="127">
        <v>4.48E8</v>
      </c>
      <c r="H800" s="126">
        <v>40804.0</v>
      </c>
      <c r="I800" s="128">
        <v>708.0</v>
      </c>
      <c r="J800" s="128">
        <v>651.21</v>
      </c>
      <c r="K800" s="128">
        <v>524.96</v>
      </c>
      <c r="L800" s="128">
        <v>461056.7</v>
      </c>
      <c r="M800" s="128">
        <v>371671.7</v>
      </c>
      <c r="N800" s="128">
        <v>89385.0</v>
      </c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125" t="s">
        <v>469</v>
      </c>
      <c r="B801" s="125" t="s">
        <v>650</v>
      </c>
      <c r="C801" s="125" t="s">
        <v>471</v>
      </c>
      <c r="D801" s="125" t="s">
        <v>454</v>
      </c>
      <c r="E801" s="125" t="s">
        <v>472</v>
      </c>
      <c r="F801" s="126">
        <v>42111.0</v>
      </c>
      <c r="G801" s="127">
        <v>3.46E8</v>
      </c>
      <c r="H801" s="126">
        <v>42134.0</v>
      </c>
      <c r="I801" s="128">
        <v>6417.0</v>
      </c>
      <c r="J801" s="128">
        <v>109.28</v>
      </c>
      <c r="K801" s="128">
        <v>35.84</v>
      </c>
      <c r="L801" s="128">
        <v>701249.8</v>
      </c>
      <c r="M801" s="128">
        <v>229985.3</v>
      </c>
      <c r="N801" s="128">
        <v>471264.5</v>
      </c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125" t="s">
        <v>451</v>
      </c>
      <c r="B802" s="125" t="s">
        <v>497</v>
      </c>
      <c r="C802" s="125" t="s">
        <v>494</v>
      </c>
      <c r="D802" s="125" t="s">
        <v>454</v>
      </c>
      <c r="E802" s="125" t="s">
        <v>472</v>
      </c>
      <c r="F802" s="126">
        <v>41057.0</v>
      </c>
      <c r="G802" s="127">
        <v>5.68E8</v>
      </c>
      <c r="H802" s="126">
        <v>41102.0</v>
      </c>
      <c r="I802" s="128">
        <v>2321.0</v>
      </c>
      <c r="J802" s="128">
        <v>9.33</v>
      </c>
      <c r="K802" s="128">
        <v>6.92</v>
      </c>
      <c r="L802" s="128">
        <v>21654.93</v>
      </c>
      <c r="M802" s="128">
        <v>16061.32</v>
      </c>
      <c r="N802" s="128">
        <v>5593.61</v>
      </c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125" t="s">
        <v>458</v>
      </c>
      <c r="B803" s="125" t="s">
        <v>610</v>
      </c>
      <c r="C803" s="125" t="s">
        <v>514</v>
      </c>
      <c r="D803" s="125" t="s">
        <v>457</v>
      </c>
      <c r="E803" s="125" t="s">
        <v>472</v>
      </c>
      <c r="F803" s="126">
        <v>40352.0</v>
      </c>
      <c r="G803" s="127">
        <v>6.89E8</v>
      </c>
      <c r="H803" s="126">
        <v>40397.0</v>
      </c>
      <c r="I803" s="128">
        <v>5926.0</v>
      </c>
      <c r="J803" s="128">
        <v>668.27</v>
      </c>
      <c r="K803" s="128">
        <v>502.54</v>
      </c>
      <c r="L803" s="128">
        <v>3960168.0</v>
      </c>
      <c r="M803" s="128">
        <v>2978052.0</v>
      </c>
      <c r="N803" s="128">
        <v>982116.0</v>
      </c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125" t="s">
        <v>469</v>
      </c>
      <c r="B804" s="125" t="s">
        <v>632</v>
      </c>
      <c r="C804" s="125" t="s">
        <v>453</v>
      </c>
      <c r="D804" s="125" t="s">
        <v>454</v>
      </c>
      <c r="E804" s="125" t="s">
        <v>189</v>
      </c>
      <c r="F804" s="126">
        <v>40359.0</v>
      </c>
      <c r="G804" s="127">
        <v>8.04E8</v>
      </c>
      <c r="H804" s="126">
        <v>40389.0</v>
      </c>
      <c r="I804" s="128">
        <v>6768.0</v>
      </c>
      <c r="J804" s="128">
        <v>255.28</v>
      </c>
      <c r="K804" s="128">
        <v>159.42</v>
      </c>
      <c r="L804" s="128">
        <v>1727735.0</v>
      </c>
      <c r="M804" s="128">
        <v>1078955.0</v>
      </c>
      <c r="N804" s="128">
        <v>648780.5</v>
      </c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125" t="s">
        <v>488</v>
      </c>
      <c r="B805" s="125" t="s">
        <v>645</v>
      </c>
      <c r="C805" s="125" t="s">
        <v>456</v>
      </c>
      <c r="D805" s="125" t="s">
        <v>457</v>
      </c>
      <c r="E805" s="125" t="s">
        <v>189</v>
      </c>
      <c r="F805" s="126">
        <v>40447.0</v>
      </c>
      <c r="G805" s="127">
        <v>1.79E8</v>
      </c>
      <c r="H805" s="126">
        <v>40497.0</v>
      </c>
      <c r="I805" s="128">
        <v>1415.0</v>
      </c>
      <c r="J805" s="128">
        <v>152.58</v>
      </c>
      <c r="K805" s="128">
        <v>97.44</v>
      </c>
      <c r="L805" s="128">
        <v>215900.7</v>
      </c>
      <c r="M805" s="128">
        <v>137877.6</v>
      </c>
      <c r="N805" s="128">
        <v>78023.1</v>
      </c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125" t="s">
        <v>475</v>
      </c>
      <c r="B806" s="125" t="s">
        <v>536</v>
      </c>
      <c r="C806" s="125" t="s">
        <v>480</v>
      </c>
      <c r="D806" s="125" t="s">
        <v>457</v>
      </c>
      <c r="E806" s="125" t="s">
        <v>472</v>
      </c>
      <c r="F806" s="126">
        <v>40375.0</v>
      </c>
      <c r="G806" s="127">
        <v>3.99E8</v>
      </c>
      <c r="H806" s="126">
        <v>40387.0</v>
      </c>
      <c r="I806" s="128">
        <v>8465.0</v>
      </c>
      <c r="J806" s="128">
        <v>437.2</v>
      </c>
      <c r="K806" s="128">
        <v>263.33</v>
      </c>
      <c r="L806" s="128">
        <v>3700898.0</v>
      </c>
      <c r="M806" s="128">
        <v>2229088.0</v>
      </c>
      <c r="N806" s="128">
        <v>1471810.0</v>
      </c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125" t="s">
        <v>475</v>
      </c>
      <c r="B807" s="125" t="s">
        <v>602</v>
      </c>
      <c r="C807" s="125" t="s">
        <v>478</v>
      </c>
      <c r="D807" s="125" t="s">
        <v>454</v>
      </c>
      <c r="E807" s="125" t="s">
        <v>464</v>
      </c>
      <c r="F807" s="126">
        <v>41672.0</v>
      </c>
      <c r="G807" s="127">
        <v>4.22E8</v>
      </c>
      <c r="H807" s="126">
        <v>41691.0</v>
      </c>
      <c r="I807" s="128">
        <v>3548.0</v>
      </c>
      <c r="J807" s="128">
        <v>651.21</v>
      </c>
      <c r="K807" s="128">
        <v>524.96</v>
      </c>
      <c r="L807" s="128">
        <v>2310493.0</v>
      </c>
      <c r="M807" s="128">
        <v>1862558.0</v>
      </c>
      <c r="N807" s="128">
        <v>447935.0</v>
      </c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125" t="s">
        <v>461</v>
      </c>
      <c r="B808" s="125" t="s">
        <v>615</v>
      </c>
      <c r="C808" s="125" t="s">
        <v>506</v>
      </c>
      <c r="D808" s="125" t="s">
        <v>457</v>
      </c>
      <c r="E808" s="125" t="s">
        <v>284</v>
      </c>
      <c r="F808" s="126">
        <v>40725.0</v>
      </c>
      <c r="G808" s="127">
        <v>6.24E8</v>
      </c>
      <c r="H808" s="126">
        <v>40755.0</v>
      </c>
      <c r="I808" s="128">
        <v>4324.0</v>
      </c>
      <c r="J808" s="128">
        <v>154.06</v>
      </c>
      <c r="K808" s="128">
        <v>90.93</v>
      </c>
      <c r="L808" s="128">
        <v>666155.4</v>
      </c>
      <c r="M808" s="128">
        <v>393181.3</v>
      </c>
      <c r="N808" s="128">
        <v>272974.1</v>
      </c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125" t="s">
        <v>469</v>
      </c>
      <c r="B809" s="125" t="s">
        <v>632</v>
      </c>
      <c r="C809" s="125" t="s">
        <v>463</v>
      </c>
      <c r="D809" s="125" t="s">
        <v>454</v>
      </c>
      <c r="E809" s="125" t="s">
        <v>284</v>
      </c>
      <c r="F809" s="126">
        <v>41227.0</v>
      </c>
      <c r="G809" s="127">
        <v>5.52E8</v>
      </c>
      <c r="H809" s="126">
        <v>41275.0</v>
      </c>
      <c r="I809" s="128">
        <v>5488.0</v>
      </c>
      <c r="J809" s="128">
        <v>205.7</v>
      </c>
      <c r="K809" s="128">
        <v>117.11</v>
      </c>
      <c r="L809" s="128">
        <v>1128882.0</v>
      </c>
      <c r="M809" s="128">
        <v>642699.7</v>
      </c>
      <c r="N809" s="128">
        <v>486181.9</v>
      </c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125" t="s">
        <v>451</v>
      </c>
      <c r="B810" s="125" t="s">
        <v>523</v>
      </c>
      <c r="C810" s="125" t="s">
        <v>485</v>
      </c>
      <c r="D810" s="125" t="s">
        <v>454</v>
      </c>
      <c r="E810" s="125" t="s">
        <v>464</v>
      </c>
      <c r="F810" s="126">
        <v>41724.0</v>
      </c>
      <c r="G810" s="127">
        <v>2.72E8</v>
      </c>
      <c r="H810" s="126">
        <v>41759.0</v>
      </c>
      <c r="I810" s="128">
        <v>3762.0</v>
      </c>
      <c r="J810" s="128">
        <v>421.89</v>
      </c>
      <c r="K810" s="128">
        <v>364.69</v>
      </c>
      <c r="L810" s="128">
        <v>1587150.0</v>
      </c>
      <c r="M810" s="128">
        <v>1371964.0</v>
      </c>
      <c r="N810" s="128">
        <v>215186.4</v>
      </c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125" t="s">
        <v>458</v>
      </c>
      <c r="B811" s="125" t="s">
        <v>613</v>
      </c>
      <c r="C811" s="125" t="s">
        <v>478</v>
      </c>
      <c r="D811" s="125" t="s">
        <v>454</v>
      </c>
      <c r="E811" s="125" t="s">
        <v>189</v>
      </c>
      <c r="F811" s="126">
        <v>42538.0</v>
      </c>
      <c r="G811" s="127">
        <v>8.23E8</v>
      </c>
      <c r="H811" s="126">
        <v>42583.0</v>
      </c>
      <c r="I811" s="128">
        <v>2900.0</v>
      </c>
      <c r="J811" s="128">
        <v>651.21</v>
      </c>
      <c r="K811" s="128">
        <v>524.96</v>
      </c>
      <c r="L811" s="128">
        <v>1888509.0</v>
      </c>
      <c r="M811" s="128">
        <v>1522384.0</v>
      </c>
      <c r="N811" s="128">
        <v>366125.0</v>
      </c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125" t="s">
        <v>475</v>
      </c>
      <c r="B812" s="125" t="s">
        <v>585</v>
      </c>
      <c r="C812" s="125" t="s">
        <v>468</v>
      </c>
      <c r="D812" s="125" t="s">
        <v>457</v>
      </c>
      <c r="E812" s="125" t="s">
        <v>464</v>
      </c>
      <c r="F812" s="126">
        <v>41610.0</v>
      </c>
      <c r="G812" s="127">
        <v>1.63E8</v>
      </c>
      <c r="H812" s="126">
        <v>41650.0</v>
      </c>
      <c r="I812" s="128">
        <v>8690.0</v>
      </c>
      <c r="J812" s="128">
        <v>81.73</v>
      </c>
      <c r="K812" s="128">
        <v>56.67</v>
      </c>
      <c r="L812" s="128">
        <v>710233.7</v>
      </c>
      <c r="M812" s="128">
        <v>492462.3</v>
      </c>
      <c r="N812" s="128">
        <v>217771.4</v>
      </c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125" t="s">
        <v>451</v>
      </c>
      <c r="B813" s="125" t="s">
        <v>596</v>
      </c>
      <c r="C813" s="125" t="s">
        <v>514</v>
      </c>
      <c r="D813" s="125" t="s">
        <v>454</v>
      </c>
      <c r="E813" s="125" t="s">
        <v>189</v>
      </c>
      <c r="F813" s="126">
        <v>41423.0</v>
      </c>
      <c r="G813" s="127">
        <v>8.19E8</v>
      </c>
      <c r="H813" s="126">
        <v>41450.0</v>
      </c>
      <c r="I813" s="128">
        <v>3948.0</v>
      </c>
      <c r="J813" s="128">
        <v>668.27</v>
      </c>
      <c r="K813" s="128">
        <v>502.54</v>
      </c>
      <c r="L813" s="128">
        <v>2638330.0</v>
      </c>
      <c r="M813" s="128">
        <v>1984028.0</v>
      </c>
      <c r="N813" s="128">
        <v>654302.0</v>
      </c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125" t="s">
        <v>458</v>
      </c>
      <c r="B814" s="125" t="s">
        <v>567</v>
      </c>
      <c r="C814" s="125" t="s">
        <v>494</v>
      </c>
      <c r="D814" s="125" t="s">
        <v>457</v>
      </c>
      <c r="E814" s="125" t="s">
        <v>464</v>
      </c>
      <c r="F814" s="126">
        <v>42080.0</v>
      </c>
      <c r="G814" s="127">
        <v>4.4E8</v>
      </c>
      <c r="H814" s="126">
        <v>42101.0</v>
      </c>
      <c r="I814" s="128">
        <v>3524.0</v>
      </c>
      <c r="J814" s="128">
        <v>9.33</v>
      </c>
      <c r="K814" s="128">
        <v>6.92</v>
      </c>
      <c r="L814" s="128">
        <v>32878.92</v>
      </c>
      <c r="M814" s="128">
        <v>24386.08</v>
      </c>
      <c r="N814" s="128">
        <v>8492.84</v>
      </c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125" t="s">
        <v>461</v>
      </c>
      <c r="B815" s="125" t="s">
        <v>595</v>
      </c>
      <c r="C815" s="125" t="s">
        <v>460</v>
      </c>
      <c r="D815" s="125" t="s">
        <v>457</v>
      </c>
      <c r="E815" s="125" t="s">
        <v>472</v>
      </c>
      <c r="F815" s="126">
        <v>42691.0</v>
      </c>
      <c r="G815" s="127">
        <v>3.45E8</v>
      </c>
      <c r="H815" s="126">
        <v>42720.0</v>
      </c>
      <c r="I815" s="128">
        <v>9296.0</v>
      </c>
      <c r="J815" s="128">
        <v>47.45</v>
      </c>
      <c r="K815" s="128">
        <v>31.79</v>
      </c>
      <c r="L815" s="128">
        <v>441095.2</v>
      </c>
      <c r="M815" s="128">
        <v>295519.8</v>
      </c>
      <c r="N815" s="128">
        <v>145575.4</v>
      </c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125" t="s">
        <v>475</v>
      </c>
      <c r="B816" s="125" t="s">
        <v>635</v>
      </c>
      <c r="C816" s="125" t="s">
        <v>453</v>
      </c>
      <c r="D816" s="125" t="s">
        <v>457</v>
      </c>
      <c r="E816" s="125" t="s">
        <v>189</v>
      </c>
      <c r="F816" s="126">
        <v>42755.0</v>
      </c>
      <c r="G816" s="127">
        <v>5.72E8</v>
      </c>
      <c r="H816" s="126">
        <v>42772.0</v>
      </c>
      <c r="I816" s="128">
        <v>5177.0</v>
      </c>
      <c r="J816" s="128">
        <v>255.28</v>
      </c>
      <c r="K816" s="128">
        <v>159.42</v>
      </c>
      <c r="L816" s="128">
        <v>1321585.0</v>
      </c>
      <c r="M816" s="128">
        <v>825317.3</v>
      </c>
      <c r="N816" s="128">
        <v>496267.2</v>
      </c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125" t="s">
        <v>475</v>
      </c>
      <c r="B817" s="125" t="s">
        <v>649</v>
      </c>
      <c r="C817" s="125" t="s">
        <v>460</v>
      </c>
      <c r="D817" s="125" t="s">
        <v>457</v>
      </c>
      <c r="E817" s="125" t="s">
        <v>189</v>
      </c>
      <c r="F817" s="126">
        <v>40777.0</v>
      </c>
      <c r="G817" s="127">
        <v>3.33E8</v>
      </c>
      <c r="H817" s="126">
        <v>40821.0</v>
      </c>
      <c r="I817" s="128">
        <v>2108.0</v>
      </c>
      <c r="J817" s="128">
        <v>47.45</v>
      </c>
      <c r="K817" s="128">
        <v>31.79</v>
      </c>
      <c r="L817" s="128">
        <v>100024.6</v>
      </c>
      <c r="M817" s="128">
        <v>67013.32</v>
      </c>
      <c r="N817" s="128">
        <v>33011.28</v>
      </c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125" t="s">
        <v>458</v>
      </c>
      <c r="B818" s="125" t="s">
        <v>559</v>
      </c>
      <c r="C818" s="125" t="s">
        <v>456</v>
      </c>
      <c r="D818" s="125" t="s">
        <v>454</v>
      </c>
      <c r="E818" s="125" t="s">
        <v>472</v>
      </c>
      <c r="F818" s="126">
        <v>41183.0</v>
      </c>
      <c r="G818" s="127">
        <v>2.55E8</v>
      </c>
      <c r="H818" s="126">
        <v>41212.0</v>
      </c>
      <c r="I818" s="128">
        <v>3064.0</v>
      </c>
      <c r="J818" s="128">
        <v>152.58</v>
      </c>
      <c r="K818" s="128">
        <v>97.44</v>
      </c>
      <c r="L818" s="128">
        <v>467505.1</v>
      </c>
      <c r="M818" s="128">
        <v>298556.2</v>
      </c>
      <c r="N818" s="128">
        <v>168949.0</v>
      </c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125" t="s">
        <v>469</v>
      </c>
      <c r="B819" s="125" t="s">
        <v>520</v>
      </c>
      <c r="C819" s="125" t="s">
        <v>480</v>
      </c>
      <c r="D819" s="125" t="s">
        <v>454</v>
      </c>
      <c r="E819" s="125" t="s">
        <v>472</v>
      </c>
      <c r="F819" s="126">
        <v>41873.0</v>
      </c>
      <c r="G819" s="127">
        <v>1.4E8</v>
      </c>
      <c r="H819" s="126">
        <v>41903.0</v>
      </c>
      <c r="I819" s="128">
        <v>8048.0</v>
      </c>
      <c r="J819" s="128">
        <v>437.2</v>
      </c>
      <c r="K819" s="128">
        <v>263.33</v>
      </c>
      <c r="L819" s="128">
        <v>3518586.0</v>
      </c>
      <c r="M819" s="128">
        <v>2119280.0</v>
      </c>
      <c r="N819" s="128">
        <v>1399306.0</v>
      </c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125" t="s">
        <v>466</v>
      </c>
      <c r="B820" s="125" t="s">
        <v>625</v>
      </c>
      <c r="C820" s="125" t="s">
        <v>471</v>
      </c>
      <c r="D820" s="125" t="s">
        <v>454</v>
      </c>
      <c r="E820" s="125" t="s">
        <v>189</v>
      </c>
      <c r="F820" s="126">
        <v>41135.0</v>
      </c>
      <c r="G820" s="127">
        <v>3.07E8</v>
      </c>
      <c r="H820" s="126">
        <v>41154.0</v>
      </c>
      <c r="I820" s="128">
        <v>9098.0</v>
      </c>
      <c r="J820" s="128">
        <v>109.28</v>
      </c>
      <c r="K820" s="128">
        <v>35.84</v>
      </c>
      <c r="L820" s="128">
        <v>994229.4</v>
      </c>
      <c r="M820" s="128">
        <v>326072.3</v>
      </c>
      <c r="N820" s="128">
        <v>668157.1</v>
      </c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125" t="s">
        <v>461</v>
      </c>
      <c r="B821" s="125" t="s">
        <v>611</v>
      </c>
      <c r="C821" s="125" t="s">
        <v>460</v>
      </c>
      <c r="D821" s="125" t="s">
        <v>457</v>
      </c>
      <c r="E821" s="125" t="s">
        <v>189</v>
      </c>
      <c r="F821" s="126">
        <v>41796.0</v>
      </c>
      <c r="G821" s="127">
        <v>2.47E8</v>
      </c>
      <c r="H821" s="126">
        <v>41802.0</v>
      </c>
      <c r="I821" s="128">
        <v>5280.0</v>
      </c>
      <c r="J821" s="128">
        <v>47.45</v>
      </c>
      <c r="K821" s="128">
        <v>31.79</v>
      </c>
      <c r="L821" s="128">
        <v>250536.0</v>
      </c>
      <c r="M821" s="128">
        <v>167851.2</v>
      </c>
      <c r="N821" s="128">
        <v>82684.8</v>
      </c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125" t="s">
        <v>461</v>
      </c>
      <c r="B822" s="125" t="s">
        <v>557</v>
      </c>
      <c r="C822" s="125" t="s">
        <v>478</v>
      </c>
      <c r="D822" s="125" t="s">
        <v>454</v>
      </c>
      <c r="E822" s="125" t="s">
        <v>189</v>
      </c>
      <c r="F822" s="126">
        <v>41541.0</v>
      </c>
      <c r="G822" s="127">
        <v>8.71E8</v>
      </c>
      <c r="H822" s="126">
        <v>41556.0</v>
      </c>
      <c r="I822" s="128">
        <v>7694.0</v>
      </c>
      <c r="J822" s="128">
        <v>651.21</v>
      </c>
      <c r="K822" s="128">
        <v>524.96</v>
      </c>
      <c r="L822" s="128">
        <v>5010410.0</v>
      </c>
      <c r="M822" s="128">
        <v>4039042.0</v>
      </c>
      <c r="N822" s="128">
        <v>971367.5</v>
      </c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125" t="s">
        <v>451</v>
      </c>
      <c r="B823" s="125" t="s">
        <v>455</v>
      </c>
      <c r="C823" s="125" t="s">
        <v>494</v>
      </c>
      <c r="D823" s="125" t="s">
        <v>454</v>
      </c>
      <c r="E823" s="125" t="s">
        <v>189</v>
      </c>
      <c r="F823" s="126">
        <v>42590.0</v>
      </c>
      <c r="G823" s="127">
        <v>4.61E8</v>
      </c>
      <c r="H823" s="126">
        <v>42596.0</v>
      </c>
      <c r="I823" s="128">
        <v>4469.0</v>
      </c>
      <c r="J823" s="128">
        <v>9.33</v>
      </c>
      <c r="K823" s="128">
        <v>6.92</v>
      </c>
      <c r="L823" s="128">
        <v>41695.77</v>
      </c>
      <c r="M823" s="128">
        <v>30925.48</v>
      </c>
      <c r="N823" s="128">
        <v>10770.29</v>
      </c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125" t="s">
        <v>475</v>
      </c>
      <c r="B824" s="125" t="s">
        <v>549</v>
      </c>
      <c r="C824" s="125" t="s">
        <v>480</v>
      </c>
      <c r="D824" s="125" t="s">
        <v>457</v>
      </c>
      <c r="E824" s="125" t="s">
        <v>189</v>
      </c>
      <c r="F824" s="126">
        <v>42022.0</v>
      </c>
      <c r="G824" s="127">
        <v>5.18E8</v>
      </c>
      <c r="H824" s="126">
        <v>42026.0</v>
      </c>
      <c r="I824" s="128">
        <v>5766.0</v>
      </c>
      <c r="J824" s="128">
        <v>437.2</v>
      </c>
      <c r="K824" s="128">
        <v>263.33</v>
      </c>
      <c r="L824" s="128">
        <v>2520895.0</v>
      </c>
      <c r="M824" s="128">
        <v>1518361.0</v>
      </c>
      <c r="N824" s="128">
        <v>1002534.0</v>
      </c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125" t="s">
        <v>475</v>
      </c>
      <c r="B825" s="125" t="s">
        <v>588</v>
      </c>
      <c r="C825" s="125" t="s">
        <v>460</v>
      </c>
      <c r="D825" s="125" t="s">
        <v>457</v>
      </c>
      <c r="E825" s="125" t="s">
        <v>189</v>
      </c>
      <c r="F825" s="126">
        <v>41455.0</v>
      </c>
      <c r="G825" s="127">
        <v>8.14E8</v>
      </c>
      <c r="H825" s="126">
        <v>41478.0</v>
      </c>
      <c r="I825" s="128">
        <v>8777.0</v>
      </c>
      <c r="J825" s="128">
        <v>47.45</v>
      </c>
      <c r="K825" s="128">
        <v>31.79</v>
      </c>
      <c r="L825" s="128">
        <v>416468.7</v>
      </c>
      <c r="M825" s="128">
        <v>279020.8</v>
      </c>
      <c r="N825" s="128">
        <v>137447.8</v>
      </c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125" t="s">
        <v>461</v>
      </c>
      <c r="B826" s="125" t="s">
        <v>595</v>
      </c>
      <c r="C826" s="125" t="s">
        <v>480</v>
      </c>
      <c r="D826" s="125" t="s">
        <v>457</v>
      </c>
      <c r="E826" s="125" t="s">
        <v>472</v>
      </c>
      <c r="F826" s="126">
        <v>42893.0</v>
      </c>
      <c r="G826" s="127">
        <v>7.42E8</v>
      </c>
      <c r="H826" s="126">
        <v>42932.0</v>
      </c>
      <c r="I826" s="128">
        <v>2727.0</v>
      </c>
      <c r="J826" s="128">
        <v>437.2</v>
      </c>
      <c r="K826" s="128">
        <v>263.33</v>
      </c>
      <c r="L826" s="128">
        <v>1192244.0</v>
      </c>
      <c r="M826" s="128">
        <v>718100.9</v>
      </c>
      <c r="N826" s="128">
        <v>474143.5</v>
      </c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125" t="s">
        <v>458</v>
      </c>
      <c r="B827" s="125" t="s">
        <v>555</v>
      </c>
      <c r="C827" s="125" t="s">
        <v>485</v>
      </c>
      <c r="D827" s="125" t="s">
        <v>457</v>
      </c>
      <c r="E827" s="125" t="s">
        <v>284</v>
      </c>
      <c r="F827" s="126">
        <v>41816.0</v>
      </c>
      <c r="G827" s="127">
        <v>6.63E8</v>
      </c>
      <c r="H827" s="126">
        <v>41831.0</v>
      </c>
      <c r="I827" s="128">
        <v>3870.0</v>
      </c>
      <c r="J827" s="128">
        <v>421.89</v>
      </c>
      <c r="K827" s="128">
        <v>364.69</v>
      </c>
      <c r="L827" s="128">
        <v>1632714.0</v>
      </c>
      <c r="M827" s="128">
        <v>1411350.0</v>
      </c>
      <c r="N827" s="128">
        <v>221364.0</v>
      </c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125" t="s">
        <v>458</v>
      </c>
      <c r="B828" s="125" t="s">
        <v>518</v>
      </c>
      <c r="C828" s="125" t="s">
        <v>506</v>
      </c>
      <c r="D828" s="125" t="s">
        <v>457</v>
      </c>
      <c r="E828" s="125" t="s">
        <v>189</v>
      </c>
      <c r="F828" s="126">
        <v>42391.0</v>
      </c>
      <c r="G828" s="127">
        <v>5.6E8</v>
      </c>
      <c r="H828" s="126">
        <v>42422.0</v>
      </c>
      <c r="I828" s="128">
        <v>492.0</v>
      </c>
      <c r="J828" s="128">
        <v>154.06</v>
      </c>
      <c r="K828" s="128">
        <v>90.93</v>
      </c>
      <c r="L828" s="128">
        <v>75797.52</v>
      </c>
      <c r="M828" s="128">
        <v>44737.56</v>
      </c>
      <c r="N828" s="128">
        <v>31059.96</v>
      </c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125" t="s">
        <v>466</v>
      </c>
      <c r="B829" s="125" t="s">
        <v>467</v>
      </c>
      <c r="C829" s="125" t="s">
        <v>494</v>
      </c>
      <c r="D829" s="125" t="s">
        <v>457</v>
      </c>
      <c r="E829" s="125" t="s">
        <v>284</v>
      </c>
      <c r="F829" s="126">
        <v>42259.0</v>
      </c>
      <c r="G829" s="127">
        <v>4.88E8</v>
      </c>
      <c r="H829" s="126">
        <v>42260.0</v>
      </c>
      <c r="I829" s="128">
        <v>7911.0</v>
      </c>
      <c r="J829" s="128">
        <v>9.33</v>
      </c>
      <c r="K829" s="128">
        <v>6.92</v>
      </c>
      <c r="L829" s="128">
        <v>73809.63</v>
      </c>
      <c r="M829" s="128">
        <v>54744.12</v>
      </c>
      <c r="N829" s="128">
        <v>19065.51</v>
      </c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125" t="s">
        <v>488</v>
      </c>
      <c r="B830" s="125" t="s">
        <v>645</v>
      </c>
      <c r="C830" s="125" t="s">
        <v>506</v>
      </c>
      <c r="D830" s="125" t="s">
        <v>454</v>
      </c>
      <c r="E830" s="125" t="s">
        <v>464</v>
      </c>
      <c r="F830" s="126">
        <v>42214.0</v>
      </c>
      <c r="G830" s="127">
        <v>1.19E8</v>
      </c>
      <c r="H830" s="126">
        <v>42220.0</v>
      </c>
      <c r="I830" s="128">
        <v>3475.0</v>
      </c>
      <c r="J830" s="128">
        <v>154.06</v>
      </c>
      <c r="K830" s="128">
        <v>90.93</v>
      </c>
      <c r="L830" s="128">
        <v>535358.5</v>
      </c>
      <c r="M830" s="128">
        <v>315981.8</v>
      </c>
      <c r="N830" s="128">
        <v>219376.8</v>
      </c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125" t="s">
        <v>475</v>
      </c>
      <c r="B831" s="125" t="s">
        <v>476</v>
      </c>
      <c r="C831" s="125" t="s">
        <v>480</v>
      </c>
      <c r="D831" s="125" t="s">
        <v>454</v>
      </c>
      <c r="E831" s="125" t="s">
        <v>464</v>
      </c>
      <c r="F831" s="126">
        <v>42059.0</v>
      </c>
      <c r="G831" s="127">
        <v>9.97E8</v>
      </c>
      <c r="H831" s="126">
        <v>42073.0</v>
      </c>
      <c r="I831" s="128">
        <v>1565.0</v>
      </c>
      <c r="J831" s="128">
        <v>437.2</v>
      </c>
      <c r="K831" s="128">
        <v>263.33</v>
      </c>
      <c r="L831" s="128">
        <v>684218.0</v>
      </c>
      <c r="M831" s="128">
        <v>412111.5</v>
      </c>
      <c r="N831" s="128">
        <v>272106.6</v>
      </c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125" t="s">
        <v>461</v>
      </c>
      <c r="B832" s="125" t="s">
        <v>599</v>
      </c>
      <c r="C832" s="125" t="s">
        <v>468</v>
      </c>
      <c r="D832" s="125" t="s">
        <v>454</v>
      </c>
      <c r="E832" s="125" t="s">
        <v>284</v>
      </c>
      <c r="F832" s="126">
        <v>41983.0</v>
      </c>
      <c r="G832" s="127">
        <v>6.86E8</v>
      </c>
      <c r="H832" s="126">
        <v>41988.0</v>
      </c>
      <c r="I832" s="128">
        <v>8591.0</v>
      </c>
      <c r="J832" s="128">
        <v>81.73</v>
      </c>
      <c r="K832" s="128">
        <v>56.67</v>
      </c>
      <c r="L832" s="128">
        <v>702142.4</v>
      </c>
      <c r="M832" s="128">
        <v>486852.0</v>
      </c>
      <c r="N832" s="128">
        <v>215290.5</v>
      </c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125" t="s">
        <v>469</v>
      </c>
      <c r="B833" s="125" t="s">
        <v>617</v>
      </c>
      <c r="C833" s="125" t="s">
        <v>453</v>
      </c>
      <c r="D833" s="125" t="s">
        <v>457</v>
      </c>
      <c r="E833" s="125" t="s">
        <v>284</v>
      </c>
      <c r="F833" s="126">
        <v>41184.0</v>
      </c>
      <c r="G833" s="127">
        <v>4.21E8</v>
      </c>
      <c r="H833" s="126">
        <v>41233.0</v>
      </c>
      <c r="I833" s="128">
        <v>7995.0</v>
      </c>
      <c r="J833" s="128">
        <v>255.28</v>
      </c>
      <c r="K833" s="128">
        <v>159.42</v>
      </c>
      <c r="L833" s="128">
        <v>2040964.0</v>
      </c>
      <c r="M833" s="128">
        <v>1274563.0</v>
      </c>
      <c r="N833" s="128">
        <v>766400.7</v>
      </c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125" t="s">
        <v>461</v>
      </c>
      <c r="B834" s="125" t="s">
        <v>644</v>
      </c>
      <c r="C834" s="125" t="s">
        <v>494</v>
      </c>
      <c r="D834" s="125" t="s">
        <v>454</v>
      </c>
      <c r="E834" s="125" t="s">
        <v>464</v>
      </c>
      <c r="F834" s="126">
        <v>42012.0</v>
      </c>
      <c r="G834" s="127">
        <v>1.57E8</v>
      </c>
      <c r="H834" s="126">
        <v>42039.0</v>
      </c>
      <c r="I834" s="128">
        <v>5252.0</v>
      </c>
      <c r="J834" s="128">
        <v>9.33</v>
      </c>
      <c r="K834" s="128">
        <v>6.92</v>
      </c>
      <c r="L834" s="128">
        <v>49001.16</v>
      </c>
      <c r="M834" s="128">
        <v>36343.84</v>
      </c>
      <c r="N834" s="128">
        <v>12657.32</v>
      </c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125" t="s">
        <v>461</v>
      </c>
      <c r="B835" s="125" t="s">
        <v>629</v>
      </c>
      <c r="C835" s="125" t="s">
        <v>506</v>
      </c>
      <c r="D835" s="125" t="s">
        <v>454</v>
      </c>
      <c r="E835" s="125" t="s">
        <v>284</v>
      </c>
      <c r="F835" s="126">
        <v>40293.0</v>
      </c>
      <c r="G835" s="127">
        <v>8.17E8</v>
      </c>
      <c r="H835" s="126">
        <v>40304.0</v>
      </c>
      <c r="I835" s="128">
        <v>2866.0</v>
      </c>
      <c r="J835" s="128">
        <v>154.06</v>
      </c>
      <c r="K835" s="128">
        <v>90.93</v>
      </c>
      <c r="L835" s="128">
        <v>441536.0</v>
      </c>
      <c r="M835" s="128">
        <v>260605.4</v>
      </c>
      <c r="N835" s="128">
        <v>180930.6</v>
      </c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125" t="s">
        <v>475</v>
      </c>
      <c r="B836" s="125" t="s">
        <v>476</v>
      </c>
      <c r="C836" s="125" t="s">
        <v>463</v>
      </c>
      <c r="D836" s="125" t="s">
        <v>457</v>
      </c>
      <c r="E836" s="125" t="s">
        <v>189</v>
      </c>
      <c r="F836" s="126">
        <v>40539.0</v>
      </c>
      <c r="G836" s="127">
        <v>2.49E8</v>
      </c>
      <c r="H836" s="126">
        <v>40575.0</v>
      </c>
      <c r="I836" s="128">
        <v>5373.0</v>
      </c>
      <c r="J836" s="128">
        <v>205.7</v>
      </c>
      <c r="K836" s="128">
        <v>117.11</v>
      </c>
      <c r="L836" s="128">
        <v>1105226.0</v>
      </c>
      <c r="M836" s="128">
        <v>629232.0</v>
      </c>
      <c r="N836" s="128">
        <v>475994.1</v>
      </c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125" t="s">
        <v>458</v>
      </c>
      <c r="B837" s="125" t="s">
        <v>603</v>
      </c>
      <c r="C837" s="125" t="s">
        <v>478</v>
      </c>
      <c r="D837" s="125" t="s">
        <v>457</v>
      </c>
      <c r="E837" s="125" t="s">
        <v>284</v>
      </c>
      <c r="F837" s="126">
        <v>40736.0</v>
      </c>
      <c r="G837" s="127">
        <v>8.67E8</v>
      </c>
      <c r="H837" s="126">
        <v>40759.0</v>
      </c>
      <c r="I837" s="128">
        <v>4341.0</v>
      </c>
      <c r="J837" s="128">
        <v>651.21</v>
      </c>
      <c r="K837" s="128">
        <v>524.96</v>
      </c>
      <c r="L837" s="128">
        <v>2826903.0</v>
      </c>
      <c r="M837" s="128">
        <v>2278851.0</v>
      </c>
      <c r="N837" s="128">
        <v>548051.3</v>
      </c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125" t="s">
        <v>475</v>
      </c>
      <c r="B838" s="125" t="s">
        <v>636</v>
      </c>
      <c r="C838" s="125" t="s">
        <v>460</v>
      </c>
      <c r="D838" s="125" t="s">
        <v>457</v>
      </c>
      <c r="E838" s="125" t="s">
        <v>464</v>
      </c>
      <c r="F838" s="126">
        <v>42026.0</v>
      </c>
      <c r="G838" s="127">
        <v>2.08E8</v>
      </c>
      <c r="H838" s="126">
        <v>42033.0</v>
      </c>
      <c r="I838" s="128">
        <v>3368.0</v>
      </c>
      <c r="J838" s="128">
        <v>47.45</v>
      </c>
      <c r="K838" s="128">
        <v>31.79</v>
      </c>
      <c r="L838" s="128">
        <v>159811.6</v>
      </c>
      <c r="M838" s="128">
        <v>107068.7</v>
      </c>
      <c r="N838" s="128">
        <v>52742.88</v>
      </c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125" t="s">
        <v>451</v>
      </c>
      <c r="B839" s="125" t="s">
        <v>587</v>
      </c>
      <c r="C839" s="125" t="s">
        <v>506</v>
      </c>
      <c r="D839" s="125" t="s">
        <v>457</v>
      </c>
      <c r="E839" s="125" t="s">
        <v>472</v>
      </c>
      <c r="F839" s="126">
        <v>41790.0</v>
      </c>
      <c r="G839" s="127">
        <v>3.77E8</v>
      </c>
      <c r="H839" s="126">
        <v>41804.0</v>
      </c>
      <c r="I839" s="128">
        <v>3085.0</v>
      </c>
      <c r="J839" s="128">
        <v>154.06</v>
      </c>
      <c r="K839" s="128">
        <v>90.93</v>
      </c>
      <c r="L839" s="128">
        <v>475275.1</v>
      </c>
      <c r="M839" s="128">
        <v>280519.1</v>
      </c>
      <c r="N839" s="128">
        <v>194756.1</v>
      </c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125" t="s">
        <v>461</v>
      </c>
      <c r="B840" s="125" t="s">
        <v>586</v>
      </c>
      <c r="C840" s="125" t="s">
        <v>463</v>
      </c>
      <c r="D840" s="125" t="s">
        <v>457</v>
      </c>
      <c r="E840" s="125" t="s">
        <v>472</v>
      </c>
      <c r="F840" s="126">
        <v>40564.0</v>
      </c>
      <c r="G840" s="127">
        <v>4.02E8</v>
      </c>
      <c r="H840" s="126">
        <v>40595.0</v>
      </c>
      <c r="I840" s="128">
        <v>6152.0</v>
      </c>
      <c r="J840" s="128">
        <v>205.7</v>
      </c>
      <c r="K840" s="128">
        <v>117.11</v>
      </c>
      <c r="L840" s="128">
        <v>1265466.0</v>
      </c>
      <c r="M840" s="128">
        <v>720460.7</v>
      </c>
      <c r="N840" s="128">
        <v>545005.7</v>
      </c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125" t="s">
        <v>475</v>
      </c>
      <c r="B841" s="125" t="s">
        <v>649</v>
      </c>
      <c r="C841" s="125" t="s">
        <v>471</v>
      </c>
      <c r="D841" s="125" t="s">
        <v>457</v>
      </c>
      <c r="E841" s="125" t="s">
        <v>464</v>
      </c>
      <c r="F841" s="126">
        <v>40656.0</v>
      </c>
      <c r="G841" s="127">
        <v>2.79E8</v>
      </c>
      <c r="H841" s="126">
        <v>40688.0</v>
      </c>
      <c r="I841" s="128">
        <v>2262.0</v>
      </c>
      <c r="J841" s="128">
        <v>109.28</v>
      </c>
      <c r="K841" s="128">
        <v>35.84</v>
      </c>
      <c r="L841" s="128">
        <v>247191.4</v>
      </c>
      <c r="M841" s="128">
        <v>81070.08</v>
      </c>
      <c r="N841" s="128">
        <v>166121.3</v>
      </c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125" t="s">
        <v>458</v>
      </c>
      <c r="B842" s="125" t="s">
        <v>498</v>
      </c>
      <c r="C842" s="125" t="s">
        <v>514</v>
      </c>
      <c r="D842" s="125" t="s">
        <v>454</v>
      </c>
      <c r="E842" s="125" t="s">
        <v>472</v>
      </c>
      <c r="F842" s="126">
        <v>41998.0</v>
      </c>
      <c r="G842" s="127">
        <v>5.25E8</v>
      </c>
      <c r="H842" s="126">
        <v>42004.0</v>
      </c>
      <c r="I842" s="128">
        <v>3138.0</v>
      </c>
      <c r="J842" s="128">
        <v>668.27</v>
      </c>
      <c r="K842" s="128">
        <v>502.54</v>
      </c>
      <c r="L842" s="128">
        <v>2097031.0</v>
      </c>
      <c r="M842" s="128">
        <v>1576971.0</v>
      </c>
      <c r="N842" s="128">
        <v>520060.7</v>
      </c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125" t="s">
        <v>469</v>
      </c>
      <c r="B843" s="125" t="s">
        <v>501</v>
      </c>
      <c r="C843" s="125" t="s">
        <v>506</v>
      </c>
      <c r="D843" s="125" t="s">
        <v>454</v>
      </c>
      <c r="E843" s="125" t="s">
        <v>472</v>
      </c>
      <c r="F843" s="126">
        <v>40760.0</v>
      </c>
      <c r="G843" s="127">
        <v>8.29E8</v>
      </c>
      <c r="H843" s="126">
        <v>40792.0</v>
      </c>
      <c r="I843" s="128">
        <v>7535.0</v>
      </c>
      <c r="J843" s="128">
        <v>154.06</v>
      </c>
      <c r="K843" s="128">
        <v>90.93</v>
      </c>
      <c r="L843" s="128">
        <v>1160842.0</v>
      </c>
      <c r="M843" s="128">
        <v>685157.6</v>
      </c>
      <c r="N843" s="128">
        <v>475684.6</v>
      </c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125" t="s">
        <v>458</v>
      </c>
      <c r="B844" s="125" t="s">
        <v>559</v>
      </c>
      <c r="C844" s="125" t="s">
        <v>471</v>
      </c>
      <c r="D844" s="125" t="s">
        <v>454</v>
      </c>
      <c r="E844" s="125" t="s">
        <v>472</v>
      </c>
      <c r="F844" s="126">
        <v>41800.0</v>
      </c>
      <c r="G844" s="127">
        <v>4.98E8</v>
      </c>
      <c r="H844" s="126">
        <v>41848.0</v>
      </c>
      <c r="I844" s="128">
        <v>6240.0</v>
      </c>
      <c r="J844" s="128">
        <v>109.28</v>
      </c>
      <c r="K844" s="128">
        <v>35.84</v>
      </c>
      <c r="L844" s="128">
        <v>681907.2</v>
      </c>
      <c r="M844" s="128">
        <v>223641.6</v>
      </c>
      <c r="N844" s="128">
        <v>458265.6</v>
      </c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125" t="s">
        <v>475</v>
      </c>
      <c r="B845" s="125" t="s">
        <v>549</v>
      </c>
      <c r="C845" s="125" t="s">
        <v>494</v>
      </c>
      <c r="D845" s="125" t="s">
        <v>457</v>
      </c>
      <c r="E845" s="125" t="s">
        <v>189</v>
      </c>
      <c r="F845" s="126">
        <v>40685.0</v>
      </c>
      <c r="G845" s="127">
        <v>7.09E8</v>
      </c>
      <c r="H845" s="126">
        <v>40719.0</v>
      </c>
      <c r="I845" s="128">
        <v>7070.0</v>
      </c>
      <c r="J845" s="128">
        <v>9.33</v>
      </c>
      <c r="K845" s="128">
        <v>6.92</v>
      </c>
      <c r="L845" s="128">
        <v>65963.1</v>
      </c>
      <c r="M845" s="128">
        <v>48924.4</v>
      </c>
      <c r="N845" s="128">
        <v>17038.7</v>
      </c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125" t="s">
        <v>466</v>
      </c>
      <c r="B846" s="125" t="s">
        <v>496</v>
      </c>
      <c r="C846" s="125" t="s">
        <v>456</v>
      </c>
      <c r="D846" s="125" t="s">
        <v>457</v>
      </c>
      <c r="E846" s="125" t="s">
        <v>464</v>
      </c>
      <c r="F846" s="126">
        <v>41668.0</v>
      </c>
      <c r="G846" s="127">
        <v>4.63E8</v>
      </c>
      <c r="H846" s="126">
        <v>41699.0</v>
      </c>
      <c r="I846" s="128">
        <v>9873.0</v>
      </c>
      <c r="J846" s="128">
        <v>152.58</v>
      </c>
      <c r="K846" s="128">
        <v>97.44</v>
      </c>
      <c r="L846" s="128">
        <v>1506422.0</v>
      </c>
      <c r="M846" s="128">
        <v>962025.1</v>
      </c>
      <c r="N846" s="128">
        <v>544397.2</v>
      </c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125" t="s">
        <v>458</v>
      </c>
      <c r="B847" s="125" t="s">
        <v>641</v>
      </c>
      <c r="C847" s="125" t="s">
        <v>468</v>
      </c>
      <c r="D847" s="125" t="s">
        <v>457</v>
      </c>
      <c r="E847" s="125" t="s">
        <v>189</v>
      </c>
      <c r="F847" s="126">
        <v>42475.0</v>
      </c>
      <c r="G847" s="127">
        <v>6.26E8</v>
      </c>
      <c r="H847" s="126">
        <v>42495.0</v>
      </c>
      <c r="I847" s="128">
        <v>1529.0</v>
      </c>
      <c r="J847" s="128">
        <v>81.73</v>
      </c>
      <c r="K847" s="128">
        <v>56.67</v>
      </c>
      <c r="L847" s="128">
        <v>124965.2</v>
      </c>
      <c r="M847" s="128">
        <v>86648.43</v>
      </c>
      <c r="N847" s="128">
        <v>38316.74</v>
      </c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125" t="s">
        <v>469</v>
      </c>
      <c r="B848" s="125" t="s">
        <v>569</v>
      </c>
      <c r="C848" s="125" t="s">
        <v>506</v>
      </c>
      <c r="D848" s="125" t="s">
        <v>457</v>
      </c>
      <c r="E848" s="125" t="s">
        <v>189</v>
      </c>
      <c r="F848" s="126">
        <v>41222.0</v>
      </c>
      <c r="G848" s="127">
        <v>7.9E8</v>
      </c>
      <c r="H848" s="126">
        <v>41267.0</v>
      </c>
      <c r="I848" s="128">
        <v>950.0</v>
      </c>
      <c r="J848" s="128">
        <v>154.06</v>
      </c>
      <c r="K848" s="128">
        <v>90.93</v>
      </c>
      <c r="L848" s="128">
        <v>146357.0</v>
      </c>
      <c r="M848" s="128">
        <v>86383.5</v>
      </c>
      <c r="N848" s="128">
        <v>59973.5</v>
      </c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125" t="s">
        <v>458</v>
      </c>
      <c r="B849" s="125" t="s">
        <v>529</v>
      </c>
      <c r="C849" s="125" t="s">
        <v>453</v>
      </c>
      <c r="D849" s="125" t="s">
        <v>457</v>
      </c>
      <c r="E849" s="125" t="s">
        <v>284</v>
      </c>
      <c r="F849" s="126">
        <v>40564.0</v>
      </c>
      <c r="G849" s="127">
        <v>6.12E8</v>
      </c>
      <c r="H849" s="126">
        <v>40600.0</v>
      </c>
      <c r="I849" s="128">
        <v>4077.0</v>
      </c>
      <c r="J849" s="128">
        <v>255.28</v>
      </c>
      <c r="K849" s="128">
        <v>159.42</v>
      </c>
      <c r="L849" s="128">
        <v>1040777.0</v>
      </c>
      <c r="M849" s="128">
        <v>649955.3</v>
      </c>
      <c r="N849" s="128">
        <v>390821.2</v>
      </c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125" t="s">
        <v>451</v>
      </c>
      <c r="B850" s="125" t="s">
        <v>609</v>
      </c>
      <c r="C850" s="125" t="s">
        <v>478</v>
      </c>
      <c r="D850" s="125" t="s">
        <v>457</v>
      </c>
      <c r="E850" s="125" t="s">
        <v>284</v>
      </c>
      <c r="F850" s="126">
        <v>40776.0</v>
      </c>
      <c r="G850" s="127">
        <v>2.73E8</v>
      </c>
      <c r="H850" s="126">
        <v>40815.0</v>
      </c>
      <c r="I850" s="128">
        <v>8885.0</v>
      </c>
      <c r="J850" s="128">
        <v>651.21</v>
      </c>
      <c r="K850" s="128">
        <v>524.96</v>
      </c>
      <c r="L850" s="128">
        <v>5786001.0</v>
      </c>
      <c r="M850" s="128">
        <v>4664270.0</v>
      </c>
      <c r="N850" s="128">
        <v>1121731.0</v>
      </c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125" t="s">
        <v>451</v>
      </c>
      <c r="B851" s="125" t="s">
        <v>609</v>
      </c>
      <c r="C851" s="125" t="s">
        <v>494</v>
      </c>
      <c r="D851" s="125" t="s">
        <v>454</v>
      </c>
      <c r="E851" s="125" t="s">
        <v>472</v>
      </c>
      <c r="F851" s="126">
        <v>41143.0</v>
      </c>
      <c r="G851" s="127">
        <v>9.22E8</v>
      </c>
      <c r="H851" s="126">
        <v>41181.0</v>
      </c>
      <c r="I851" s="128">
        <v>379.0</v>
      </c>
      <c r="J851" s="128">
        <v>9.33</v>
      </c>
      <c r="K851" s="128">
        <v>6.92</v>
      </c>
      <c r="L851" s="128">
        <v>3536.07</v>
      </c>
      <c r="M851" s="128">
        <v>2622.68</v>
      </c>
      <c r="N851" s="128">
        <v>913.39</v>
      </c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125" t="s">
        <v>458</v>
      </c>
      <c r="B852" s="125" t="s">
        <v>498</v>
      </c>
      <c r="C852" s="125" t="s">
        <v>453</v>
      </c>
      <c r="D852" s="125" t="s">
        <v>457</v>
      </c>
      <c r="E852" s="125" t="s">
        <v>472</v>
      </c>
      <c r="F852" s="126">
        <v>41336.0</v>
      </c>
      <c r="G852" s="127">
        <v>6.31E8</v>
      </c>
      <c r="H852" s="126">
        <v>41365.0</v>
      </c>
      <c r="I852" s="128">
        <v>5593.0</v>
      </c>
      <c r="J852" s="128">
        <v>255.28</v>
      </c>
      <c r="K852" s="128">
        <v>159.42</v>
      </c>
      <c r="L852" s="128">
        <v>1427781.0</v>
      </c>
      <c r="M852" s="128">
        <v>891636.1</v>
      </c>
      <c r="N852" s="128">
        <v>536145.0</v>
      </c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125" t="s">
        <v>458</v>
      </c>
      <c r="B853" s="125" t="s">
        <v>518</v>
      </c>
      <c r="C853" s="125" t="s">
        <v>478</v>
      </c>
      <c r="D853" s="125" t="s">
        <v>457</v>
      </c>
      <c r="E853" s="125" t="s">
        <v>464</v>
      </c>
      <c r="F853" s="126">
        <v>42798.0</v>
      </c>
      <c r="G853" s="127">
        <v>2.39E8</v>
      </c>
      <c r="H853" s="126">
        <v>42845.0</v>
      </c>
      <c r="I853" s="128">
        <v>8597.0</v>
      </c>
      <c r="J853" s="128">
        <v>651.21</v>
      </c>
      <c r="K853" s="128">
        <v>524.96</v>
      </c>
      <c r="L853" s="128">
        <v>5598452.0</v>
      </c>
      <c r="M853" s="128">
        <v>4513081.0</v>
      </c>
      <c r="N853" s="128">
        <v>1085371.0</v>
      </c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125" t="s">
        <v>461</v>
      </c>
      <c r="B854" s="125" t="s">
        <v>644</v>
      </c>
      <c r="C854" s="125" t="s">
        <v>471</v>
      </c>
      <c r="D854" s="125" t="s">
        <v>454</v>
      </c>
      <c r="E854" s="125" t="s">
        <v>284</v>
      </c>
      <c r="F854" s="126">
        <v>41831.0</v>
      </c>
      <c r="G854" s="127">
        <v>2.09E8</v>
      </c>
      <c r="H854" s="126">
        <v>41870.0</v>
      </c>
      <c r="I854" s="128">
        <v>5488.0</v>
      </c>
      <c r="J854" s="128">
        <v>109.28</v>
      </c>
      <c r="K854" s="128">
        <v>35.84</v>
      </c>
      <c r="L854" s="128">
        <v>599728.6</v>
      </c>
      <c r="M854" s="128">
        <v>196689.9</v>
      </c>
      <c r="N854" s="128">
        <v>403038.7</v>
      </c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125" t="s">
        <v>475</v>
      </c>
      <c r="B855" s="125" t="s">
        <v>558</v>
      </c>
      <c r="C855" s="125" t="s">
        <v>468</v>
      </c>
      <c r="D855" s="125" t="s">
        <v>457</v>
      </c>
      <c r="E855" s="125" t="s">
        <v>189</v>
      </c>
      <c r="F855" s="126">
        <v>42038.0</v>
      </c>
      <c r="G855" s="127">
        <v>1.7E8</v>
      </c>
      <c r="H855" s="126">
        <v>42082.0</v>
      </c>
      <c r="I855" s="128">
        <v>9397.0</v>
      </c>
      <c r="J855" s="128">
        <v>81.73</v>
      </c>
      <c r="K855" s="128">
        <v>56.67</v>
      </c>
      <c r="L855" s="128">
        <v>768016.8</v>
      </c>
      <c r="M855" s="128">
        <v>532528.0</v>
      </c>
      <c r="N855" s="128">
        <v>235488.8</v>
      </c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125" t="s">
        <v>461</v>
      </c>
      <c r="B856" s="125" t="s">
        <v>578</v>
      </c>
      <c r="C856" s="125" t="s">
        <v>463</v>
      </c>
      <c r="D856" s="125" t="s">
        <v>454</v>
      </c>
      <c r="E856" s="125" t="s">
        <v>472</v>
      </c>
      <c r="F856" s="126">
        <v>41883.0</v>
      </c>
      <c r="G856" s="127">
        <v>2.75E8</v>
      </c>
      <c r="H856" s="126">
        <v>41891.0</v>
      </c>
      <c r="I856" s="128">
        <v>5484.0</v>
      </c>
      <c r="J856" s="128">
        <v>205.7</v>
      </c>
      <c r="K856" s="128">
        <v>117.11</v>
      </c>
      <c r="L856" s="128">
        <v>1128059.0</v>
      </c>
      <c r="M856" s="128">
        <v>642231.2</v>
      </c>
      <c r="N856" s="128">
        <v>485827.6</v>
      </c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125" t="s">
        <v>466</v>
      </c>
      <c r="B857" s="125" t="s">
        <v>535</v>
      </c>
      <c r="C857" s="125" t="s">
        <v>468</v>
      </c>
      <c r="D857" s="125" t="s">
        <v>454</v>
      </c>
      <c r="E857" s="125" t="s">
        <v>472</v>
      </c>
      <c r="F857" s="126">
        <v>41597.0</v>
      </c>
      <c r="G857" s="127">
        <v>7.45E8</v>
      </c>
      <c r="H857" s="126">
        <v>41620.0</v>
      </c>
      <c r="I857" s="128">
        <v>5942.0</v>
      </c>
      <c r="J857" s="128">
        <v>81.73</v>
      </c>
      <c r="K857" s="128">
        <v>56.67</v>
      </c>
      <c r="L857" s="128">
        <v>485639.7</v>
      </c>
      <c r="M857" s="128">
        <v>336733.1</v>
      </c>
      <c r="N857" s="128">
        <v>148906.5</v>
      </c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125" t="s">
        <v>475</v>
      </c>
      <c r="B858" s="125" t="s">
        <v>649</v>
      </c>
      <c r="C858" s="125" t="s">
        <v>463</v>
      </c>
      <c r="D858" s="125" t="s">
        <v>454</v>
      </c>
      <c r="E858" s="125" t="s">
        <v>284</v>
      </c>
      <c r="F858" s="126">
        <v>41805.0</v>
      </c>
      <c r="G858" s="127">
        <v>5.24E8</v>
      </c>
      <c r="H858" s="126">
        <v>41843.0</v>
      </c>
      <c r="I858" s="128">
        <v>4994.0</v>
      </c>
      <c r="J858" s="128">
        <v>205.7</v>
      </c>
      <c r="K858" s="128">
        <v>117.11</v>
      </c>
      <c r="L858" s="128">
        <v>1027266.0</v>
      </c>
      <c r="M858" s="128">
        <v>584847.3</v>
      </c>
      <c r="N858" s="128">
        <v>442418.5</v>
      </c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125" t="s">
        <v>461</v>
      </c>
      <c r="B859" s="125" t="s">
        <v>522</v>
      </c>
      <c r="C859" s="125" t="s">
        <v>456</v>
      </c>
      <c r="D859" s="125" t="s">
        <v>454</v>
      </c>
      <c r="E859" s="125" t="s">
        <v>472</v>
      </c>
      <c r="F859" s="126">
        <v>42134.0</v>
      </c>
      <c r="G859" s="127">
        <v>4.22E8</v>
      </c>
      <c r="H859" s="126">
        <v>42178.0</v>
      </c>
      <c r="I859" s="128">
        <v>3896.0</v>
      </c>
      <c r="J859" s="128">
        <v>152.58</v>
      </c>
      <c r="K859" s="128">
        <v>97.44</v>
      </c>
      <c r="L859" s="128">
        <v>594451.7</v>
      </c>
      <c r="M859" s="128">
        <v>379626.2</v>
      </c>
      <c r="N859" s="128">
        <v>214825.4</v>
      </c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125" t="s">
        <v>458</v>
      </c>
      <c r="B860" s="125" t="s">
        <v>622</v>
      </c>
      <c r="C860" s="125" t="s">
        <v>514</v>
      </c>
      <c r="D860" s="125" t="s">
        <v>457</v>
      </c>
      <c r="E860" s="125" t="s">
        <v>189</v>
      </c>
      <c r="F860" s="126">
        <v>42603.0</v>
      </c>
      <c r="G860" s="127">
        <v>8.74E8</v>
      </c>
      <c r="H860" s="126">
        <v>42645.0</v>
      </c>
      <c r="I860" s="128">
        <v>5933.0</v>
      </c>
      <c r="J860" s="128">
        <v>668.27</v>
      </c>
      <c r="K860" s="128">
        <v>502.54</v>
      </c>
      <c r="L860" s="128">
        <v>3964846.0</v>
      </c>
      <c r="M860" s="128">
        <v>2981570.0</v>
      </c>
      <c r="N860" s="128">
        <v>983276.1</v>
      </c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125" t="s">
        <v>469</v>
      </c>
      <c r="B861" s="125" t="s">
        <v>634</v>
      </c>
      <c r="C861" s="125" t="s">
        <v>514</v>
      </c>
      <c r="D861" s="125" t="s">
        <v>457</v>
      </c>
      <c r="E861" s="125" t="s">
        <v>284</v>
      </c>
      <c r="F861" s="126">
        <v>42234.0</v>
      </c>
      <c r="G861" s="127">
        <v>5.82E8</v>
      </c>
      <c r="H861" s="126">
        <v>42258.0</v>
      </c>
      <c r="I861" s="128">
        <v>1423.0</v>
      </c>
      <c r="J861" s="128">
        <v>668.27</v>
      </c>
      <c r="K861" s="128">
        <v>502.54</v>
      </c>
      <c r="L861" s="128">
        <v>950948.2</v>
      </c>
      <c r="M861" s="128">
        <v>715114.4</v>
      </c>
      <c r="N861" s="128">
        <v>235833.8</v>
      </c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125" t="s">
        <v>458</v>
      </c>
      <c r="B862" s="125" t="s">
        <v>627</v>
      </c>
      <c r="C862" s="125" t="s">
        <v>468</v>
      </c>
      <c r="D862" s="125" t="s">
        <v>457</v>
      </c>
      <c r="E862" s="125" t="s">
        <v>284</v>
      </c>
      <c r="F862" s="126">
        <v>40440.0</v>
      </c>
      <c r="G862" s="127">
        <v>5.71E8</v>
      </c>
      <c r="H862" s="126">
        <v>40485.0</v>
      </c>
      <c r="I862" s="128">
        <v>2715.0</v>
      </c>
      <c r="J862" s="128">
        <v>81.73</v>
      </c>
      <c r="K862" s="128">
        <v>56.67</v>
      </c>
      <c r="L862" s="128">
        <v>221897.0</v>
      </c>
      <c r="M862" s="128">
        <v>153859.1</v>
      </c>
      <c r="N862" s="128">
        <v>68037.9</v>
      </c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125" t="s">
        <v>458</v>
      </c>
      <c r="B863" s="125" t="s">
        <v>583</v>
      </c>
      <c r="C863" s="125" t="s">
        <v>480</v>
      </c>
      <c r="D863" s="125" t="s">
        <v>454</v>
      </c>
      <c r="E863" s="125" t="s">
        <v>189</v>
      </c>
      <c r="F863" s="126">
        <v>41172.0</v>
      </c>
      <c r="G863" s="127">
        <v>1.33E8</v>
      </c>
      <c r="H863" s="126">
        <v>41219.0</v>
      </c>
      <c r="I863" s="128">
        <v>9188.0</v>
      </c>
      <c r="J863" s="128">
        <v>437.2</v>
      </c>
      <c r="K863" s="128">
        <v>263.33</v>
      </c>
      <c r="L863" s="128">
        <v>4016994.0</v>
      </c>
      <c r="M863" s="128">
        <v>2419476.0</v>
      </c>
      <c r="N863" s="128">
        <v>1597518.0</v>
      </c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125" t="s">
        <v>451</v>
      </c>
      <c r="B864" s="125" t="s">
        <v>455</v>
      </c>
      <c r="C864" s="125" t="s">
        <v>463</v>
      </c>
      <c r="D864" s="125" t="s">
        <v>457</v>
      </c>
      <c r="E864" s="125" t="s">
        <v>189</v>
      </c>
      <c r="F864" s="126">
        <v>40471.0</v>
      </c>
      <c r="G864" s="127">
        <v>8.82E8</v>
      </c>
      <c r="H864" s="126">
        <v>40507.0</v>
      </c>
      <c r="I864" s="128">
        <v>2254.0</v>
      </c>
      <c r="J864" s="128">
        <v>205.7</v>
      </c>
      <c r="K864" s="128">
        <v>117.11</v>
      </c>
      <c r="L864" s="128">
        <v>463647.8</v>
      </c>
      <c r="M864" s="128">
        <v>263965.9</v>
      </c>
      <c r="N864" s="128">
        <v>199681.9</v>
      </c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125" t="s">
        <v>466</v>
      </c>
      <c r="B865" s="125" t="s">
        <v>625</v>
      </c>
      <c r="C865" s="125" t="s">
        <v>453</v>
      </c>
      <c r="D865" s="125" t="s">
        <v>454</v>
      </c>
      <c r="E865" s="125" t="s">
        <v>189</v>
      </c>
      <c r="F865" s="126">
        <v>41683.0</v>
      </c>
      <c r="G865" s="127">
        <v>9.04E8</v>
      </c>
      <c r="H865" s="126">
        <v>41689.0</v>
      </c>
      <c r="I865" s="128">
        <v>355.0</v>
      </c>
      <c r="J865" s="128">
        <v>255.28</v>
      </c>
      <c r="K865" s="128">
        <v>159.42</v>
      </c>
      <c r="L865" s="128">
        <v>90624.4</v>
      </c>
      <c r="M865" s="128">
        <v>56594.1</v>
      </c>
      <c r="N865" s="128">
        <v>34030.3</v>
      </c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125" t="s">
        <v>466</v>
      </c>
      <c r="B866" s="125" t="s">
        <v>535</v>
      </c>
      <c r="C866" s="125" t="s">
        <v>478</v>
      </c>
      <c r="D866" s="125" t="s">
        <v>457</v>
      </c>
      <c r="E866" s="125" t="s">
        <v>464</v>
      </c>
      <c r="F866" s="126">
        <v>40243.0</v>
      </c>
      <c r="G866" s="127">
        <v>6.03E8</v>
      </c>
      <c r="H866" s="126">
        <v>40259.0</v>
      </c>
      <c r="I866" s="128">
        <v>3964.0</v>
      </c>
      <c r="J866" s="128">
        <v>651.21</v>
      </c>
      <c r="K866" s="128">
        <v>524.96</v>
      </c>
      <c r="L866" s="128">
        <v>2581396.0</v>
      </c>
      <c r="M866" s="128">
        <v>2080941.0</v>
      </c>
      <c r="N866" s="128">
        <v>500455.0</v>
      </c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125" t="s">
        <v>475</v>
      </c>
      <c r="B867" s="125" t="s">
        <v>591</v>
      </c>
      <c r="C867" s="125" t="s">
        <v>456</v>
      </c>
      <c r="D867" s="125" t="s">
        <v>454</v>
      </c>
      <c r="E867" s="125" t="s">
        <v>472</v>
      </c>
      <c r="F867" s="126">
        <v>41659.0</v>
      </c>
      <c r="G867" s="127">
        <v>4.54E8</v>
      </c>
      <c r="H867" s="126">
        <v>41669.0</v>
      </c>
      <c r="I867" s="128">
        <v>587.0</v>
      </c>
      <c r="J867" s="128">
        <v>152.58</v>
      </c>
      <c r="K867" s="128">
        <v>97.44</v>
      </c>
      <c r="L867" s="128">
        <v>89564.46</v>
      </c>
      <c r="M867" s="128">
        <v>57197.28</v>
      </c>
      <c r="N867" s="128">
        <v>32367.18</v>
      </c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125" t="s">
        <v>458</v>
      </c>
      <c r="B868" s="125" t="s">
        <v>459</v>
      </c>
      <c r="C868" s="125" t="s">
        <v>485</v>
      </c>
      <c r="D868" s="125" t="s">
        <v>457</v>
      </c>
      <c r="E868" s="125" t="s">
        <v>464</v>
      </c>
      <c r="F868" s="126">
        <v>40761.0</v>
      </c>
      <c r="G868" s="127">
        <v>5.52E8</v>
      </c>
      <c r="H868" s="126">
        <v>40810.0</v>
      </c>
      <c r="I868" s="128">
        <v>9759.0</v>
      </c>
      <c r="J868" s="128">
        <v>421.89</v>
      </c>
      <c r="K868" s="128">
        <v>364.69</v>
      </c>
      <c r="L868" s="128">
        <v>4117225.0</v>
      </c>
      <c r="M868" s="128">
        <v>3559010.0</v>
      </c>
      <c r="N868" s="128">
        <v>558214.8</v>
      </c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125" t="s">
        <v>458</v>
      </c>
      <c r="B869" s="125" t="s">
        <v>613</v>
      </c>
      <c r="C869" s="125" t="s">
        <v>456</v>
      </c>
      <c r="D869" s="125" t="s">
        <v>457</v>
      </c>
      <c r="E869" s="125" t="s">
        <v>189</v>
      </c>
      <c r="F869" s="126">
        <v>42451.0</v>
      </c>
      <c r="G869" s="127">
        <v>1.64E8</v>
      </c>
      <c r="H869" s="126">
        <v>42479.0</v>
      </c>
      <c r="I869" s="128">
        <v>8048.0</v>
      </c>
      <c r="J869" s="128">
        <v>152.58</v>
      </c>
      <c r="K869" s="128">
        <v>97.44</v>
      </c>
      <c r="L869" s="128">
        <v>1227964.0</v>
      </c>
      <c r="M869" s="128">
        <v>784197.1</v>
      </c>
      <c r="N869" s="128">
        <v>443766.7</v>
      </c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125" t="s">
        <v>451</v>
      </c>
      <c r="B870" s="125" t="s">
        <v>550</v>
      </c>
      <c r="C870" s="125" t="s">
        <v>460</v>
      </c>
      <c r="D870" s="125" t="s">
        <v>457</v>
      </c>
      <c r="E870" s="125" t="s">
        <v>189</v>
      </c>
      <c r="F870" s="126">
        <v>40955.0</v>
      </c>
      <c r="G870" s="127">
        <v>8.74E8</v>
      </c>
      <c r="H870" s="126">
        <v>40964.0</v>
      </c>
      <c r="I870" s="128">
        <v>4053.0</v>
      </c>
      <c r="J870" s="128">
        <v>47.45</v>
      </c>
      <c r="K870" s="128">
        <v>31.79</v>
      </c>
      <c r="L870" s="128">
        <v>192314.9</v>
      </c>
      <c r="M870" s="128">
        <v>128844.9</v>
      </c>
      <c r="N870" s="128">
        <v>63469.98</v>
      </c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125" t="s">
        <v>475</v>
      </c>
      <c r="B871" s="125" t="s">
        <v>513</v>
      </c>
      <c r="C871" s="125" t="s">
        <v>463</v>
      </c>
      <c r="D871" s="125" t="s">
        <v>454</v>
      </c>
      <c r="E871" s="125" t="s">
        <v>464</v>
      </c>
      <c r="F871" s="126">
        <v>40569.0</v>
      </c>
      <c r="G871" s="127">
        <v>7.4E8</v>
      </c>
      <c r="H871" s="126">
        <v>40612.0</v>
      </c>
      <c r="I871" s="128">
        <v>3404.0</v>
      </c>
      <c r="J871" s="128">
        <v>205.7</v>
      </c>
      <c r="K871" s="128">
        <v>117.11</v>
      </c>
      <c r="L871" s="128">
        <v>700202.8</v>
      </c>
      <c r="M871" s="128">
        <v>398642.4</v>
      </c>
      <c r="N871" s="128">
        <v>301560.4</v>
      </c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125" t="s">
        <v>475</v>
      </c>
      <c r="B872" s="125" t="s">
        <v>526</v>
      </c>
      <c r="C872" s="125" t="s">
        <v>480</v>
      </c>
      <c r="D872" s="125" t="s">
        <v>454</v>
      </c>
      <c r="E872" s="125" t="s">
        <v>189</v>
      </c>
      <c r="F872" s="126">
        <v>40446.0</v>
      </c>
      <c r="G872" s="127">
        <v>1.37E8</v>
      </c>
      <c r="H872" s="126">
        <v>40484.0</v>
      </c>
      <c r="I872" s="128">
        <v>3761.0</v>
      </c>
      <c r="J872" s="128">
        <v>437.2</v>
      </c>
      <c r="K872" s="128">
        <v>263.33</v>
      </c>
      <c r="L872" s="128">
        <v>1644309.0</v>
      </c>
      <c r="M872" s="128">
        <v>990384.1</v>
      </c>
      <c r="N872" s="128">
        <v>653925.1</v>
      </c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125" t="s">
        <v>475</v>
      </c>
      <c r="B873" s="125" t="s">
        <v>571</v>
      </c>
      <c r="C873" s="125" t="s">
        <v>494</v>
      </c>
      <c r="D873" s="125" t="s">
        <v>457</v>
      </c>
      <c r="E873" s="125" t="s">
        <v>284</v>
      </c>
      <c r="F873" s="126">
        <v>41512.0</v>
      </c>
      <c r="G873" s="127">
        <v>4.14E8</v>
      </c>
      <c r="H873" s="126">
        <v>41560.0</v>
      </c>
      <c r="I873" s="128">
        <v>9817.0</v>
      </c>
      <c r="J873" s="128">
        <v>9.33</v>
      </c>
      <c r="K873" s="128">
        <v>6.92</v>
      </c>
      <c r="L873" s="128">
        <v>91592.61</v>
      </c>
      <c r="M873" s="128">
        <v>67933.64</v>
      </c>
      <c r="N873" s="128">
        <v>23658.97</v>
      </c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125" t="s">
        <v>461</v>
      </c>
      <c r="B874" s="125" t="s">
        <v>510</v>
      </c>
      <c r="C874" s="125" t="s">
        <v>494</v>
      </c>
      <c r="D874" s="125" t="s">
        <v>457</v>
      </c>
      <c r="E874" s="125" t="s">
        <v>472</v>
      </c>
      <c r="F874" s="126">
        <v>42315.0</v>
      </c>
      <c r="G874" s="127">
        <v>7.36E8</v>
      </c>
      <c r="H874" s="126">
        <v>42350.0</v>
      </c>
      <c r="I874" s="128">
        <v>8296.0</v>
      </c>
      <c r="J874" s="128">
        <v>9.33</v>
      </c>
      <c r="K874" s="128">
        <v>6.92</v>
      </c>
      <c r="L874" s="128">
        <v>77401.68</v>
      </c>
      <c r="M874" s="128">
        <v>57408.32</v>
      </c>
      <c r="N874" s="128">
        <v>19993.36</v>
      </c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125" t="s">
        <v>475</v>
      </c>
      <c r="B875" s="125" t="s">
        <v>526</v>
      </c>
      <c r="C875" s="125" t="s">
        <v>453</v>
      </c>
      <c r="D875" s="125" t="s">
        <v>457</v>
      </c>
      <c r="E875" s="125" t="s">
        <v>464</v>
      </c>
      <c r="F875" s="126">
        <v>40408.0</v>
      </c>
      <c r="G875" s="127">
        <v>3.43E8</v>
      </c>
      <c r="H875" s="126">
        <v>40408.0</v>
      </c>
      <c r="I875" s="128">
        <v>2952.0</v>
      </c>
      <c r="J875" s="128">
        <v>255.28</v>
      </c>
      <c r="K875" s="128">
        <v>159.42</v>
      </c>
      <c r="L875" s="128">
        <v>753586.6</v>
      </c>
      <c r="M875" s="128">
        <v>470607.8</v>
      </c>
      <c r="N875" s="128">
        <v>282978.7</v>
      </c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125" t="s">
        <v>451</v>
      </c>
      <c r="B876" s="125" t="s">
        <v>523</v>
      </c>
      <c r="C876" s="125" t="s">
        <v>480</v>
      </c>
      <c r="D876" s="125" t="s">
        <v>457</v>
      </c>
      <c r="E876" s="125" t="s">
        <v>464</v>
      </c>
      <c r="F876" s="126">
        <v>42033.0</v>
      </c>
      <c r="G876" s="127">
        <v>7.9E8</v>
      </c>
      <c r="H876" s="126">
        <v>42045.0</v>
      </c>
      <c r="I876" s="128">
        <v>9572.0</v>
      </c>
      <c r="J876" s="128">
        <v>437.2</v>
      </c>
      <c r="K876" s="128">
        <v>263.33</v>
      </c>
      <c r="L876" s="128">
        <v>4184878.0</v>
      </c>
      <c r="M876" s="128">
        <v>2520595.0</v>
      </c>
      <c r="N876" s="128">
        <v>1664284.0</v>
      </c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125" t="s">
        <v>461</v>
      </c>
      <c r="B877" s="125" t="s">
        <v>481</v>
      </c>
      <c r="C877" s="125" t="s">
        <v>468</v>
      </c>
      <c r="D877" s="125" t="s">
        <v>454</v>
      </c>
      <c r="E877" s="125" t="s">
        <v>189</v>
      </c>
      <c r="F877" s="126">
        <v>41373.0</v>
      </c>
      <c r="G877" s="127">
        <v>1.08E8</v>
      </c>
      <c r="H877" s="126">
        <v>41395.0</v>
      </c>
      <c r="I877" s="128">
        <v>972.0</v>
      </c>
      <c r="J877" s="128">
        <v>81.73</v>
      </c>
      <c r="K877" s="128">
        <v>56.67</v>
      </c>
      <c r="L877" s="128">
        <v>79441.56</v>
      </c>
      <c r="M877" s="128">
        <v>55083.24</v>
      </c>
      <c r="N877" s="128">
        <v>24358.32</v>
      </c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125" t="s">
        <v>469</v>
      </c>
      <c r="B878" s="125" t="s">
        <v>630</v>
      </c>
      <c r="C878" s="125" t="s">
        <v>514</v>
      </c>
      <c r="D878" s="125" t="s">
        <v>454</v>
      </c>
      <c r="E878" s="125" t="s">
        <v>472</v>
      </c>
      <c r="F878" s="126">
        <v>41298.0</v>
      </c>
      <c r="G878" s="127">
        <v>4.43E8</v>
      </c>
      <c r="H878" s="126">
        <v>41346.0</v>
      </c>
      <c r="I878" s="128">
        <v>2003.0</v>
      </c>
      <c r="J878" s="128">
        <v>668.27</v>
      </c>
      <c r="K878" s="128">
        <v>502.54</v>
      </c>
      <c r="L878" s="128">
        <v>1338545.0</v>
      </c>
      <c r="M878" s="128">
        <v>1006588.0</v>
      </c>
      <c r="N878" s="128">
        <v>331957.2</v>
      </c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125" t="s">
        <v>458</v>
      </c>
      <c r="B879" s="125" t="s">
        <v>626</v>
      </c>
      <c r="C879" s="125" t="s">
        <v>453</v>
      </c>
      <c r="D879" s="125" t="s">
        <v>457</v>
      </c>
      <c r="E879" s="125" t="s">
        <v>189</v>
      </c>
      <c r="F879" s="126">
        <v>40918.0</v>
      </c>
      <c r="G879" s="127">
        <v>4.16E8</v>
      </c>
      <c r="H879" s="126">
        <v>40962.0</v>
      </c>
      <c r="I879" s="128">
        <v>4543.0</v>
      </c>
      <c r="J879" s="128">
        <v>255.28</v>
      </c>
      <c r="K879" s="128">
        <v>159.42</v>
      </c>
      <c r="L879" s="128">
        <v>1159737.0</v>
      </c>
      <c r="M879" s="128">
        <v>724245.1</v>
      </c>
      <c r="N879" s="128">
        <v>435492.0</v>
      </c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125" t="s">
        <v>469</v>
      </c>
      <c r="B880" s="125" t="s">
        <v>634</v>
      </c>
      <c r="C880" s="125" t="s">
        <v>460</v>
      </c>
      <c r="D880" s="125" t="s">
        <v>457</v>
      </c>
      <c r="E880" s="125" t="s">
        <v>464</v>
      </c>
      <c r="F880" s="126">
        <v>42498.0</v>
      </c>
      <c r="G880" s="127">
        <v>9.64E8</v>
      </c>
      <c r="H880" s="126">
        <v>42527.0</v>
      </c>
      <c r="I880" s="128">
        <v>2504.0</v>
      </c>
      <c r="J880" s="128">
        <v>47.45</v>
      </c>
      <c r="K880" s="128">
        <v>31.79</v>
      </c>
      <c r="L880" s="128">
        <v>118814.8</v>
      </c>
      <c r="M880" s="128">
        <v>79602.16</v>
      </c>
      <c r="N880" s="128">
        <v>39212.64</v>
      </c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125" t="s">
        <v>458</v>
      </c>
      <c r="B881" s="125" t="s">
        <v>583</v>
      </c>
      <c r="C881" s="125" t="s">
        <v>453</v>
      </c>
      <c r="D881" s="125" t="s">
        <v>457</v>
      </c>
      <c r="E881" s="125" t="s">
        <v>472</v>
      </c>
      <c r="F881" s="126">
        <v>41776.0</v>
      </c>
      <c r="G881" s="127">
        <v>3.99E8</v>
      </c>
      <c r="H881" s="126">
        <v>41785.0</v>
      </c>
      <c r="I881" s="128">
        <v>6828.0</v>
      </c>
      <c r="J881" s="128">
        <v>255.28</v>
      </c>
      <c r="K881" s="128">
        <v>159.42</v>
      </c>
      <c r="L881" s="128">
        <v>1743052.0</v>
      </c>
      <c r="M881" s="128">
        <v>1088520.0</v>
      </c>
      <c r="N881" s="128">
        <v>654532.1</v>
      </c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125" t="s">
        <v>475</v>
      </c>
      <c r="B882" s="125" t="s">
        <v>549</v>
      </c>
      <c r="C882" s="125" t="s">
        <v>494</v>
      </c>
      <c r="D882" s="125" t="s">
        <v>454</v>
      </c>
      <c r="E882" s="125" t="s">
        <v>284</v>
      </c>
      <c r="F882" s="126">
        <v>40413.0</v>
      </c>
      <c r="G882" s="127">
        <v>2.48E8</v>
      </c>
      <c r="H882" s="126">
        <v>40419.0</v>
      </c>
      <c r="I882" s="128">
        <v>488.0</v>
      </c>
      <c r="J882" s="128">
        <v>9.33</v>
      </c>
      <c r="K882" s="128">
        <v>6.92</v>
      </c>
      <c r="L882" s="128">
        <v>4553.04</v>
      </c>
      <c r="M882" s="128">
        <v>3376.96</v>
      </c>
      <c r="N882" s="128">
        <v>1176.08</v>
      </c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125" t="s">
        <v>488</v>
      </c>
      <c r="B883" s="125" t="s">
        <v>654</v>
      </c>
      <c r="C883" s="125" t="s">
        <v>480</v>
      </c>
      <c r="D883" s="125" t="s">
        <v>454</v>
      </c>
      <c r="E883" s="125" t="s">
        <v>284</v>
      </c>
      <c r="F883" s="126">
        <v>41840.0</v>
      </c>
      <c r="G883" s="127">
        <v>3.13E8</v>
      </c>
      <c r="H883" s="126">
        <v>41868.0</v>
      </c>
      <c r="I883" s="128">
        <v>3490.0</v>
      </c>
      <c r="J883" s="128">
        <v>437.2</v>
      </c>
      <c r="K883" s="128">
        <v>263.33</v>
      </c>
      <c r="L883" s="128">
        <v>1525828.0</v>
      </c>
      <c r="M883" s="128">
        <v>919021.7</v>
      </c>
      <c r="N883" s="128">
        <v>606806.3</v>
      </c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125" t="s">
        <v>458</v>
      </c>
      <c r="B884" s="125" t="s">
        <v>540</v>
      </c>
      <c r="C884" s="125" t="s">
        <v>468</v>
      </c>
      <c r="D884" s="125" t="s">
        <v>457</v>
      </c>
      <c r="E884" s="125" t="s">
        <v>472</v>
      </c>
      <c r="F884" s="126">
        <v>41580.0</v>
      </c>
      <c r="G884" s="127">
        <v>9.13E8</v>
      </c>
      <c r="H884" s="126">
        <v>41625.0</v>
      </c>
      <c r="I884" s="128">
        <v>7870.0</v>
      </c>
      <c r="J884" s="128">
        <v>81.73</v>
      </c>
      <c r="K884" s="128">
        <v>56.67</v>
      </c>
      <c r="L884" s="128">
        <v>643215.1</v>
      </c>
      <c r="M884" s="128">
        <v>445992.9</v>
      </c>
      <c r="N884" s="128">
        <v>197222.2</v>
      </c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125" t="s">
        <v>466</v>
      </c>
      <c r="B885" s="125" t="s">
        <v>535</v>
      </c>
      <c r="C885" s="125" t="s">
        <v>514</v>
      </c>
      <c r="D885" s="125" t="s">
        <v>457</v>
      </c>
      <c r="E885" s="125" t="s">
        <v>284</v>
      </c>
      <c r="F885" s="126">
        <v>42460.0</v>
      </c>
      <c r="G885" s="127">
        <v>6.4E8</v>
      </c>
      <c r="H885" s="126">
        <v>42478.0</v>
      </c>
      <c r="I885" s="128">
        <v>2695.0</v>
      </c>
      <c r="J885" s="128">
        <v>668.27</v>
      </c>
      <c r="K885" s="128">
        <v>502.54</v>
      </c>
      <c r="L885" s="128">
        <v>1800988.0</v>
      </c>
      <c r="M885" s="128">
        <v>1354345.0</v>
      </c>
      <c r="N885" s="128">
        <v>446642.4</v>
      </c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125" t="s">
        <v>475</v>
      </c>
      <c r="B886" s="125" t="s">
        <v>512</v>
      </c>
      <c r="C886" s="125" t="s">
        <v>478</v>
      </c>
      <c r="D886" s="125" t="s">
        <v>454</v>
      </c>
      <c r="E886" s="125" t="s">
        <v>284</v>
      </c>
      <c r="F886" s="126">
        <v>42164.0</v>
      </c>
      <c r="G886" s="127">
        <v>4.04E8</v>
      </c>
      <c r="H886" s="126">
        <v>42184.0</v>
      </c>
      <c r="I886" s="128">
        <v>9064.0</v>
      </c>
      <c r="J886" s="128">
        <v>651.21</v>
      </c>
      <c r="K886" s="128">
        <v>524.96</v>
      </c>
      <c r="L886" s="128">
        <v>5902567.0</v>
      </c>
      <c r="M886" s="128">
        <v>4758237.0</v>
      </c>
      <c r="N886" s="128">
        <v>1144330.0</v>
      </c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125" t="s">
        <v>461</v>
      </c>
      <c r="B887" s="125" t="s">
        <v>556</v>
      </c>
      <c r="C887" s="125" t="s">
        <v>471</v>
      </c>
      <c r="D887" s="125" t="s">
        <v>457</v>
      </c>
      <c r="E887" s="125" t="s">
        <v>472</v>
      </c>
      <c r="F887" s="126">
        <v>42913.0</v>
      </c>
      <c r="G887" s="127">
        <v>2.86E8</v>
      </c>
      <c r="H887" s="126">
        <v>42925.0</v>
      </c>
      <c r="I887" s="128">
        <v>5106.0</v>
      </c>
      <c r="J887" s="128">
        <v>109.28</v>
      </c>
      <c r="K887" s="128">
        <v>35.84</v>
      </c>
      <c r="L887" s="128">
        <v>557983.7</v>
      </c>
      <c r="M887" s="128">
        <v>182999.0</v>
      </c>
      <c r="N887" s="128">
        <v>374984.6</v>
      </c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125" t="s">
        <v>458</v>
      </c>
      <c r="B888" s="125" t="s">
        <v>626</v>
      </c>
      <c r="C888" s="125" t="s">
        <v>494</v>
      </c>
      <c r="D888" s="125" t="s">
        <v>457</v>
      </c>
      <c r="E888" s="125" t="s">
        <v>472</v>
      </c>
      <c r="F888" s="126">
        <v>41786.0</v>
      </c>
      <c r="G888" s="127">
        <v>8.89E8</v>
      </c>
      <c r="H888" s="126">
        <v>41805.0</v>
      </c>
      <c r="I888" s="128">
        <v>983.0</v>
      </c>
      <c r="J888" s="128">
        <v>9.33</v>
      </c>
      <c r="K888" s="128">
        <v>6.92</v>
      </c>
      <c r="L888" s="128">
        <v>9171.39</v>
      </c>
      <c r="M888" s="128">
        <v>6802.36</v>
      </c>
      <c r="N888" s="128">
        <v>2369.03</v>
      </c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125" t="s">
        <v>469</v>
      </c>
      <c r="B889" s="125" t="s">
        <v>503</v>
      </c>
      <c r="C889" s="125" t="s">
        <v>460</v>
      </c>
      <c r="D889" s="125" t="s">
        <v>457</v>
      </c>
      <c r="E889" s="125" t="s">
        <v>189</v>
      </c>
      <c r="F889" s="126">
        <v>40400.0</v>
      </c>
      <c r="G889" s="127">
        <v>1.84E8</v>
      </c>
      <c r="H889" s="126">
        <v>40404.0</v>
      </c>
      <c r="I889" s="128">
        <v>3887.0</v>
      </c>
      <c r="J889" s="128">
        <v>47.45</v>
      </c>
      <c r="K889" s="128">
        <v>31.79</v>
      </c>
      <c r="L889" s="128">
        <v>184438.2</v>
      </c>
      <c r="M889" s="128">
        <v>123567.7</v>
      </c>
      <c r="N889" s="128">
        <v>60870.42</v>
      </c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125" t="s">
        <v>458</v>
      </c>
      <c r="B890" s="125" t="s">
        <v>486</v>
      </c>
      <c r="C890" s="125" t="s">
        <v>494</v>
      </c>
      <c r="D890" s="125" t="s">
        <v>457</v>
      </c>
      <c r="E890" s="125" t="s">
        <v>472</v>
      </c>
      <c r="F890" s="126">
        <v>40761.0</v>
      </c>
      <c r="G890" s="127">
        <v>2.63E8</v>
      </c>
      <c r="H890" s="126">
        <v>40806.0</v>
      </c>
      <c r="I890" s="128">
        <v>3042.0</v>
      </c>
      <c r="J890" s="128">
        <v>9.33</v>
      </c>
      <c r="K890" s="128">
        <v>6.92</v>
      </c>
      <c r="L890" s="128">
        <v>28381.86</v>
      </c>
      <c r="M890" s="128">
        <v>21050.64</v>
      </c>
      <c r="N890" s="128">
        <v>7331.22</v>
      </c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125" t="s">
        <v>461</v>
      </c>
      <c r="B891" s="125" t="s">
        <v>465</v>
      </c>
      <c r="C891" s="125" t="s">
        <v>460</v>
      </c>
      <c r="D891" s="125" t="s">
        <v>457</v>
      </c>
      <c r="E891" s="125" t="s">
        <v>472</v>
      </c>
      <c r="F891" s="126">
        <v>41113.0</v>
      </c>
      <c r="G891" s="127">
        <v>5.9E8</v>
      </c>
      <c r="H891" s="126">
        <v>41116.0</v>
      </c>
      <c r="I891" s="128">
        <v>4703.0</v>
      </c>
      <c r="J891" s="128">
        <v>47.45</v>
      </c>
      <c r="K891" s="128">
        <v>31.79</v>
      </c>
      <c r="L891" s="128">
        <v>223157.4</v>
      </c>
      <c r="M891" s="128">
        <v>149508.4</v>
      </c>
      <c r="N891" s="128">
        <v>73648.98</v>
      </c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125" t="s">
        <v>461</v>
      </c>
      <c r="B892" s="125" t="s">
        <v>556</v>
      </c>
      <c r="C892" s="125" t="s">
        <v>506</v>
      </c>
      <c r="D892" s="125" t="s">
        <v>457</v>
      </c>
      <c r="E892" s="125" t="s">
        <v>284</v>
      </c>
      <c r="F892" s="126">
        <v>42858.0</v>
      </c>
      <c r="G892" s="127">
        <v>2.46E8</v>
      </c>
      <c r="H892" s="126">
        <v>42867.0</v>
      </c>
      <c r="I892" s="128">
        <v>7155.0</v>
      </c>
      <c r="J892" s="128">
        <v>154.06</v>
      </c>
      <c r="K892" s="128">
        <v>90.93</v>
      </c>
      <c r="L892" s="128">
        <v>1102299.0</v>
      </c>
      <c r="M892" s="128">
        <v>650604.2</v>
      </c>
      <c r="N892" s="128">
        <v>451695.2</v>
      </c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125" t="s">
        <v>469</v>
      </c>
      <c r="B893" s="125" t="s">
        <v>501</v>
      </c>
      <c r="C893" s="125" t="s">
        <v>460</v>
      </c>
      <c r="D893" s="125" t="s">
        <v>457</v>
      </c>
      <c r="E893" s="125" t="s">
        <v>464</v>
      </c>
      <c r="F893" s="126">
        <v>40869.0</v>
      </c>
      <c r="G893" s="127">
        <v>1.85E8</v>
      </c>
      <c r="H893" s="126">
        <v>40897.0</v>
      </c>
      <c r="I893" s="128">
        <v>5717.0</v>
      </c>
      <c r="J893" s="128">
        <v>47.45</v>
      </c>
      <c r="K893" s="128">
        <v>31.79</v>
      </c>
      <c r="L893" s="128">
        <v>271271.7</v>
      </c>
      <c r="M893" s="128">
        <v>181743.4</v>
      </c>
      <c r="N893" s="128">
        <v>89528.22</v>
      </c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125" t="s">
        <v>469</v>
      </c>
      <c r="B894" s="125" t="s">
        <v>530</v>
      </c>
      <c r="C894" s="125" t="s">
        <v>453</v>
      </c>
      <c r="D894" s="125" t="s">
        <v>454</v>
      </c>
      <c r="E894" s="125" t="s">
        <v>189</v>
      </c>
      <c r="F894" s="126">
        <v>41476.0</v>
      </c>
      <c r="G894" s="127">
        <v>9.8E8</v>
      </c>
      <c r="H894" s="126">
        <v>41516.0</v>
      </c>
      <c r="I894" s="128">
        <v>7736.0</v>
      </c>
      <c r="J894" s="128">
        <v>255.28</v>
      </c>
      <c r="K894" s="128">
        <v>159.42</v>
      </c>
      <c r="L894" s="128">
        <v>1974846.0</v>
      </c>
      <c r="M894" s="128">
        <v>1233273.0</v>
      </c>
      <c r="N894" s="128">
        <v>741573.0</v>
      </c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125" t="s">
        <v>466</v>
      </c>
      <c r="B895" s="125" t="s">
        <v>625</v>
      </c>
      <c r="C895" s="125" t="s">
        <v>453</v>
      </c>
      <c r="D895" s="125" t="s">
        <v>454</v>
      </c>
      <c r="E895" s="125" t="s">
        <v>284</v>
      </c>
      <c r="F895" s="126">
        <v>41712.0</v>
      </c>
      <c r="G895" s="127">
        <v>5.76E8</v>
      </c>
      <c r="H895" s="126">
        <v>41723.0</v>
      </c>
      <c r="I895" s="128">
        <v>7593.0</v>
      </c>
      <c r="J895" s="128">
        <v>255.28</v>
      </c>
      <c r="K895" s="128">
        <v>159.42</v>
      </c>
      <c r="L895" s="128">
        <v>1938341.0</v>
      </c>
      <c r="M895" s="128">
        <v>1210476.0</v>
      </c>
      <c r="N895" s="128">
        <v>727865.0</v>
      </c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125" t="s">
        <v>461</v>
      </c>
      <c r="B896" s="125" t="s">
        <v>644</v>
      </c>
      <c r="C896" s="125" t="s">
        <v>456</v>
      </c>
      <c r="D896" s="125" t="s">
        <v>454</v>
      </c>
      <c r="E896" s="125" t="s">
        <v>472</v>
      </c>
      <c r="F896" s="126">
        <v>41769.0</v>
      </c>
      <c r="G896" s="127">
        <v>1.36E8</v>
      </c>
      <c r="H896" s="126">
        <v>41792.0</v>
      </c>
      <c r="I896" s="128">
        <v>1699.0</v>
      </c>
      <c r="J896" s="128">
        <v>152.58</v>
      </c>
      <c r="K896" s="128">
        <v>97.44</v>
      </c>
      <c r="L896" s="128">
        <v>259233.4</v>
      </c>
      <c r="M896" s="128">
        <v>165550.6</v>
      </c>
      <c r="N896" s="128">
        <v>93682.86</v>
      </c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125" t="s">
        <v>475</v>
      </c>
      <c r="B897" s="125" t="s">
        <v>570</v>
      </c>
      <c r="C897" s="125" t="s">
        <v>460</v>
      </c>
      <c r="D897" s="125" t="s">
        <v>454</v>
      </c>
      <c r="E897" s="125" t="s">
        <v>464</v>
      </c>
      <c r="F897" s="126">
        <v>40842.0</v>
      </c>
      <c r="G897" s="127">
        <v>8.95E8</v>
      </c>
      <c r="H897" s="126">
        <v>40888.0</v>
      </c>
      <c r="I897" s="128">
        <v>3496.0</v>
      </c>
      <c r="J897" s="128">
        <v>47.45</v>
      </c>
      <c r="K897" s="128">
        <v>31.79</v>
      </c>
      <c r="L897" s="128">
        <v>165885.2</v>
      </c>
      <c r="M897" s="128">
        <v>111137.8</v>
      </c>
      <c r="N897" s="128">
        <v>54747.36</v>
      </c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125" t="s">
        <v>461</v>
      </c>
      <c r="B898" s="125" t="s">
        <v>581</v>
      </c>
      <c r="C898" s="125" t="s">
        <v>460</v>
      </c>
      <c r="D898" s="125" t="s">
        <v>454</v>
      </c>
      <c r="E898" s="125" t="s">
        <v>284</v>
      </c>
      <c r="F898" s="126">
        <v>41284.0</v>
      </c>
      <c r="G898" s="127">
        <v>1.07E8</v>
      </c>
      <c r="H898" s="126">
        <v>41295.0</v>
      </c>
      <c r="I898" s="128">
        <v>8458.0</v>
      </c>
      <c r="J898" s="128">
        <v>47.45</v>
      </c>
      <c r="K898" s="128">
        <v>31.79</v>
      </c>
      <c r="L898" s="128">
        <v>401332.1</v>
      </c>
      <c r="M898" s="128">
        <v>268879.8</v>
      </c>
      <c r="N898" s="128">
        <v>132452.3</v>
      </c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125" t="s">
        <v>475</v>
      </c>
      <c r="B899" s="125" t="s">
        <v>636</v>
      </c>
      <c r="C899" s="125" t="s">
        <v>480</v>
      </c>
      <c r="D899" s="125" t="s">
        <v>457</v>
      </c>
      <c r="E899" s="125" t="s">
        <v>189</v>
      </c>
      <c r="F899" s="126">
        <v>41685.0</v>
      </c>
      <c r="G899" s="127">
        <v>4.98E8</v>
      </c>
      <c r="H899" s="126">
        <v>41726.0</v>
      </c>
      <c r="I899" s="128">
        <v>9089.0</v>
      </c>
      <c r="J899" s="128">
        <v>437.2</v>
      </c>
      <c r="K899" s="128">
        <v>263.33</v>
      </c>
      <c r="L899" s="128">
        <v>3973711.0</v>
      </c>
      <c r="M899" s="128">
        <v>2393406.0</v>
      </c>
      <c r="N899" s="128">
        <v>1580304.0</v>
      </c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125" t="s">
        <v>475</v>
      </c>
      <c r="B900" s="125" t="s">
        <v>507</v>
      </c>
      <c r="C900" s="125" t="s">
        <v>480</v>
      </c>
      <c r="D900" s="125" t="s">
        <v>454</v>
      </c>
      <c r="E900" s="125" t="s">
        <v>189</v>
      </c>
      <c r="F900" s="126">
        <v>41026.0</v>
      </c>
      <c r="G900" s="127">
        <v>8.13E8</v>
      </c>
      <c r="H900" s="126">
        <v>41044.0</v>
      </c>
      <c r="I900" s="128">
        <v>9927.0</v>
      </c>
      <c r="J900" s="128">
        <v>437.2</v>
      </c>
      <c r="K900" s="128">
        <v>263.33</v>
      </c>
      <c r="L900" s="128">
        <v>4340084.0</v>
      </c>
      <c r="M900" s="128">
        <v>2614077.0</v>
      </c>
      <c r="N900" s="128">
        <v>1726007.0</v>
      </c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125" t="s">
        <v>475</v>
      </c>
      <c r="B901" s="125" t="s">
        <v>566</v>
      </c>
      <c r="C901" s="125" t="s">
        <v>453</v>
      </c>
      <c r="D901" s="125" t="s">
        <v>457</v>
      </c>
      <c r="E901" s="125" t="s">
        <v>189</v>
      </c>
      <c r="F901" s="126">
        <v>42826.0</v>
      </c>
      <c r="G901" s="127">
        <v>7.68E8</v>
      </c>
      <c r="H901" s="126">
        <v>42842.0</v>
      </c>
      <c r="I901" s="128">
        <v>2537.0</v>
      </c>
      <c r="J901" s="128">
        <v>255.28</v>
      </c>
      <c r="K901" s="128">
        <v>159.42</v>
      </c>
      <c r="L901" s="128">
        <v>647645.4</v>
      </c>
      <c r="M901" s="128">
        <v>404448.5</v>
      </c>
      <c r="N901" s="128">
        <v>243196.8</v>
      </c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125" t="s">
        <v>466</v>
      </c>
      <c r="B902" s="125" t="s">
        <v>492</v>
      </c>
      <c r="C902" s="125" t="s">
        <v>494</v>
      </c>
      <c r="D902" s="125" t="s">
        <v>457</v>
      </c>
      <c r="E902" s="125" t="s">
        <v>464</v>
      </c>
      <c r="F902" s="126">
        <v>42692.0</v>
      </c>
      <c r="G902" s="127">
        <v>5.98E8</v>
      </c>
      <c r="H902" s="126">
        <v>42711.0</v>
      </c>
      <c r="I902" s="128">
        <v>520.0</v>
      </c>
      <c r="J902" s="128">
        <v>9.33</v>
      </c>
      <c r="K902" s="128">
        <v>6.92</v>
      </c>
      <c r="L902" s="128">
        <v>4851.6</v>
      </c>
      <c r="M902" s="128">
        <v>3598.4</v>
      </c>
      <c r="N902" s="128">
        <v>1253.2</v>
      </c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125" t="s">
        <v>466</v>
      </c>
      <c r="B903" s="125" t="s">
        <v>502</v>
      </c>
      <c r="C903" s="125" t="s">
        <v>468</v>
      </c>
      <c r="D903" s="125" t="s">
        <v>454</v>
      </c>
      <c r="E903" s="125" t="s">
        <v>284</v>
      </c>
      <c r="F903" s="126">
        <v>40773.0</v>
      </c>
      <c r="G903" s="127">
        <v>6.1E8</v>
      </c>
      <c r="H903" s="126">
        <v>40775.0</v>
      </c>
      <c r="I903" s="128">
        <v>4504.0</v>
      </c>
      <c r="J903" s="128">
        <v>81.73</v>
      </c>
      <c r="K903" s="128">
        <v>56.67</v>
      </c>
      <c r="L903" s="128">
        <v>368111.9</v>
      </c>
      <c r="M903" s="128">
        <v>255241.7</v>
      </c>
      <c r="N903" s="128">
        <v>112870.2</v>
      </c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125" t="s">
        <v>458</v>
      </c>
      <c r="B904" s="125" t="s">
        <v>551</v>
      </c>
      <c r="C904" s="125" t="s">
        <v>485</v>
      </c>
      <c r="D904" s="125" t="s">
        <v>454</v>
      </c>
      <c r="E904" s="125" t="s">
        <v>472</v>
      </c>
      <c r="F904" s="126">
        <v>40371.0</v>
      </c>
      <c r="G904" s="127">
        <v>7.3E8</v>
      </c>
      <c r="H904" s="126">
        <v>40373.0</v>
      </c>
      <c r="I904" s="128">
        <v>7151.0</v>
      </c>
      <c r="J904" s="128">
        <v>421.89</v>
      </c>
      <c r="K904" s="128">
        <v>364.69</v>
      </c>
      <c r="L904" s="128">
        <v>3016935.0</v>
      </c>
      <c r="M904" s="128">
        <v>2607898.0</v>
      </c>
      <c r="N904" s="128">
        <v>409037.2</v>
      </c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125" t="s">
        <v>466</v>
      </c>
      <c r="B905" s="125" t="s">
        <v>612</v>
      </c>
      <c r="C905" s="125" t="s">
        <v>468</v>
      </c>
      <c r="D905" s="125" t="s">
        <v>454</v>
      </c>
      <c r="E905" s="125" t="s">
        <v>472</v>
      </c>
      <c r="F905" s="126">
        <v>41028.0</v>
      </c>
      <c r="G905" s="127">
        <v>9.56E8</v>
      </c>
      <c r="H905" s="126">
        <v>41074.0</v>
      </c>
      <c r="I905" s="128">
        <v>8153.0</v>
      </c>
      <c r="J905" s="128">
        <v>81.73</v>
      </c>
      <c r="K905" s="128">
        <v>56.67</v>
      </c>
      <c r="L905" s="128">
        <v>666344.7</v>
      </c>
      <c r="M905" s="128">
        <v>462030.5</v>
      </c>
      <c r="N905" s="128">
        <v>204314.2</v>
      </c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125" t="s">
        <v>458</v>
      </c>
      <c r="B906" s="125" t="s">
        <v>547</v>
      </c>
      <c r="C906" s="125" t="s">
        <v>463</v>
      </c>
      <c r="D906" s="125" t="s">
        <v>454</v>
      </c>
      <c r="E906" s="125" t="s">
        <v>464</v>
      </c>
      <c r="F906" s="126">
        <v>42675.0</v>
      </c>
      <c r="G906" s="127">
        <v>9.05E8</v>
      </c>
      <c r="H906" s="126">
        <v>42694.0</v>
      </c>
      <c r="I906" s="128">
        <v>9234.0</v>
      </c>
      <c r="J906" s="128">
        <v>205.7</v>
      </c>
      <c r="K906" s="128">
        <v>117.11</v>
      </c>
      <c r="L906" s="128">
        <v>1899434.0</v>
      </c>
      <c r="M906" s="128">
        <v>1081394.0</v>
      </c>
      <c r="N906" s="128">
        <v>818040.1</v>
      </c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125" t="s">
        <v>469</v>
      </c>
      <c r="B907" s="125" t="s">
        <v>470</v>
      </c>
      <c r="C907" s="125" t="s">
        <v>485</v>
      </c>
      <c r="D907" s="125" t="s">
        <v>457</v>
      </c>
      <c r="E907" s="125" t="s">
        <v>472</v>
      </c>
      <c r="F907" s="126">
        <v>41483.0</v>
      </c>
      <c r="G907" s="127">
        <v>2.64E8</v>
      </c>
      <c r="H907" s="126">
        <v>41485.0</v>
      </c>
      <c r="I907" s="128">
        <v>9149.0</v>
      </c>
      <c r="J907" s="128">
        <v>421.89</v>
      </c>
      <c r="K907" s="128">
        <v>364.69</v>
      </c>
      <c r="L907" s="128">
        <v>3859872.0</v>
      </c>
      <c r="M907" s="128">
        <v>3336549.0</v>
      </c>
      <c r="N907" s="128">
        <v>523322.8</v>
      </c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125" t="s">
        <v>451</v>
      </c>
      <c r="B908" s="125" t="s">
        <v>609</v>
      </c>
      <c r="C908" s="125" t="s">
        <v>453</v>
      </c>
      <c r="D908" s="125" t="s">
        <v>454</v>
      </c>
      <c r="E908" s="125" t="s">
        <v>284</v>
      </c>
      <c r="F908" s="126">
        <v>42310.0</v>
      </c>
      <c r="G908" s="127">
        <v>1.41E8</v>
      </c>
      <c r="H908" s="126">
        <v>42344.0</v>
      </c>
      <c r="I908" s="128">
        <v>8684.0</v>
      </c>
      <c r="J908" s="128">
        <v>255.28</v>
      </c>
      <c r="K908" s="128">
        <v>159.42</v>
      </c>
      <c r="L908" s="128">
        <v>2216852.0</v>
      </c>
      <c r="M908" s="128">
        <v>1384403.0</v>
      </c>
      <c r="N908" s="128">
        <v>832448.2</v>
      </c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125" t="s">
        <v>475</v>
      </c>
      <c r="B909" s="125" t="s">
        <v>562</v>
      </c>
      <c r="C909" s="125" t="s">
        <v>471</v>
      </c>
      <c r="D909" s="125" t="s">
        <v>454</v>
      </c>
      <c r="E909" s="125" t="s">
        <v>284</v>
      </c>
      <c r="F909" s="126">
        <v>40722.0</v>
      </c>
      <c r="G909" s="127">
        <v>8.14E8</v>
      </c>
      <c r="H909" s="126">
        <v>40765.0</v>
      </c>
      <c r="I909" s="128">
        <v>5656.0</v>
      </c>
      <c r="J909" s="128">
        <v>109.28</v>
      </c>
      <c r="K909" s="128">
        <v>35.84</v>
      </c>
      <c r="L909" s="128">
        <v>618087.7</v>
      </c>
      <c r="M909" s="128">
        <v>202711.0</v>
      </c>
      <c r="N909" s="128">
        <v>415376.6</v>
      </c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125" t="s">
        <v>458</v>
      </c>
      <c r="B910" s="125" t="s">
        <v>498</v>
      </c>
      <c r="C910" s="125" t="s">
        <v>471</v>
      </c>
      <c r="D910" s="125" t="s">
        <v>454</v>
      </c>
      <c r="E910" s="125" t="s">
        <v>284</v>
      </c>
      <c r="F910" s="126">
        <v>40972.0</v>
      </c>
      <c r="G910" s="127">
        <v>3.82E8</v>
      </c>
      <c r="H910" s="126">
        <v>40993.0</v>
      </c>
      <c r="I910" s="128">
        <v>9914.0</v>
      </c>
      <c r="J910" s="128">
        <v>109.28</v>
      </c>
      <c r="K910" s="128">
        <v>35.84</v>
      </c>
      <c r="L910" s="128">
        <v>1083402.0</v>
      </c>
      <c r="M910" s="128">
        <v>355317.8</v>
      </c>
      <c r="N910" s="128">
        <v>728084.2</v>
      </c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125" t="s">
        <v>458</v>
      </c>
      <c r="B911" s="125" t="s">
        <v>642</v>
      </c>
      <c r="C911" s="125" t="s">
        <v>480</v>
      </c>
      <c r="D911" s="125" t="s">
        <v>457</v>
      </c>
      <c r="E911" s="125" t="s">
        <v>189</v>
      </c>
      <c r="F911" s="126">
        <v>40788.0</v>
      </c>
      <c r="G911" s="127">
        <v>6.13E8</v>
      </c>
      <c r="H911" s="126">
        <v>40837.0</v>
      </c>
      <c r="I911" s="128">
        <v>8338.0</v>
      </c>
      <c r="J911" s="128">
        <v>437.2</v>
      </c>
      <c r="K911" s="128">
        <v>263.33</v>
      </c>
      <c r="L911" s="128">
        <v>3645374.0</v>
      </c>
      <c r="M911" s="128">
        <v>2195646.0</v>
      </c>
      <c r="N911" s="128">
        <v>1449728.0</v>
      </c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125" t="s">
        <v>475</v>
      </c>
      <c r="B912" s="125" t="s">
        <v>600</v>
      </c>
      <c r="C912" s="125" t="s">
        <v>456</v>
      </c>
      <c r="D912" s="125" t="s">
        <v>457</v>
      </c>
      <c r="E912" s="125" t="s">
        <v>472</v>
      </c>
      <c r="F912" s="126">
        <v>41051.0</v>
      </c>
      <c r="G912" s="127">
        <v>1.97E8</v>
      </c>
      <c r="H912" s="126">
        <v>41071.0</v>
      </c>
      <c r="I912" s="128">
        <v>9839.0</v>
      </c>
      <c r="J912" s="128">
        <v>152.58</v>
      </c>
      <c r="K912" s="128">
        <v>97.44</v>
      </c>
      <c r="L912" s="128">
        <v>1501235.0</v>
      </c>
      <c r="M912" s="128">
        <v>958712.2</v>
      </c>
      <c r="N912" s="128">
        <v>542522.5</v>
      </c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125" t="s">
        <v>451</v>
      </c>
      <c r="B913" s="125" t="s">
        <v>596</v>
      </c>
      <c r="C913" s="125" t="s">
        <v>471</v>
      </c>
      <c r="D913" s="125" t="s">
        <v>457</v>
      </c>
      <c r="E913" s="125" t="s">
        <v>189</v>
      </c>
      <c r="F913" s="126">
        <v>41648.0</v>
      </c>
      <c r="G913" s="127">
        <v>5.93E8</v>
      </c>
      <c r="H913" s="126">
        <v>41663.0</v>
      </c>
      <c r="I913" s="128">
        <v>359.0</v>
      </c>
      <c r="J913" s="128">
        <v>109.28</v>
      </c>
      <c r="K913" s="128">
        <v>35.84</v>
      </c>
      <c r="L913" s="128">
        <v>39231.52</v>
      </c>
      <c r="M913" s="128">
        <v>12866.56</v>
      </c>
      <c r="N913" s="128">
        <v>26364.96</v>
      </c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125" t="s">
        <v>458</v>
      </c>
      <c r="B914" s="125" t="s">
        <v>538</v>
      </c>
      <c r="C914" s="125" t="s">
        <v>478</v>
      </c>
      <c r="D914" s="125" t="s">
        <v>457</v>
      </c>
      <c r="E914" s="125" t="s">
        <v>189</v>
      </c>
      <c r="F914" s="126">
        <v>42858.0</v>
      </c>
      <c r="G914" s="127">
        <v>1.81E8</v>
      </c>
      <c r="H914" s="126">
        <v>42889.0</v>
      </c>
      <c r="I914" s="128">
        <v>7872.0</v>
      </c>
      <c r="J914" s="128">
        <v>651.21</v>
      </c>
      <c r="K914" s="128">
        <v>524.96</v>
      </c>
      <c r="L914" s="128">
        <v>5126325.0</v>
      </c>
      <c r="M914" s="128">
        <v>4132485.0</v>
      </c>
      <c r="N914" s="128">
        <v>993840.0</v>
      </c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125" t="s">
        <v>475</v>
      </c>
      <c r="B915" s="125" t="s">
        <v>588</v>
      </c>
      <c r="C915" s="125" t="s">
        <v>456</v>
      </c>
      <c r="D915" s="125" t="s">
        <v>454</v>
      </c>
      <c r="E915" s="125" t="s">
        <v>464</v>
      </c>
      <c r="F915" s="126">
        <v>41196.0</v>
      </c>
      <c r="G915" s="127">
        <v>1.11E8</v>
      </c>
      <c r="H915" s="126">
        <v>41246.0</v>
      </c>
      <c r="I915" s="128">
        <v>7383.0</v>
      </c>
      <c r="J915" s="128">
        <v>152.58</v>
      </c>
      <c r="K915" s="128">
        <v>97.44</v>
      </c>
      <c r="L915" s="128">
        <v>1126498.0</v>
      </c>
      <c r="M915" s="128">
        <v>719399.5</v>
      </c>
      <c r="N915" s="128">
        <v>407098.6</v>
      </c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125" t="s">
        <v>461</v>
      </c>
      <c r="B916" s="125" t="s">
        <v>618</v>
      </c>
      <c r="C916" s="125" t="s">
        <v>478</v>
      </c>
      <c r="D916" s="125" t="s">
        <v>454</v>
      </c>
      <c r="E916" s="125" t="s">
        <v>189</v>
      </c>
      <c r="F916" s="126">
        <v>41867.0</v>
      </c>
      <c r="G916" s="127">
        <v>2.53E8</v>
      </c>
      <c r="H916" s="126">
        <v>41885.0</v>
      </c>
      <c r="I916" s="128">
        <v>5928.0</v>
      </c>
      <c r="J916" s="128">
        <v>651.21</v>
      </c>
      <c r="K916" s="128">
        <v>524.96</v>
      </c>
      <c r="L916" s="128">
        <v>3860373.0</v>
      </c>
      <c r="M916" s="128">
        <v>3111963.0</v>
      </c>
      <c r="N916" s="128">
        <v>748410.0</v>
      </c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125" t="s">
        <v>466</v>
      </c>
      <c r="B917" s="125" t="s">
        <v>492</v>
      </c>
      <c r="C917" s="125" t="s">
        <v>471</v>
      </c>
      <c r="D917" s="125" t="s">
        <v>457</v>
      </c>
      <c r="E917" s="125" t="s">
        <v>472</v>
      </c>
      <c r="F917" s="126">
        <v>40782.0</v>
      </c>
      <c r="G917" s="127">
        <v>5.48E8</v>
      </c>
      <c r="H917" s="126">
        <v>40803.0</v>
      </c>
      <c r="I917" s="128">
        <v>7574.0</v>
      </c>
      <c r="J917" s="128">
        <v>109.28</v>
      </c>
      <c r="K917" s="128">
        <v>35.84</v>
      </c>
      <c r="L917" s="128">
        <v>827686.7</v>
      </c>
      <c r="M917" s="128">
        <v>271452.2</v>
      </c>
      <c r="N917" s="128">
        <v>556234.6</v>
      </c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125" t="s">
        <v>461</v>
      </c>
      <c r="B918" s="125" t="s">
        <v>539</v>
      </c>
      <c r="C918" s="125" t="s">
        <v>506</v>
      </c>
      <c r="D918" s="125" t="s">
        <v>454</v>
      </c>
      <c r="E918" s="125" t="s">
        <v>189</v>
      </c>
      <c r="F918" s="126">
        <v>42540.0</v>
      </c>
      <c r="G918" s="127">
        <v>5.57E8</v>
      </c>
      <c r="H918" s="126">
        <v>42547.0</v>
      </c>
      <c r="I918" s="128">
        <v>8421.0</v>
      </c>
      <c r="J918" s="128">
        <v>154.06</v>
      </c>
      <c r="K918" s="128">
        <v>90.93</v>
      </c>
      <c r="L918" s="128">
        <v>1297339.0</v>
      </c>
      <c r="M918" s="128">
        <v>765721.5</v>
      </c>
      <c r="N918" s="128">
        <v>531617.7</v>
      </c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125" t="s">
        <v>451</v>
      </c>
      <c r="B919" s="125" t="s">
        <v>620</v>
      </c>
      <c r="C919" s="125" t="s">
        <v>514</v>
      </c>
      <c r="D919" s="125" t="s">
        <v>457</v>
      </c>
      <c r="E919" s="125" t="s">
        <v>464</v>
      </c>
      <c r="F919" s="126">
        <v>42448.0</v>
      </c>
      <c r="G919" s="127">
        <v>8.11E8</v>
      </c>
      <c r="H919" s="126">
        <v>42461.0</v>
      </c>
      <c r="I919" s="128">
        <v>1597.0</v>
      </c>
      <c r="J919" s="128">
        <v>668.27</v>
      </c>
      <c r="K919" s="128">
        <v>502.54</v>
      </c>
      <c r="L919" s="128">
        <v>1067227.0</v>
      </c>
      <c r="M919" s="128">
        <v>802556.4</v>
      </c>
      <c r="N919" s="128">
        <v>264670.8</v>
      </c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125" t="s">
        <v>466</v>
      </c>
      <c r="B920" s="125" t="s">
        <v>479</v>
      </c>
      <c r="C920" s="125" t="s">
        <v>471</v>
      </c>
      <c r="D920" s="125" t="s">
        <v>457</v>
      </c>
      <c r="E920" s="125" t="s">
        <v>464</v>
      </c>
      <c r="F920" s="126">
        <v>41733.0</v>
      </c>
      <c r="G920" s="127">
        <v>5.61E8</v>
      </c>
      <c r="H920" s="126">
        <v>41771.0</v>
      </c>
      <c r="I920" s="128">
        <v>2264.0</v>
      </c>
      <c r="J920" s="128">
        <v>109.28</v>
      </c>
      <c r="K920" s="128">
        <v>35.84</v>
      </c>
      <c r="L920" s="128">
        <v>247409.9</v>
      </c>
      <c r="M920" s="128">
        <v>81141.76</v>
      </c>
      <c r="N920" s="128">
        <v>166268.2</v>
      </c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125" t="s">
        <v>469</v>
      </c>
      <c r="B921" s="125" t="s">
        <v>650</v>
      </c>
      <c r="C921" s="125" t="s">
        <v>480</v>
      </c>
      <c r="D921" s="125" t="s">
        <v>457</v>
      </c>
      <c r="E921" s="125" t="s">
        <v>464</v>
      </c>
      <c r="F921" s="126">
        <v>40629.0</v>
      </c>
      <c r="G921" s="127">
        <v>9.31E8</v>
      </c>
      <c r="H921" s="126">
        <v>40648.0</v>
      </c>
      <c r="I921" s="128">
        <v>2614.0</v>
      </c>
      <c r="J921" s="128">
        <v>437.2</v>
      </c>
      <c r="K921" s="128">
        <v>263.33</v>
      </c>
      <c r="L921" s="128">
        <v>1142841.0</v>
      </c>
      <c r="M921" s="128">
        <v>688344.6</v>
      </c>
      <c r="N921" s="128">
        <v>454496.2</v>
      </c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125" t="s">
        <v>451</v>
      </c>
      <c r="B922" s="125" t="s">
        <v>546</v>
      </c>
      <c r="C922" s="125" t="s">
        <v>471</v>
      </c>
      <c r="D922" s="125" t="s">
        <v>454</v>
      </c>
      <c r="E922" s="125" t="s">
        <v>464</v>
      </c>
      <c r="F922" s="126">
        <v>42525.0</v>
      </c>
      <c r="G922" s="127">
        <v>8.61E8</v>
      </c>
      <c r="H922" s="126">
        <v>42533.0</v>
      </c>
      <c r="I922" s="128">
        <v>6872.0</v>
      </c>
      <c r="J922" s="128">
        <v>109.28</v>
      </c>
      <c r="K922" s="128">
        <v>35.84</v>
      </c>
      <c r="L922" s="128">
        <v>750972.2</v>
      </c>
      <c r="M922" s="128">
        <v>246292.5</v>
      </c>
      <c r="N922" s="128">
        <v>504679.7</v>
      </c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125" t="s">
        <v>458</v>
      </c>
      <c r="B923" s="125" t="s">
        <v>653</v>
      </c>
      <c r="C923" s="125" t="s">
        <v>456</v>
      </c>
      <c r="D923" s="125" t="s">
        <v>454</v>
      </c>
      <c r="E923" s="125" t="s">
        <v>284</v>
      </c>
      <c r="F923" s="126">
        <v>41518.0</v>
      </c>
      <c r="G923" s="127">
        <v>2.65E8</v>
      </c>
      <c r="H923" s="126">
        <v>41565.0</v>
      </c>
      <c r="I923" s="128">
        <v>6291.0</v>
      </c>
      <c r="J923" s="128">
        <v>152.58</v>
      </c>
      <c r="K923" s="128">
        <v>97.44</v>
      </c>
      <c r="L923" s="128">
        <v>959880.8</v>
      </c>
      <c r="M923" s="128">
        <v>612995.0</v>
      </c>
      <c r="N923" s="128">
        <v>346885.7</v>
      </c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125" t="s">
        <v>458</v>
      </c>
      <c r="B924" s="125" t="s">
        <v>555</v>
      </c>
      <c r="C924" s="125" t="s">
        <v>494</v>
      </c>
      <c r="D924" s="125" t="s">
        <v>454</v>
      </c>
      <c r="E924" s="125" t="s">
        <v>464</v>
      </c>
      <c r="F924" s="126">
        <v>40390.0</v>
      </c>
      <c r="G924" s="127">
        <v>4.75E8</v>
      </c>
      <c r="H924" s="126">
        <v>40425.0</v>
      </c>
      <c r="I924" s="128">
        <v>4159.0</v>
      </c>
      <c r="J924" s="128">
        <v>9.33</v>
      </c>
      <c r="K924" s="128">
        <v>6.92</v>
      </c>
      <c r="L924" s="128">
        <v>38803.47</v>
      </c>
      <c r="M924" s="128">
        <v>28780.28</v>
      </c>
      <c r="N924" s="128">
        <v>10023.19</v>
      </c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125" t="s">
        <v>458</v>
      </c>
      <c r="B925" s="125" t="s">
        <v>567</v>
      </c>
      <c r="C925" s="125" t="s">
        <v>453</v>
      </c>
      <c r="D925" s="125" t="s">
        <v>457</v>
      </c>
      <c r="E925" s="125" t="s">
        <v>472</v>
      </c>
      <c r="F925" s="126">
        <v>40931.0</v>
      </c>
      <c r="G925" s="127">
        <v>1.95E8</v>
      </c>
      <c r="H925" s="126">
        <v>40946.0</v>
      </c>
      <c r="I925" s="128">
        <v>791.0</v>
      </c>
      <c r="J925" s="128">
        <v>255.28</v>
      </c>
      <c r="K925" s="128">
        <v>159.42</v>
      </c>
      <c r="L925" s="128">
        <v>201926.5</v>
      </c>
      <c r="M925" s="128">
        <v>126101.2</v>
      </c>
      <c r="N925" s="128">
        <v>75825.26</v>
      </c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125" t="s">
        <v>458</v>
      </c>
      <c r="B926" s="125" t="s">
        <v>603</v>
      </c>
      <c r="C926" s="125" t="s">
        <v>456</v>
      </c>
      <c r="D926" s="125" t="s">
        <v>457</v>
      </c>
      <c r="E926" s="125" t="s">
        <v>189</v>
      </c>
      <c r="F926" s="126">
        <v>42554.0</v>
      </c>
      <c r="G926" s="127">
        <v>4.48E8</v>
      </c>
      <c r="H926" s="126">
        <v>42596.0</v>
      </c>
      <c r="I926" s="128">
        <v>8538.0</v>
      </c>
      <c r="J926" s="128">
        <v>152.58</v>
      </c>
      <c r="K926" s="128">
        <v>97.44</v>
      </c>
      <c r="L926" s="128">
        <v>1302728.0</v>
      </c>
      <c r="M926" s="128">
        <v>831942.7</v>
      </c>
      <c r="N926" s="128">
        <v>470785.3</v>
      </c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125" t="s">
        <v>458</v>
      </c>
      <c r="B927" s="125" t="s">
        <v>551</v>
      </c>
      <c r="C927" s="125" t="s">
        <v>468</v>
      </c>
      <c r="D927" s="125" t="s">
        <v>454</v>
      </c>
      <c r="E927" s="125" t="s">
        <v>472</v>
      </c>
      <c r="F927" s="126">
        <v>40912.0</v>
      </c>
      <c r="G927" s="127">
        <v>5.27E8</v>
      </c>
      <c r="H927" s="126">
        <v>40919.0</v>
      </c>
      <c r="I927" s="128">
        <v>6779.0</v>
      </c>
      <c r="J927" s="128">
        <v>81.73</v>
      </c>
      <c r="K927" s="128">
        <v>56.67</v>
      </c>
      <c r="L927" s="128">
        <v>554047.7</v>
      </c>
      <c r="M927" s="128">
        <v>384165.9</v>
      </c>
      <c r="N927" s="128">
        <v>169881.7</v>
      </c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125" t="s">
        <v>461</v>
      </c>
      <c r="B928" s="125" t="s">
        <v>522</v>
      </c>
      <c r="C928" s="125" t="s">
        <v>460</v>
      </c>
      <c r="D928" s="125" t="s">
        <v>454</v>
      </c>
      <c r="E928" s="125" t="s">
        <v>189</v>
      </c>
      <c r="F928" s="126">
        <v>40344.0</v>
      </c>
      <c r="G928" s="127">
        <v>2.48E8</v>
      </c>
      <c r="H928" s="126">
        <v>40362.0</v>
      </c>
      <c r="I928" s="128">
        <v>6925.0</v>
      </c>
      <c r="J928" s="128">
        <v>47.45</v>
      </c>
      <c r="K928" s="128">
        <v>31.79</v>
      </c>
      <c r="L928" s="128">
        <v>328591.3</v>
      </c>
      <c r="M928" s="128">
        <v>220145.8</v>
      </c>
      <c r="N928" s="128">
        <v>108445.5</v>
      </c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125" t="s">
        <v>451</v>
      </c>
      <c r="B929" s="125" t="s">
        <v>587</v>
      </c>
      <c r="C929" s="125" t="s">
        <v>485</v>
      </c>
      <c r="D929" s="125" t="s">
        <v>457</v>
      </c>
      <c r="E929" s="125" t="s">
        <v>284</v>
      </c>
      <c r="F929" s="126">
        <v>41428.0</v>
      </c>
      <c r="G929" s="127">
        <v>3.94E8</v>
      </c>
      <c r="H929" s="126">
        <v>41446.0</v>
      </c>
      <c r="I929" s="128">
        <v>7418.0</v>
      </c>
      <c r="J929" s="128">
        <v>421.89</v>
      </c>
      <c r="K929" s="128">
        <v>364.69</v>
      </c>
      <c r="L929" s="128">
        <v>3129580.0</v>
      </c>
      <c r="M929" s="128">
        <v>2705270.0</v>
      </c>
      <c r="N929" s="128">
        <v>424309.6</v>
      </c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125" t="s">
        <v>475</v>
      </c>
      <c r="B930" s="125" t="s">
        <v>604</v>
      </c>
      <c r="C930" s="125" t="s">
        <v>471</v>
      </c>
      <c r="D930" s="125" t="s">
        <v>457</v>
      </c>
      <c r="E930" s="125" t="s">
        <v>189</v>
      </c>
      <c r="F930" s="126">
        <v>42368.0</v>
      </c>
      <c r="G930" s="127">
        <v>4.7E8</v>
      </c>
      <c r="H930" s="126">
        <v>42382.0</v>
      </c>
      <c r="I930" s="128">
        <v>8732.0</v>
      </c>
      <c r="J930" s="128">
        <v>109.28</v>
      </c>
      <c r="K930" s="128">
        <v>35.84</v>
      </c>
      <c r="L930" s="128">
        <v>954233.0</v>
      </c>
      <c r="M930" s="128">
        <v>312954.9</v>
      </c>
      <c r="N930" s="128">
        <v>641278.1</v>
      </c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125" t="s">
        <v>461</v>
      </c>
      <c r="B931" s="125" t="s">
        <v>621</v>
      </c>
      <c r="C931" s="125" t="s">
        <v>494</v>
      </c>
      <c r="D931" s="125" t="s">
        <v>454</v>
      </c>
      <c r="E931" s="125" t="s">
        <v>189</v>
      </c>
      <c r="F931" s="126">
        <v>40372.0</v>
      </c>
      <c r="G931" s="127">
        <v>9.51E8</v>
      </c>
      <c r="H931" s="126">
        <v>40376.0</v>
      </c>
      <c r="I931" s="128">
        <v>8373.0</v>
      </c>
      <c r="J931" s="128">
        <v>9.33</v>
      </c>
      <c r="K931" s="128">
        <v>6.92</v>
      </c>
      <c r="L931" s="128">
        <v>78120.09</v>
      </c>
      <c r="M931" s="128">
        <v>57941.16</v>
      </c>
      <c r="N931" s="128">
        <v>20178.93</v>
      </c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125" t="s">
        <v>475</v>
      </c>
      <c r="B932" s="125" t="s">
        <v>500</v>
      </c>
      <c r="C932" s="125" t="s">
        <v>480</v>
      </c>
      <c r="D932" s="125" t="s">
        <v>457</v>
      </c>
      <c r="E932" s="125" t="s">
        <v>189</v>
      </c>
      <c r="F932" s="126">
        <v>41335.0</v>
      </c>
      <c r="G932" s="127">
        <v>1.32E8</v>
      </c>
      <c r="H932" s="126">
        <v>41380.0</v>
      </c>
      <c r="I932" s="128">
        <v>5875.0</v>
      </c>
      <c r="J932" s="128">
        <v>437.2</v>
      </c>
      <c r="K932" s="128">
        <v>263.33</v>
      </c>
      <c r="L932" s="128">
        <v>2568550.0</v>
      </c>
      <c r="M932" s="128">
        <v>1547064.0</v>
      </c>
      <c r="N932" s="128">
        <v>1021486.0</v>
      </c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125" t="s">
        <v>458</v>
      </c>
      <c r="B933" s="125" t="s">
        <v>583</v>
      </c>
      <c r="C933" s="125" t="s">
        <v>453</v>
      </c>
      <c r="D933" s="125" t="s">
        <v>454</v>
      </c>
      <c r="E933" s="125" t="s">
        <v>189</v>
      </c>
      <c r="F933" s="126">
        <v>41861.0</v>
      </c>
      <c r="G933" s="127">
        <v>8.8E8</v>
      </c>
      <c r="H933" s="126">
        <v>41897.0</v>
      </c>
      <c r="I933" s="128">
        <v>7807.0</v>
      </c>
      <c r="J933" s="128">
        <v>255.28</v>
      </c>
      <c r="K933" s="128">
        <v>159.42</v>
      </c>
      <c r="L933" s="128">
        <v>1992971.0</v>
      </c>
      <c r="M933" s="128">
        <v>1244592.0</v>
      </c>
      <c r="N933" s="128">
        <v>748379.0</v>
      </c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125" t="s">
        <v>458</v>
      </c>
      <c r="B934" s="125" t="s">
        <v>545</v>
      </c>
      <c r="C934" s="125" t="s">
        <v>456</v>
      </c>
      <c r="D934" s="125" t="s">
        <v>457</v>
      </c>
      <c r="E934" s="125" t="s">
        <v>472</v>
      </c>
      <c r="F934" s="126">
        <v>41707.0</v>
      </c>
      <c r="G934" s="127">
        <v>2.8E8</v>
      </c>
      <c r="H934" s="126">
        <v>41743.0</v>
      </c>
      <c r="I934" s="128">
        <v>2767.0</v>
      </c>
      <c r="J934" s="128">
        <v>152.58</v>
      </c>
      <c r="K934" s="128">
        <v>97.44</v>
      </c>
      <c r="L934" s="128">
        <v>422188.9</v>
      </c>
      <c r="M934" s="128">
        <v>269616.5</v>
      </c>
      <c r="N934" s="128">
        <v>152572.4</v>
      </c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125" t="s">
        <v>469</v>
      </c>
      <c r="B935" s="125" t="s">
        <v>530</v>
      </c>
      <c r="C935" s="125" t="s">
        <v>460</v>
      </c>
      <c r="D935" s="125" t="s">
        <v>457</v>
      </c>
      <c r="E935" s="125" t="s">
        <v>284</v>
      </c>
      <c r="F935" s="126">
        <v>42404.0</v>
      </c>
      <c r="G935" s="127">
        <v>8.88E8</v>
      </c>
      <c r="H935" s="126">
        <v>42449.0</v>
      </c>
      <c r="I935" s="128">
        <v>6385.0</v>
      </c>
      <c r="J935" s="128">
        <v>47.45</v>
      </c>
      <c r="K935" s="128">
        <v>31.79</v>
      </c>
      <c r="L935" s="128">
        <v>302968.3</v>
      </c>
      <c r="M935" s="128">
        <v>202979.2</v>
      </c>
      <c r="N935" s="128">
        <v>99989.1</v>
      </c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125" t="s">
        <v>475</v>
      </c>
      <c r="B936" s="125" t="s">
        <v>605</v>
      </c>
      <c r="C936" s="125" t="s">
        <v>480</v>
      </c>
      <c r="D936" s="125" t="s">
        <v>454</v>
      </c>
      <c r="E936" s="125" t="s">
        <v>472</v>
      </c>
      <c r="F936" s="126">
        <v>40340.0</v>
      </c>
      <c r="G936" s="127">
        <v>3.82E8</v>
      </c>
      <c r="H936" s="126">
        <v>40364.0</v>
      </c>
      <c r="I936" s="128">
        <v>6322.0</v>
      </c>
      <c r="J936" s="128">
        <v>437.2</v>
      </c>
      <c r="K936" s="128">
        <v>263.33</v>
      </c>
      <c r="L936" s="128">
        <v>2763978.0</v>
      </c>
      <c r="M936" s="128">
        <v>1664772.0</v>
      </c>
      <c r="N936" s="128">
        <v>1099206.0</v>
      </c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125" t="s">
        <v>475</v>
      </c>
      <c r="B937" s="125" t="s">
        <v>565</v>
      </c>
      <c r="C937" s="125" t="s">
        <v>514</v>
      </c>
      <c r="D937" s="125" t="s">
        <v>454</v>
      </c>
      <c r="E937" s="125" t="s">
        <v>189</v>
      </c>
      <c r="F937" s="126">
        <v>41970.0</v>
      </c>
      <c r="G937" s="127">
        <v>1.07E8</v>
      </c>
      <c r="H937" s="126">
        <v>41995.0</v>
      </c>
      <c r="I937" s="128">
        <v>7271.0</v>
      </c>
      <c r="J937" s="128">
        <v>668.27</v>
      </c>
      <c r="K937" s="128">
        <v>502.54</v>
      </c>
      <c r="L937" s="128">
        <v>4858991.0</v>
      </c>
      <c r="M937" s="128">
        <v>3653968.0</v>
      </c>
      <c r="N937" s="128">
        <v>1205023.0</v>
      </c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125" t="s">
        <v>451</v>
      </c>
      <c r="B938" s="125" t="s">
        <v>550</v>
      </c>
      <c r="C938" s="125" t="s">
        <v>494</v>
      </c>
      <c r="D938" s="125" t="s">
        <v>457</v>
      </c>
      <c r="E938" s="125" t="s">
        <v>472</v>
      </c>
      <c r="F938" s="126">
        <v>40312.0</v>
      </c>
      <c r="G938" s="127">
        <v>1.32E8</v>
      </c>
      <c r="H938" s="126">
        <v>40323.0</v>
      </c>
      <c r="I938" s="128">
        <v>5954.0</v>
      </c>
      <c r="J938" s="128">
        <v>9.33</v>
      </c>
      <c r="K938" s="128">
        <v>6.92</v>
      </c>
      <c r="L938" s="128">
        <v>55550.82</v>
      </c>
      <c r="M938" s="128">
        <v>41201.68</v>
      </c>
      <c r="N938" s="128">
        <v>14349.14</v>
      </c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125" t="s">
        <v>458</v>
      </c>
      <c r="B939" s="125" t="s">
        <v>559</v>
      </c>
      <c r="C939" s="125" t="s">
        <v>456</v>
      </c>
      <c r="D939" s="125" t="s">
        <v>454</v>
      </c>
      <c r="E939" s="125" t="s">
        <v>189</v>
      </c>
      <c r="F939" s="126">
        <v>41218.0</v>
      </c>
      <c r="G939" s="127">
        <v>5.93E8</v>
      </c>
      <c r="H939" s="126">
        <v>41254.0</v>
      </c>
      <c r="I939" s="128">
        <v>6128.0</v>
      </c>
      <c r="J939" s="128">
        <v>152.58</v>
      </c>
      <c r="K939" s="128">
        <v>97.44</v>
      </c>
      <c r="L939" s="128">
        <v>935010.2</v>
      </c>
      <c r="M939" s="128">
        <v>597112.3</v>
      </c>
      <c r="N939" s="128">
        <v>337897.9</v>
      </c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125" t="s">
        <v>458</v>
      </c>
      <c r="B940" s="125" t="s">
        <v>613</v>
      </c>
      <c r="C940" s="125" t="s">
        <v>453</v>
      </c>
      <c r="D940" s="125" t="s">
        <v>454</v>
      </c>
      <c r="E940" s="125" t="s">
        <v>472</v>
      </c>
      <c r="F940" s="126">
        <v>42629.0</v>
      </c>
      <c r="G940" s="127">
        <v>3.49E8</v>
      </c>
      <c r="H940" s="126">
        <v>42641.0</v>
      </c>
      <c r="I940" s="128">
        <v>3578.0</v>
      </c>
      <c r="J940" s="128">
        <v>255.28</v>
      </c>
      <c r="K940" s="128">
        <v>159.42</v>
      </c>
      <c r="L940" s="128">
        <v>913391.8</v>
      </c>
      <c r="M940" s="128">
        <v>570404.8</v>
      </c>
      <c r="N940" s="128">
        <v>342987.1</v>
      </c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125" t="s">
        <v>451</v>
      </c>
      <c r="B941" s="125" t="s">
        <v>490</v>
      </c>
      <c r="C941" s="125" t="s">
        <v>514</v>
      </c>
      <c r="D941" s="125" t="s">
        <v>454</v>
      </c>
      <c r="E941" s="125" t="s">
        <v>189</v>
      </c>
      <c r="F941" s="126">
        <v>41497.0</v>
      </c>
      <c r="G941" s="127">
        <v>1.28E8</v>
      </c>
      <c r="H941" s="126">
        <v>41543.0</v>
      </c>
      <c r="I941" s="128">
        <v>1122.0</v>
      </c>
      <c r="J941" s="128">
        <v>668.27</v>
      </c>
      <c r="K941" s="128">
        <v>502.54</v>
      </c>
      <c r="L941" s="128">
        <v>749798.9</v>
      </c>
      <c r="M941" s="128">
        <v>563849.9</v>
      </c>
      <c r="N941" s="128">
        <v>185949.1</v>
      </c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125" t="s">
        <v>475</v>
      </c>
      <c r="B942" s="125" t="s">
        <v>656</v>
      </c>
      <c r="C942" s="125" t="s">
        <v>480</v>
      </c>
      <c r="D942" s="125" t="s">
        <v>457</v>
      </c>
      <c r="E942" s="125" t="s">
        <v>284</v>
      </c>
      <c r="F942" s="126">
        <v>40690.0</v>
      </c>
      <c r="G942" s="127">
        <v>2.78E8</v>
      </c>
      <c r="H942" s="126">
        <v>40691.0</v>
      </c>
      <c r="I942" s="128">
        <v>3607.0</v>
      </c>
      <c r="J942" s="128">
        <v>437.2</v>
      </c>
      <c r="K942" s="128">
        <v>263.33</v>
      </c>
      <c r="L942" s="128">
        <v>1576980.0</v>
      </c>
      <c r="M942" s="128">
        <v>949831.3</v>
      </c>
      <c r="N942" s="128">
        <v>627149.1</v>
      </c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125" t="s">
        <v>451</v>
      </c>
      <c r="B943" s="125" t="s">
        <v>608</v>
      </c>
      <c r="C943" s="125" t="s">
        <v>494</v>
      </c>
      <c r="D943" s="125" t="s">
        <v>457</v>
      </c>
      <c r="E943" s="125" t="s">
        <v>472</v>
      </c>
      <c r="F943" s="126">
        <v>42084.0</v>
      </c>
      <c r="G943" s="127">
        <v>3.18E8</v>
      </c>
      <c r="H943" s="126">
        <v>42120.0</v>
      </c>
      <c r="I943" s="128">
        <v>2915.0</v>
      </c>
      <c r="J943" s="128">
        <v>9.33</v>
      </c>
      <c r="K943" s="128">
        <v>6.92</v>
      </c>
      <c r="L943" s="128">
        <v>27196.95</v>
      </c>
      <c r="M943" s="128">
        <v>20171.8</v>
      </c>
      <c r="N943" s="128">
        <v>7025.15</v>
      </c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125" t="s">
        <v>466</v>
      </c>
      <c r="B944" s="125" t="s">
        <v>508</v>
      </c>
      <c r="C944" s="125" t="s">
        <v>463</v>
      </c>
      <c r="D944" s="125" t="s">
        <v>454</v>
      </c>
      <c r="E944" s="125" t="s">
        <v>472</v>
      </c>
      <c r="F944" s="126">
        <v>42413.0</v>
      </c>
      <c r="G944" s="127">
        <v>2.88E8</v>
      </c>
      <c r="H944" s="126">
        <v>42431.0</v>
      </c>
      <c r="I944" s="128">
        <v>2956.0</v>
      </c>
      <c r="J944" s="128">
        <v>205.7</v>
      </c>
      <c r="K944" s="128">
        <v>117.11</v>
      </c>
      <c r="L944" s="128">
        <v>608049.2</v>
      </c>
      <c r="M944" s="128">
        <v>346177.2</v>
      </c>
      <c r="N944" s="128">
        <v>261872.0</v>
      </c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125" t="s">
        <v>461</v>
      </c>
      <c r="B945" s="125" t="s">
        <v>629</v>
      </c>
      <c r="C945" s="125" t="s">
        <v>494</v>
      </c>
      <c r="D945" s="125" t="s">
        <v>457</v>
      </c>
      <c r="E945" s="125" t="s">
        <v>464</v>
      </c>
      <c r="F945" s="126">
        <v>40181.0</v>
      </c>
      <c r="G945" s="127">
        <v>2.96E8</v>
      </c>
      <c r="H945" s="126">
        <v>40184.0</v>
      </c>
      <c r="I945" s="128">
        <v>4672.0</v>
      </c>
      <c r="J945" s="128">
        <v>9.33</v>
      </c>
      <c r="K945" s="128">
        <v>6.92</v>
      </c>
      <c r="L945" s="128">
        <v>43589.76</v>
      </c>
      <c r="M945" s="128">
        <v>32330.24</v>
      </c>
      <c r="N945" s="128">
        <v>11259.52</v>
      </c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125" t="s">
        <v>461</v>
      </c>
      <c r="B946" s="125" t="s">
        <v>516</v>
      </c>
      <c r="C946" s="125" t="s">
        <v>460</v>
      </c>
      <c r="D946" s="125" t="s">
        <v>454</v>
      </c>
      <c r="E946" s="125" t="s">
        <v>472</v>
      </c>
      <c r="F946" s="126">
        <v>42581.0</v>
      </c>
      <c r="G946" s="127">
        <v>9.72E8</v>
      </c>
      <c r="H946" s="126">
        <v>42593.0</v>
      </c>
      <c r="I946" s="128">
        <v>1038.0</v>
      </c>
      <c r="J946" s="128">
        <v>47.45</v>
      </c>
      <c r="K946" s="128">
        <v>31.79</v>
      </c>
      <c r="L946" s="128">
        <v>49253.1</v>
      </c>
      <c r="M946" s="128">
        <v>32998.02</v>
      </c>
      <c r="N946" s="128">
        <v>16255.08</v>
      </c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125" t="s">
        <v>466</v>
      </c>
      <c r="B947" s="125" t="s">
        <v>474</v>
      </c>
      <c r="C947" s="125" t="s">
        <v>506</v>
      </c>
      <c r="D947" s="125" t="s">
        <v>454</v>
      </c>
      <c r="E947" s="125" t="s">
        <v>284</v>
      </c>
      <c r="F947" s="126">
        <v>41979.0</v>
      </c>
      <c r="G947" s="127">
        <v>3.17E8</v>
      </c>
      <c r="H947" s="126">
        <v>41982.0</v>
      </c>
      <c r="I947" s="128">
        <v>2058.0</v>
      </c>
      <c r="J947" s="128">
        <v>154.06</v>
      </c>
      <c r="K947" s="128">
        <v>90.93</v>
      </c>
      <c r="L947" s="128">
        <v>317055.5</v>
      </c>
      <c r="M947" s="128">
        <v>187133.9</v>
      </c>
      <c r="N947" s="128">
        <v>129921.5</v>
      </c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125" t="s">
        <v>451</v>
      </c>
      <c r="B948" s="125" t="s">
        <v>499</v>
      </c>
      <c r="C948" s="125" t="s">
        <v>485</v>
      </c>
      <c r="D948" s="125" t="s">
        <v>457</v>
      </c>
      <c r="E948" s="125" t="s">
        <v>472</v>
      </c>
      <c r="F948" s="126">
        <v>42197.0</v>
      </c>
      <c r="G948" s="127">
        <v>4.51E8</v>
      </c>
      <c r="H948" s="126">
        <v>42246.0</v>
      </c>
      <c r="I948" s="128">
        <v>9767.0</v>
      </c>
      <c r="J948" s="128">
        <v>421.89</v>
      </c>
      <c r="K948" s="128">
        <v>364.69</v>
      </c>
      <c r="L948" s="128">
        <v>4120600.0</v>
      </c>
      <c r="M948" s="128">
        <v>3561927.0</v>
      </c>
      <c r="N948" s="128">
        <v>558672.4</v>
      </c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125" t="s">
        <v>458</v>
      </c>
      <c r="B949" s="125" t="s">
        <v>540</v>
      </c>
      <c r="C949" s="125" t="s">
        <v>514</v>
      </c>
      <c r="D949" s="125" t="s">
        <v>457</v>
      </c>
      <c r="E949" s="125" t="s">
        <v>284</v>
      </c>
      <c r="F949" s="126">
        <v>40530.0</v>
      </c>
      <c r="G949" s="127">
        <v>8.64E8</v>
      </c>
      <c r="H949" s="126">
        <v>40537.0</v>
      </c>
      <c r="I949" s="128">
        <v>3235.0</v>
      </c>
      <c r="J949" s="128">
        <v>668.27</v>
      </c>
      <c r="K949" s="128">
        <v>502.54</v>
      </c>
      <c r="L949" s="128">
        <v>2161853.0</v>
      </c>
      <c r="M949" s="128">
        <v>1625717.0</v>
      </c>
      <c r="N949" s="128">
        <v>536136.6</v>
      </c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125" t="s">
        <v>458</v>
      </c>
      <c r="B950" s="125" t="s">
        <v>567</v>
      </c>
      <c r="C950" s="125" t="s">
        <v>468</v>
      </c>
      <c r="D950" s="125" t="s">
        <v>454</v>
      </c>
      <c r="E950" s="125" t="s">
        <v>284</v>
      </c>
      <c r="F950" s="126">
        <v>40194.0</v>
      </c>
      <c r="G950" s="127">
        <v>6.67E8</v>
      </c>
      <c r="H950" s="126">
        <v>40196.0</v>
      </c>
      <c r="I950" s="128">
        <v>3559.0</v>
      </c>
      <c r="J950" s="128">
        <v>81.73</v>
      </c>
      <c r="K950" s="128">
        <v>56.67</v>
      </c>
      <c r="L950" s="128">
        <v>290877.1</v>
      </c>
      <c r="M950" s="128">
        <v>201688.5</v>
      </c>
      <c r="N950" s="128">
        <v>89188.54</v>
      </c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125" t="s">
        <v>458</v>
      </c>
      <c r="B951" s="125" t="s">
        <v>498</v>
      </c>
      <c r="C951" s="125" t="s">
        <v>506</v>
      </c>
      <c r="D951" s="125" t="s">
        <v>457</v>
      </c>
      <c r="E951" s="125" t="s">
        <v>472</v>
      </c>
      <c r="F951" s="126">
        <v>40643.0</v>
      </c>
      <c r="G951" s="127">
        <v>8.43E8</v>
      </c>
      <c r="H951" s="126">
        <v>40689.0</v>
      </c>
      <c r="I951" s="128">
        <v>8869.0</v>
      </c>
      <c r="J951" s="128">
        <v>154.06</v>
      </c>
      <c r="K951" s="128">
        <v>90.93</v>
      </c>
      <c r="L951" s="128">
        <v>1366358.0</v>
      </c>
      <c r="M951" s="128">
        <v>806458.2</v>
      </c>
      <c r="N951" s="128">
        <v>559900.0</v>
      </c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125" t="s">
        <v>469</v>
      </c>
      <c r="B952" s="125" t="s">
        <v>589</v>
      </c>
      <c r="C952" s="125" t="s">
        <v>468</v>
      </c>
      <c r="D952" s="125" t="s">
        <v>457</v>
      </c>
      <c r="E952" s="125" t="s">
        <v>472</v>
      </c>
      <c r="F952" s="126">
        <v>41723.0</v>
      </c>
      <c r="G952" s="127">
        <v>1.91E8</v>
      </c>
      <c r="H952" s="126">
        <v>41735.0</v>
      </c>
      <c r="I952" s="128">
        <v>9326.0</v>
      </c>
      <c r="J952" s="128">
        <v>81.73</v>
      </c>
      <c r="K952" s="128">
        <v>56.67</v>
      </c>
      <c r="L952" s="128">
        <v>762214.0</v>
      </c>
      <c r="M952" s="128">
        <v>528504.4</v>
      </c>
      <c r="N952" s="128">
        <v>233709.6</v>
      </c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125" t="s">
        <v>466</v>
      </c>
      <c r="B953" s="125" t="s">
        <v>484</v>
      </c>
      <c r="C953" s="125" t="s">
        <v>463</v>
      </c>
      <c r="D953" s="125" t="s">
        <v>454</v>
      </c>
      <c r="E953" s="125" t="s">
        <v>464</v>
      </c>
      <c r="F953" s="126">
        <v>42285.0</v>
      </c>
      <c r="G953" s="127">
        <v>2.85E8</v>
      </c>
      <c r="H953" s="126">
        <v>42299.0</v>
      </c>
      <c r="I953" s="128">
        <v>2123.0</v>
      </c>
      <c r="J953" s="128">
        <v>205.7</v>
      </c>
      <c r="K953" s="128">
        <v>117.11</v>
      </c>
      <c r="L953" s="128">
        <v>436701.1</v>
      </c>
      <c r="M953" s="128">
        <v>248624.5</v>
      </c>
      <c r="N953" s="128">
        <v>188076.6</v>
      </c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125" t="s">
        <v>451</v>
      </c>
      <c r="B954" s="125" t="s">
        <v>543</v>
      </c>
      <c r="C954" s="125" t="s">
        <v>485</v>
      </c>
      <c r="D954" s="125" t="s">
        <v>457</v>
      </c>
      <c r="E954" s="125" t="s">
        <v>189</v>
      </c>
      <c r="F954" s="126">
        <v>41567.0</v>
      </c>
      <c r="G954" s="127">
        <v>5.17E8</v>
      </c>
      <c r="H954" s="126">
        <v>41596.0</v>
      </c>
      <c r="I954" s="128">
        <v>6483.0</v>
      </c>
      <c r="J954" s="128">
        <v>421.89</v>
      </c>
      <c r="K954" s="128">
        <v>364.69</v>
      </c>
      <c r="L954" s="128">
        <v>2735113.0</v>
      </c>
      <c r="M954" s="128">
        <v>2364285.0</v>
      </c>
      <c r="N954" s="128">
        <v>370827.6</v>
      </c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125" t="s">
        <v>475</v>
      </c>
      <c r="B955" s="125" t="s">
        <v>574</v>
      </c>
      <c r="C955" s="125" t="s">
        <v>485</v>
      </c>
      <c r="D955" s="125" t="s">
        <v>457</v>
      </c>
      <c r="E955" s="125" t="s">
        <v>464</v>
      </c>
      <c r="F955" s="126">
        <v>40583.0</v>
      </c>
      <c r="G955" s="127">
        <v>3.48E8</v>
      </c>
      <c r="H955" s="126">
        <v>40604.0</v>
      </c>
      <c r="I955" s="128">
        <v>8661.0</v>
      </c>
      <c r="J955" s="128">
        <v>421.89</v>
      </c>
      <c r="K955" s="128">
        <v>364.69</v>
      </c>
      <c r="L955" s="128">
        <v>3653989.0</v>
      </c>
      <c r="M955" s="128">
        <v>3158580.0</v>
      </c>
      <c r="N955" s="128">
        <v>495409.2</v>
      </c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125" t="s">
        <v>451</v>
      </c>
      <c r="B956" s="125" t="s">
        <v>543</v>
      </c>
      <c r="C956" s="125" t="s">
        <v>478</v>
      </c>
      <c r="D956" s="125" t="s">
        <v>457</v>
      </c>
      <c r="E956" s="125" t="s">
        <v>464</v>
      </c>
      <c r="F956" s="126">
        <v>40731.0</v>
      </c>
      <c r="G956" s="127">
        <v>6.62E8</v>
      </c>
      <c r="H956" s="126">
        <v>40747.0</v>
      </c>
      <c r="I956" s="128">
        <v>6943.0</v>
      </c>
      <c r="J956" s="128">
        <v>651.21</v>
      </c>
      <c r="K956" s="128">
        <v>524.96</v>
      </c>
      <c r="L956" s="128">
        <v>4521351.0</v>
      </c>
      <c r="M956" s="128">
        <v>3644797.0</v>
      </c>
      <c r="N956" s="128">
        <v>876553.8</v>
      </c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125" t="s">
        <v>475</v>
      </c>
      <c r="B957" s="125" t="s">
        <v>526</v>
      </c>
      <c r="C957" s="125" t="s">
        <v>456</v>
      </c>
      <c r="D957" s="125" t="s">
        <v>457</v>
      </c>
      <c r="E957" s="125" t="s">
        <v>464</v>
      </c>
      <c r="F957" s="126">
        <v>42419.0</v>
      </c>
      <c r="G957" s="127">
        <v>6.13E8</v>
      </c>
      <c r="H957" s="126">
        <v>42453.0</v>
      </c>
      <c r="I957" s="128">
        <v>6647.0</v>
      </c>
      <c r="J957" s="128">
        <v>152.58</v>
      </c>
      <c r="K957" s="128">
        <v>97.44</v>
      </c>
      <c r="L957" s="128">
        <v>1014199.0</v>
      </c>
      <c r="M957" s="128">
        <v>647683.7</v>
      </c>
      <c r="N957" s="128">
        <v>366515.6</v>
      </c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125" t="s">
        <v>458</v>
      </c>
      <c r="B958" s="125" t="s">
        <v>518</v>
      </c>
      <c r="C958" s="125" t="s">
        <v>460</v>
      </c>
      <c r="D958" s="125" t="s">
        <v>457</v>
      </c>
      <c r="E958" s="125" t="s">
        <v>464</v>
      </c>
      <c r="F958" s="126">
        <v>40910.0</v>
      </c>
      <c r="G958" s="127">
        <v>7.73E8</v>
      </c>
      <c r="H958" s="126">
        <v>40910.0</v>
      </c>
      <c r="I958" s="128">
        <v>5122.0</v>
      </c>
      <c r="J958" s="128">
        <v>47.45</v>
      </c>
      <c r="K958" s="128">
        <v>31.79</v>
      </c>
      <c r="L958" s="128">
        <v>243038.9</v>
      </c>
      <c r="M958" s="128">
        <v>162828.4</v>
      </c>
      <c r="N958" s="128">
        <v>80210.52</v>
      </c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125" t="s">
        <v>475</v>
      </c>
      <c r="B959" s="125" t="s">
        <v>536</v>
      </c>
      <c r="C959" s="125" t="s">
        <v>453</v>
      </c>
      <c r="D959" s="125" t="s">
        <v>454</v>
      </c>
      <c r="E959" s="125" t="s">
        <v>472</v>
      </c>
      <c r="F959" s="126">
        <v>41538.0</v>
      </c>
      <c r="G959" s="127">
        <v>8.86E8</v>
      </c>
      <c r="H959" s="126">
        <v>41574.0</v>
      </c>
      <c r="I959" s="128">
        <v>6746.0</v>
      </c>
      <c r="J959" s="128">
        <v>255.28</v>
      </c>
      <c r="K959" s="128">
        <v>159.42</v>
      </c>
      <c r="L959" s="128">
        <v>1722119.0</v>
      </c>
      <c r="M959" s="128">
        <v>1075447.0</v>
      </c>
      <c r="N959" s="128">
        <v>646671.6</v>
      </c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125" t="s">
        <v>461</v>
      </c>
      <c r="B960" s="125" t="s">
        <v>611</v>
      </c>
      <c r="C960" s="125" t="s">
        <v>506</v>
      </c>
      <c r="D960" s="125" t="s">
        <v>454</v>
      </c>
      <c r="E960" s="125" t="s">
        <v>284</v>
      </c>
      <c r="F960" s="126">
        <v>41727.0</v>
      </c>
      <c r="G960" s="127">
        <v>3.17E8</v>
      </c>
      <c r="H960" s="126">
        <v>41746.0</v>
      </c>
      <c r="I960" s="128">
        <v>7932.0</v>
      </c>
      <c r="J960" s="128">
        <v>154.06</v>
      </c>
      <c r="K960" s="128">
        <v>90.93</v>
      </c>
      <c r="L960" s="128">
        <v>1222004.0</v>
      </c>
      <c r="M960" s="128">
        <v>721256.8</v>
      </c>
      <c r="N960" s="128">
        <v>500747.2</v>
      </c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125" t="s">
        <v>475</v>
      </c>
      <c r="B961" s="125" t="s">
        <v>601</v>
      </c>
      <c r="C961" s="125" t="s">
        <v>453</v>
      </c>
      <c r="D961" s="125" t="s">
        <v>457</v>
      </c>
      <c r="E961" s="125" t="s">
        <v>464</v>
      </c>
      <c r="F961" s="126">
        <v>40674.0</v>
      </c>
      <c r="G961" s="127">
        <v>3.0E8</v>
      </c>
      <c r="H961" s="126">
        <v>40696.0</v>
      </c>
      <c r="I961" s="128">
        <v>2122.0</v>
      </c>
      <c r="J961" s="128">
        <v>255.28</v>
      </c>
      <c r="K961" s="128">
        <v>159.42</v>
      </c>
      <c r="L961" s="128">
        <v>541704.2</v>
      </c>
      <c r="M961" s="128">
        <v>338289.2</v>
      </c>
      <c r="N961" s="128">
        <v>203414.9</v>
      </c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125" t="s">
        <v>458</v>
      </c>
      <c r="B962" s="125" t="s">
        <v>459</v>
      </c>
      <c r="C962" s="125" t="s">
        <v>456</v>
      </c>
      <c r="D962" s="125" t="s">
        <v>454</v>
      </c>
      <c r="E962" s="125" t="s">
        <v>189</v>
      </c>
      <c r="F962" s="126">
        <v>40729.0</v>
      </c>
      <c r="G962" s="127">
        <v>7.89E8</v>
      </c>
      <c r="H962" s="126">
        <v>40754.0</v>
      </c>
      <c r="I962" s="128">
        <v>4789.0</v>
      </c>
      <c r="J962" s="128">
        <v>152.58</v>
      </c>
      <c r="K962" s="128">
        <v>97.44</v>
      </c>
      <c r="L962" s="128">
        <v>730705.6</v>
      </c>
      <c r="M962" s="128">
        <v>466640.2</v>
      </c>
      <c r="N962" s="128">
        <v>264065.5</v>
      </c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125" t="s">
        <v>475</v>
      </c>
      <c r="B963" s="125" t="s">
        <v>601</v>
      </c>
      <c r="C963" s="125" t="s">
        <v>463</v>
      </c>
      <c r="D963" s="125" t="s">
        <v>457</v>
      </c>
      <c r="E963" s="125" t="s">
        <v>189</v>
      </c>
      <c r="F963" s="126">
        <v>40485.0</v>
      </c>
      <c r="G963" s="127">
        <v>9.11E8</v>
      </c>
      <c r="H963" s="126">
        <v>40534.0</v>
      </c>
      <c r="I963" s="128">
        <v>8438.0</v>
      </c>
      <c r="J963" s="128">
        <v>205.7</v>
      </c>
      <c r="K963" s="128">
        <v>117.11</v>
      </c>
      <c r="L963" s="128">
        <v>1735697.0</v>
      </c>
      <c r="M963" s="128">
        <v>988174.2</v>
      </c>
      <c r="N963" s="128">
        <v>747522.4</v>
      </c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125" t="s">
        <v>451</v>
      </c>
      <c r="B964" s="125" t="s">
        <v>592</v>
      </c>
      <c r="C964" s="125" t="s">
        <v>485</v>
      </c>
      <c r="D964" s="125" t="s">
        <v>457</v>
      </c>
      <c r="E964" s="125" t="s">
        <v>464</v>
      </c>
      <c r="F964" s="126">
        <v>41687.0</v>
      </c>
      <c r="G964" s="127">
        <v>3.09E8</v>
      </c>
      <c r="H964" s="126">
        <v>41716.0</v>
      </c>
      <c r="I964" s="128">
        <v>7605.0</v>
      </c>
      <c r="J964" s="128">
        <v>421.89</v>
      </c>
      <c r="K964" s="128">
        <v>364.69</v>
      </c>
      <c r="L964" s="128">
        <v>3208473.0</v>
      </c>
      <c r="M964" s="128">
        <v>2773467.0</v>
      </c>
      <c r="N964" s="128">
        <v>435006.0</v>
      </c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125" t="s">
        <v>466</v>
      </c>
      <c r="B965" s="125" t="s">
        <v>508</v>
      </c>
      <c r="C965" s="125" t="s">
        <v>456</v>
      </c>
      <c r="D965" s="125" t="s">
        <v>454</v>
      </c>
      <c r="E965" s="125" t="s">
        <v>189</v>
      </c>
      <c r="F965" s="126">
        <v>42322.0</v>
      </c>
      <c r="G965" s="127">
        <v>5.0E8</v>
      </c>
      <c r="H965" s="126">
        <v>42359.0</v>
      </c>
      <c r="I965" s="128">
        <v>3858.0</v>
      </c>
      <c r="J965" s="128">
        <v>152.58</v>
      </c>
      <c r="K965" s="128">
        <v>97.44</v>
      </c>
      <c r="L965" s="128">
        <v>588653.6</v>
      </c>
      <c r="M965" s="128">
        <v>375923.5</v>
      </c>
      <c r="N965" s="128">
        <v>212730.1</v>
      </c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125" t="s">
        <v>488</v>
      </c>
      <c r="B966" s="125" t="s">
        <v>645</v>
      </c>
      <c r="C966" s="125" t="s">
        <v>471</v>
      </c>
      <c r="D966" s="125" t="s">
        <v>454</v>
      </c>
      <c r="E966" s="125" t="s">
        <v>284</v>
      </c>
      <c r="F966" s="126">
        <v>40765.0</v>
      </c>
      <c r="G966" s="127">
        <v>8.19E8</v>
      </c>
      <c r="H966" s="126">
        <v>40773.0</v>
      </c>
      <c r="I966" s="128">
        <v>796.0</v>
      </c>
      <c r="J966" s="128">
        <v>109.28</v>
      </c>
      <c r="K966" s="128">
        <v>35.84</v>
      </c>
      <c r="L966" s="128">
        <v>86986.88</v>
      </c>
      <c r="M966" s="128">
        <v>28528.64</v>
      </c>
      <c r="N966" s="128">
        <v>58458.24</v>
      </c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125" t="s">
        <v>469</v>
      </c>
      <c r="B967" s="125" t="s">
        <v>647</v>
      </c>
      <c r="C967" s="125" t="s">
        <v>453</v>
      </c>
      <c r="D967" s="125" t="s">
        <v>457</v>
      </c>
      <c r="E967" s="125" t="s">
        <v>464</v>
      </c>
      <c r="F967" s="126">
        <v>42696.0</v>
      </c>
      <c r="G967" s="127">
        <v>6.74E8</v>
      </c>
      <c r="H967" s="126">
        <v>42714.0</v>
      </c>
      <c r="I967" s="128">
        <v>9048.0</v>
      </c>
      <c r="J967" s="128">
        <v>255.28</v>
      </c>
      <c r="K967" s="128">
        <v>159.42</v>
      </c>
      <c r="L967" s="128">
        <v>2309773.0</v>
      </c>
      <c r="M967" s="128">
        <v>1442432.0</v>
      </c>
      <c r="N967" s="128">
        <v>867341.3</v>
      </c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125" t="s">
        <v>475</v>
      </c>
      <c r="B968" s="125" t="s">
        <v>536</v>
      </c>
      <c r="C968" s="125" t="s">
        <v>463</v>
      </c>
      <c r="D968" s="125" t="s">
        <v>457</v>
      </c>
      <c r="E968" s="125" t="s">
        <v>464</v>
      </c>
      <c r="F968" s="126">
        <v>40351.0</v>
      </c>
      <c r="G968" s="127">
        <v>8.9E8</v>
      </c>
      <c r="H968" s="126">
        <v>40353.0</v>
      </c>
      <c r="I968" s="128">
        <v>1275.0</v>
      </c>
      <c r="J968" s="128">
        <v>205.7</v>
      </c>
      <c r="K968" s="128">
        <v>117.11</v>
      </c>
      <c r="L968" s="128">
        <v>262267.5</v>
      </c>
      <c r="M968" s="128">
        <v>149315.3</v>
      </c>
      <c r="N968" s="128">
        <v>112952.3</v>
      </c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125" t="s">
        <v>475</v>
      </c>
      <c r="B969" s="125" t="s">
        <v>513</v>
      </c>
      <c r="C969" s="125" t="s">
        <v>485</v>
      </c>
      <c r="D969" s="125" t="s">
        <v>454</v>
      </c>
      <c r="E969" s="125" t="s">
        <v>189</v>
      </c>
      <c r="F969" s="126">
        <v>41573.0</v>
      </c>
      <c r="G969" s="127">
        <v>5.65E8</v>
      </c>
      <c r="H969" s="126">
        <v>41610.0</v>
      </c>
      <c r="I969" s="128">
        <v>7170.0</v>
      </c>
      <c r="J969" s="128">
        <v>421.89</v>
      </c>
      <c r="K969" s="128">
        <v>364.69</v>
      </c>
      <c r="L969" s="128">
        <v>3024951.0</v>
      </c>
      <c r="M969" s="128">
        <v>2614827.0</v>
      </c>
      <c r="N969" s="128">
        <v>410124.0</v>
      </c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125" t="s">
        <v>488</v>
      </c>
      <c r="B970" s="125" t="s">
        <v>654</v>
      </c>
      <c r="C970" s="125" t="s">
        <v>514</v>
      </c>
      <c r="D970" s="125" t="s">
        <v>454</v>
      </c>
      <c r="E970" s="125" t="s">
        <v>472</v>
      </c>
      <c r="F970" s="126">
        <v>40759.0</v>
      </c>
      <c r="G970" s="127">
        <v>2.16E8</v>
      </c>
      <c r="H970" s="126">
        <v>40770.0</v>
      </c>
      <c r="I970" s="128">
        <v>8456.0</v>
      </c>
      <c r="J970" s="128">
        <v>668.27</v>
      </c>
      <c r="K970" s="128">
        <v>502.54</v>
      </c>
      <c r="L970" s="128">
        <v>5650891.0</v>
      </c>
      <c r="M970" s="128">
        <v>4249478.0</v>
      </c>
      <c r="N970" s="128">
        <v>1401413.0</v>
      </c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125" t="s">
        <v>469</v>
      </c>
      <c r="B971" s="125" t="s">
        <v>647</v>
      </c>
      <c r="C971" s="125" t="s">
        <v>460</v>
      </c>
      <c r="D971" s="125" t="s">
        <v>454</v>
      </c>
      <c r="E971" s="125" t="s">
        <v>189</v>
      </c>
      <c r="F971" s="126">
        <v>42379.0</v>
      </c>
      <c r="G971" s="127">
        <v>4.3E8</v>
      </c>
      <c r="H971" s="126">
        <v>42380.0</v>
      </c>
      <c r="I971" s="128">
        <v>3888.0</v>
      </c>
      <c r="J971" s="128">
        <v>47.45</v>
      </c>
      <c r="K971" s="128">
        <v>31.79</v>
      </c>
      <c r="L971" s="128">
        <v>184485.6</v>
      </c>
      <c r="M971" s="128">
        <v>123599.5</v>
      </c>
      <c r="N971" s="128">
        <v>60886.08</v>
      </c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125" t="s">
        <v>469</v>
      </c>
      <c r="B972" s="125" t="s">
        <v>530</v>
      </c>
      <c r="C972" s="125" t="s">
        <v>478</v>
      </c>
      <c r="D972" s="125" t="s">
        <v>454</v>
      </c>
      <c r="E972" s="125" t="s">
        <v>284</v>
      </c>
      <c r="F972" s="126">
        <v>40226.0</v>
      </c>
      <c r="G972" s="127">
        <v>5.15E8</v>
      </c>
      <c r="H972" s="126">
        <v>40274.0</v>
      </c>
      <c r="I972" s="128">
        <v>4253.0</v>
      </c>
      <c r="J972" s="128">
        <v>651.21</v>
      </c>
      <c r="K972" s="128">
        <v>524.96</v>
      </c>
      <c r="L972" s="128">
        <v>2769596.0</v>
      </c>
      <c r="M972" s="128">
        <v>2232655.0</v>
      </c>
      <c r="N972" s="128">
        <v>536941.3</v>
      </c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125" t="s">
        <v>475</v>
      </c>
      <c r="B973" s="125" t="s">
        <v>526</v>
      </c>
      <c r="C973" s="125" t="s">
        <v>478</v>
      </c>
      <c r="D973" s="125" t="s">
        <v>454</v>
      </c>
      <c r="E973" s="125" t="s">
        <v>464</v>
      </c>
      <c r="F973" s="126">
        <v>40932.0</v>
      </c>
      <c r="G973" s="127">
        <v>7.5E8</v>
      </c>
      <c r="H973" s="126">
        <v>40962.0</v>
      </c>
      <c r="I973" s="128">
        <v>7368.0</v>
      </c>
      <c r="J973" s="128">
        <v>651.21</v>
      </c>
      <c r="K973" s="128">
        <v>524.96</v>
      </c>
      <c r="L973" s="128">
        <v>4798115.0</v>
      </c>
      <c r="M973" s="128">
        <v>3867905.0</v>
      </c>
      <c r="N973" s="128">
        <v>930210.0</v>
      </c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125" t="s">
        <v>475</v>
      </c>
      <c r="B974" s="125" t="s">
        <v>602</v>
      </c>
      <c r="C974" s="125" t="s">
        <v>460</v>
      </c>
      <c r="D974" s="125" t="s">
        <v>457</v>
      </c>
      <c r="E974" s="125" t="s">
        <v>189</v>
      </c>
      <c r="F974" s="126">
        <v>40450.0</v>
      </c>
      <c r="G974" s="127">
        <v>1.32E8</v>
      </c>
      <c r="H974" s="126">
        <v>40489.0</v>
      </c>
      <c r="I974" s="128">
        <v>3081.0</v>
      </c>
      <c r="J974" s="128">
        <v>47.45</v>
      </c>
      <c r="K974" s="128">
        <v>31.79</v>
      </c>
      <c r="L974" s="128">
        <v>146193.5</v>
      </c>
      <c r="M974" s="128">
        <v>97944.99</v>
      </c>
      <c r="N974" s="128">
        <v>48248.46</v>
      </c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125" t="s">
        <v>461</v>
      </c>
      <c r="B975" s="125" t="s">
        <v>564</v>
      </c>
      <c r="C975" s="125" t="s">
        <v>453</v>
      </c>
      <c r="D975" s="125" t="s">
        <v>454</v>
      </c>
      <c r="E975" s="125" t="s">
        <v>464</v>
      </c>
      <c r="F975" s="126">
        <v>42041.0</v>
      </c>
      <c r="G975" s="127">
        <v>4.31E8</v>
      </c>
      <c r="H975" s="126">
        <v>42046.0</v>
      </c>
      <c r="I975" s="128">
        <v>8273.0</v>
      </c>
      <c r="J975" s="128">
        <v>255.28</v>
      </c>
      <c r="K975" s="128">
        <v>159.42</v>
      </c>
      <c r="L975" s="128">
        <v>2111931.0</v>
      </c>
      <c r="M975" s="128">
        <v>1318882.0</v>
      </c>
      <c r="N975" s="128">
        <v>793049.8</v>
      </c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125" t="s">
        <v>458</v>
      </c>
      <c r="B976" s="125" t="s">
        <v>641</v>
      </c>
      <c r="C976" s="125" t="s">
        <v>468</v>
      </c>
      <c r="D976" s="125" t="s">
        <v>457</v>
      </c>
      <c r="E976" s="125" t="s">
        <v>189</v>
      </c>
      <c r="F976" s="126">
        <v>41053.0</v>
      </c>
      <c r="G976" s="127">
        <v>3.36E8</v>
      </c>
      <c r="H976" s="126">
        <v>41076.0</v>
      </c>
      <c r="I976" s="128">
        <v>1854.0</v>
      </c>
      <c r="J976" s="128">
        <v>81.73</v>
      </c>
      <c r="K976" s="128">
        <v>56.67</v>
      </c>
      <c r="L976" s="128">
        <v>151527.4</v>
      </c>
      <c r="M976" s="128">
        <v>105066.2</v>
      </c>
      <c r="N976" s="128">
        <v>46461.24</v>
      </c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125" t="s">
        <v>475</v>
      </c>
      <c r="B977" s="125" t="s">
        <v>532</v>
      </c>
      <c r="C977" s="125" t="s">
        <v>468</v>
      </c>
      <c r="D977" s="125" t="s">
        <v>454</v>
      </c>
      <c r="E977" s="125" t="s">
        <v>189</v>
      </c>
      <c r="F977" s="126">
        <v>42906.0</v>
      </c>
      <c r="G977" s="127">
        <v>4.06E8</v>
      </c>
      <c r="H977" s="126">
        <v>42929.0</v>
      </c>
      <c r="I977" s="128">
        <v>9766.0</v>
      </c>
      <c r="J977" s="128">
        <v>81.73</v>
      </c>
      <c r="K977" s="128">
        <v>56.67</v>
      </c>
      <c r="L977" s="128">
        <v>798175.2</v>
      </c>
      <c r="M977" s="128">
        <v>553439.2</v>
      </c>
      <c r="N977" s="128">
        <v>244736.0</v>
      </c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125" t="s">
        <v>458</v>
      </c>
      <c r="B978" s="125" t="s">
        <v>518</v>
      </c>
      <c r="C978" s="125" t="s">
        <v>514</v>
      </c>
      <c r="D978" s="125" t="s">
        <v>457</v>
      </c>
      <c r="E978" s="125" t="s">
        <v>472</v>
      </c>
      <c r="F978" s="126">
        <v>42347.0</v>
      </c>
      <c r="G978" s="127">
        <v>8.21E8</v>
      </c>
      <c r="H978" s="126">
        <v>42347.0</v>
      </c>
      <c r="I978" s="128">
        <v>9985.0</v>
      </c>
      <c r="J978" s="128">
        <v>668.27</v>
      </c>
      <c r="K978" s="128">
        <v>502.54</v>
      </c>
      <c r="L978" s="128">
        <v>6672676.0</v>
      </c>
      <c r="M978" s="128">
        <v>5017862.0</v>
      </c>
      <c r="N978" s="128">
        <v>1654814.0</v>
      </c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125" t="s">
        <v>475</v>
      </c>
      <c r="B979" s="125" t="s">
        <v>628</v>
      </c>
      <c r="C979" s="125" t="s">
        <v>468</v>
      </c>
      <c r="D979" s="125" t="s">
        <v>454</v>
      </c>
      <c r="E979" s="125" t="s">
        <v>189</v>
      </c>
      <c r="F979" s="126">
        <v>41422.0</v>
      </c>
      <c r="G979" s="127">
        <v>9.31E8</v>
      </c>
      <c r="H979" s="126">
        <v>41462.0</v>
      </c>
      <c r="I979" s="128">
        <v>7513.0</v>
      </c>
      <c r="J979" s="128">
        <v>81.73</v>
      </c>
      <c r="K979" s="128">
        <v>56.67</v>
      </c>
      <c r="L979" s="128">
        <v>614037.5</v>
      </c>
      <c r="M979" s="128">
        <v>425761.7</v>
      </c>
      <c r="N979" s="128">
        <v>188275.8</v>
      </c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125" t="s">
        <v>475</v>
      </c>
      <c r="B980" s="125" t="s">
        <v>574</v>
      </c>
      <c r="C980" s="125" t="s">
        <v>453</v>
      </c>
      <c r="D980" s="125" t="s">
        <v>457</v>
      </c>
      <c r="E980" s="125" t="s">
        <v>472</v>
      </c>
      <c r="F980" s="126">
        <v>42571.0</v>
      </c>
      <c r="G980" s="127">
        <v>6.06E8</v>
      </c>
      <c r="H980" s="126">
        <v>42607.0</v>
      </c>
      <c r="I980" s="128">
        <v>9388.0</v>
      </c>
      <c r="J980" s="128">
        <v>255.28</v>
      </c>
      <c r="K980" s="128">
        <v>159.42</v>
      </c>
      <c r="L980" s="128">
        <v>2396569.0</v>
      </c>
      <c r="M980" s="128">
        <v>1496635.0</v>
      </c>
      <c r="N980" s="128">
        <v>899933.7</v>
      </c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125" t="s">
        <v>475</v>
      </c>
      <c r="B981" s="125" t="s">
        <v>623</v>
      </c>
      <c r="C981" s="125" t="s">
        <v>506</v>
      </c>
      <c r="D981" s="125" t="s">
        <v>454</v>
      </c>
      <c r="E981" s="125" t="s">
        <v>464</v>
      </c>
      <c r="F981" s="126">
        <v>41705.0</v>
      </c>
      <c r="G981" s="127">
        <v>6.88E8</v>
      </c>
      <c r="H981" s="126">
        <v>41730.0</v>
      </c>
      <c r="I981" s="128">
        <v>9677.0</v>
      </c>
      <c r="J981" s="128">
        <v>154.06</v>
      </c>
      <c r="K981" s="128">
        <v>90.93</v>
      </c>
      <c r="L981" s="128">
        <v>1490839.0</v>
      </c>
      <c r="M981" s="128">
        <v>879929.6</v>
      </c>
      <c r="N981" s="128">
        <v>610909.0</v>
      </c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125" t="s">
        <v>466</v>
      </c>
      <c r="B982" s="125" t="s">
        <v>508</v>
      </c>
      <c r="C982" s="125" t="s">
        <v>480</v>
      </c>
      <c r="D982" s="125" t="s">
        <v>457</v>
      </c>
      <c r="E982" s="125" t="s">
        <v>284</v>
      </c>
      <c r="F982" s="126">
        <v>40656.0</v>
      </c>
      <c r="G982" s="127">
        <v>7.36E8</v>
      </c>
      <c r="H982" s="126">
        <v>40660.0</v>
      </c>
      <c r="I982" s="128">
        <v>4478.0</v>
      </c>
      <c r="J982" s="128">
        <v>437.2</v>
      </c>
      <c r="K982" s="128">
        <v>263.33</v>
      </c>
      <c r="L982" s="128">
        <v>1957782.0</v>
      </c>
      <c r="M982" s="128">
        <v>1179192.0</v>
      </c>
      <c r="N982" s="128">
        <v>778589.9</v>
      </c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125" t="s">
        <v>451</v>
      </c>
      <c r="B983" s="125" t="s">
        <v>452</v>
      </c>
      <c r="C983" s="125" t="s">
        <v>456</v>
      </c>
      <c r="D983" s="125" t="s">
        <v>457</v>
      </c>
      <c r="E983" s="125" t="s">
        <v>189</v>
      </c>
      <c r="F983" s="126">
        <v>40264.0</v>
      </c>
      <c r="G983" s="127">
        <v>3.83E8</v>
      </c>
      <c r="H983" s="126">
        <v>40275.0</v>
      </c>
      <c r="I983" s="128">
        <v>6922.0</v>
      </c>
      <c r="J983" s="128">
        <v>152.58</v>
      </c>
      <c r="K983" s="128">
        <v>97.44</v>
      </c>
      <c r="L983" s="128">
        <v>1056159.0</v>
      </c>
      <c r="M983" s="128">
        <v>674479.7</v>
      </c>
      <c r="N983" s="128">
        <v>381679.1</v>
      </c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125" t="s">
        <v>458</v>
      </c>
      <c r="B984" s="125" t="s">
        <v>551</v>
      </c>
      <c r="C984" s="125" t="s">
        <v>514</v>
      </c>
      <c r="D984" s="125" t="s">
        <v>454</v>
      </c>
      <c r="E984" s="125" t="s">
        <v>189</v>
      </c>
      <c r="F984" s="126">
        <v>41756.0</v>
      </c>
      <c r="G984" s="127">
        <v>6.79E8</v>
      </c>
      <c r="H984" s="126">
        <v>41801.0</v>
      </c>
      <c r="I984" s="128">
        <v>2169.0</v>
      </c>
      <c r="J984" s="128">
        <v>668.27</v>
      </c>
      <c r="K984" s="128">
        <v>502.54</v>
      </c>
      <c r="L984" s="128">
        <v>1449478.0</v>
      </c>
      <c r="M984" s="128">
        <v>1090009.0</v>
      </c>
      <c r="N984" s="128">
        <v>359468.4</v>
      </c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125" t="s">
        <v>475</v>
      </c>
      <c r="B985" s="125" t="s">
        <v>532</v>
      </c>
      <c r="C985" s="125" t="s">
        <v>460</v>
      </c>
      <c r="D985" s="125" t="s">
        <v>454</v>
      </c>
      <c r="E985" s="125" t="s">
        <v>189</v>
      </c>
      <c r="F985" s="126">
        <v>42600.0</v>
      </c>
      <c r="G985" s="127">
        <v>9.47E8</v>
      </c>
      <c r="H985" s="126">
        <v>42643.0</v>
      </c>
      <c r="I985" s="128">
        <v>2412.0</v>
      </c>
      <c r="J985" s="128">
        <v>47.45</v>
      </c>
      <c r="K985" s="128">
        <v>31.79</v>
      </c>
      <c r="L985" s="128">
        <v>114449.4</v>
      </c>
      <c r="M985" s="128">
        <v>76677.48</v>
      </c>
      <c r="N985" s="128">
        <v>37771.92</v>
      </c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125" t="s">
        <v>458</v>
      </c>
      <c r="B986" s="125" t="s">
        <v>590</v>
      </c>
      <c r="C986" s="125" t="s">
        <v>468</v>
      </c>
      <c r="D986" s="125" t="s">
        <v>457</v>
      </c>
      <c r="E986" s="125" t="s">
        <v>464</v>
      </c>
      <c r="F986" s="126">
        <v>40652.0</v>
      </c>
      <c r="G986" s="127">
        <v>1.3E8</v>
      </c>
      <c r="H986" s="126">
        <v>40659.0</v>
      </c>
      <c r="I986" s="128">
        <v>1875.0</v>
      </c>
      <c r="J986" s="128">
        <v>81.73</v>
      </c>
      <c r="K986" s="128">
        <v>56.67</v>
      </c>
      <c r="L986" s="128">
        <v>153243.8</v>
      </c>
      <c r="M986" s="128">
        <v>106256.3</v>
      </c>
      <c r="N986" s="128">
        <v>46987.5</v>
      </c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125" t="s">
        <v>451</v>
      </c>
      <c r="B987" s="125" t="s">
        <v>455</v>
      </c>
      <c r="C987" s="125" t="s">
        <v>453</v>
      </c>
      <c r="D987" s="125" t="s">
        <v>457</v>
      </c>
      <c r="E987" s="125" t="s">
        <v>472</v>
      </c>
      <c r="F987" s="126">
        <v>41074.0</v>
      </c>
      <c r="G987" s="127">
        <v>8.39E8</v>
      </c>
      <c r="H987" s="126">
        <v>41101.0</v>
      </c>
      <c r="I987" s="128">
        <v>1811.0</v>
      </c>
      <c r="J987" s="128">
        <v>255.28</v>
      </c>
      <c r="K987" s="128">
        <v>159.42</v>
      </c>
      <c r="L987" s="128">
        <v>462312.1</v>
      </c>
      <c r="M987" s="128">
        <v>288709.6</v>
      </c>
      <c r="N987" s="128">
        <v>173602.5</v>
      </c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125" t="s">
        <v>488</v>
      </c>
      <c r="B988" s="125" t="s">
        <v>577</v>
      </c>
      <c r="C988" s="125" t="s">
        <v>460</v>
      </c>
      <c r="D988" s="125" t="s">
        <v>457</v>
      </c>
      <c r="E988" s="125" t="s">
        <v>284</v>
      </c>
      <c r="F988" s="126">
        <v>41115.0</v>
      </c>
      <c r="G988" s="127">
        <v>8.07E8</v>
      </c>
      <c r="H988" s="126">
        <v>41120.0</v>
      </c>
      <c r="I988" s="128">
        <v>5509.0</v>
      </c>
      <c r="J988" s="128">
        <v>47.45</v>
      </c>
      <c r="K988" s="128">
        <v>31.79</v>
      </c>
      <c r="L988" s="128">
        <v>261402.1</v>
      </c>
      <c r="M988" s="128">
        <v>175131.1</v>
      </c>
      <c r="N988" s="128">
        <v>86270.94</v>
      </c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125" t="s">
        <v>475</v>
      </c>
      <c r="B989" s="125" t="s">
        <v>512</v>
      </c>
      <c r="C989" s="125" t="s">
        <v>478</v>
      </c>
      <c r="D989" s="125" t="s">
        <v>454</v>
      </c>
      <c r="E989" s="125" t="s">
        <v>464</v>
      </c>
      <c r="F989" s="126">
        <v>42567.0</v>
      </c>
      <c r="G989" s="127">
        <v>5.39E8</v>
      </c>
      <c r="H989" s="126">
        <v>42601.0</v>
      </c>
      <c r="I989" s="128">
        <v>3284.0</v>
      </c>
      <c r="J989" s="128">
        <v>651.21</v>
      </c>
      <c r="K989" s="128">
        <v>524.96</v>
      </c>
      <c r="L989" s="128">
        <v>2138574.0</v>
      </c>
      <c r="M989" s="128">
        <v>1723969.0</v>
      </c>
      <c r="N989" s="128">
        <v>414605.0</v>
      </c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125" t="s">
        <v>458</v>
      </c>
      <c r="B990" s="125" t="s">
        <v>643</v>
      </c>
      <c r="C990" s="125" t="s">
        <v>494</v>
      </c>
      <c r="D990" s="125" t="s">
        <v>457</v>
      </c>
      <c r="E990" s="125" t="s">
        <v>472</v>
      </c>
      <c r="F990" s="126">
        <v>42075.0</v>
      </c>
      <c r="G990" s="127">
        <v>1.56E8</v>
      </c>
      <c r="H990" s="126">
        <v>42092.0</v>
      </c>
      <c r="I990" s="128">
        <v>7486.0</v>
      </c>
      <c r="J990" s="128">
        <v>9.33</v>
      </c>
      <c r="K990" s="128">
        <v>6.92</v>
      </c>
      <c r="L990" s="128">
        <v>69844.38</v>
      </c>
      <c r="M990" s="128">
        <v>51803.12</v>
      </c>
      <c r="N990" s="128">
        <v>18041.26</v>
      </c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125" t="s">
        <v>458</v>
      </c>
      <c r="B991" s="125" t="s">
        <v>606</v>
      </c>
      <c r="C991" s="125" t="s">
        <v>494</v>
      </c>
      <c r="D991" s="125" t="s">
        <v>454</v>
      </c>
      <c r="E991" s="125" t="s">
        <v>472</v>
      </c>
      <c r="F991" s="126">
        <v>40825.0</v>
      </c>
      <c r="G991" s="127">
        <v>7.53E8</v>
      </c>
      <c r="H991" s="126">
        <v>40872.0</v>
      </c>
      <c r="I991" s="128">
        <v>7495.0</v>
      </c>
      <c r="J991" s="128">
        <v>9.33</v>
      </c>
      <c r="K991" s="128">
        <v>6.92</v>
      </c>
      <c r="L991" s="128">
        <v>69928.35</v>
      </c>
      <c r="M991" s="128">
        <v>51865.4</v>
      </c>
      <c r="N991" s="128">
        <v>18062.95</v>
      </c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125" t="s">
        <v>475</v>
      </c>
      <c r="B992" s="125" t="s">
        <v>588</v>
      </c>
      <c r="C992" s="125" t="s">
        <v>453</v>
      </c>
      <c r="D992" s="125" t="s">
        <v>454</v>
      </c>
      <c r="E992" s="125" t="s">
        <v>284</v>
      </c>
      <c r="F992" s="126">
        <v>40389.0</v>
      </c>
      <c r="G992" s="127">
        <v>3.44E8</v>
      </c>
      <c r="H992" s="126">
        <v>40417.0</v>
      </c>
      <c r="I992" s="128">
        <v>4721.0</v>
      </c>
      <c r="J992" s="128">
        <v>255.28</v>
      </c>
      <c r="K992" s="128">
        <v>159.42</v>
      </c>
      <c r="L992" s="128">
        <v>1205177.0</v>
      </c>
      <c r="M992" s="128">
        <v>752621.8</v>
      </c>
      <c r="N992" s="128">
        <v>452555.1</v>
      </c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125" t="s">
        <v>461</v>
      </c>
      <c r="B993" s="125" t="s">
        <v>481</v>
      </c>
      <c r="C993" s="125" t="s">
        <v>480</v>
      </c>
      <c r="D993" s="125" t="s">
        <v>457</v>
      </c>
      <c r="E993" s="125" t="s">
        <v>464</v>
      </c>
      <c r="F993" s="126">
        <v>41346.0</v>
      </c>
      <c r="G993" s="127">
        <v>6.14E8</v>
      </c>
      <c r="H993" s="126">
        <v>41353.0</v>
      </c>
      <c r="I993" s="128">
        <v>7606.0</v>
      </c>
      <c r="J993" s="128">
        <v>437.2</v>
      </c>
      <c r="K993" s="128">
        <v>263.33</v>
      </c>
      <c r="L993" s="128">
        <v>3325343.0</v>
      </c>
      <c r="M993" s="128">
        <v>2002888.0</v>
      </c>
      <c r="N993" s="128">
        <v>1322455.0</v>
      </c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125" t="s">
        <v>451</v>
      </c>
      <c r="B994" s="125" t="s">
        <v>655</v>
      </c>
      <c r="C994" s="125" t="s">
        <v>494</v>
      </c>
      <c r="D994" s="125" t="s">
        <v>454</v>
      </c>
      <c r="E994" s="125" t="s">
        <v>464</v>
      </c>
      <c r="F994" s="126">
        <v>41900.0</v>
      </c>
      <c r="G994" s="127">
        <v>1.67E8</v>
      </c>
      <c r="H994" s="126">
        <v>41942.0</v>
      </c>
      <c r="I994" s="128">
        <v>6626.0</v>
      </c>
      <c r="J994" s="128">
        <v>9.33</v>
      </c>
      <c r="K994" s="128">
        <v>6.92</v>
      </c>
      <c r="L994" s="128">
        <v>61820.58</v>
      </c>
      <c r="M994" s="128">
        <v>45851.92</v>
      </c>
      <c r="N994" s="128">
        <v>15968.66</v>
      </c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125" t="s">
        <v>451</v>
      </c>
      <c r="B995" s="125" t="s">
        <v>452</v>
      </c>
      <c r="C995" s="125" t="s">
        <v>456</v>
      </c>
      <c r="D995" s="125" t="s">
        <v>454</v>
      </c>
      <c r="E995" s="125" t="s">
        <v>284</v>
      </c>
      <c r="F995" s="126">
        <v>42024.0</v>
      </c>
      <c r="G995" s="127">
        <v>3.78E8</v>
      </c>
      <c r="H995" s="126">
        <v>42050.0</v>
      </c>
      <c r="I995" s="128">
        <v>9284.0</v>
      </c>
      <c r="J995" s="128">
        <v>152.58</v>
      </c>
      <c r="K995" s="128">
        <v>97.44</v>
      </c>
      <c r="L995" s="128">
        <v>1416553.0</v>
      </c>
      <c r="M995" s="128">
        <v>904633.0</v>
      </c>
      <c r="N995" s="128">
        <v>511919.8</v>
      </c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125" t="s">
        <v>458</v>
      </c>
      <c r="B996" s="125" t="s">
        <v>626</v>
      </c>
      <c r="C996" s="125" t="s">
        <v>463</v>
      </c>
      <c r="D996" s="125" t="s">
        <v>457</v>
      </c>
      <c r="E996" s="125" t="s">
        <v>189</v>
      </c>
      <c r="F996" s="126">
        <v>42083.0</v>
      </c>
      <c r="G996" s="127">
        <v>4.43E8</v>
      </c>
      <c r="H996" s="126">
        <v>42103.0</v>
      </c>
      <c r="I996" s="128">
        <v>5116.0</v>
      </c>
      <c r="J996" s="128">
        <v>205.7</v>
      </c>
      <c r="K996" s="128">
        <v>117.11</v>
      </c>
      <c r="L996" s="128">
        <v>1052361.0</v>
      </c>
      <c r="M996" s="128">
        <v>599134.8</v>
      </c>
      <c r="N996" s="128">
        <v>453226.4</v>
      </c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125" t="s">
        <v>458</v>
      </c>
      <c r="B997" s="125" t="s">
        <v>627</v>
      </c>
      <c r="C997" s="125" t="s">
        <v>478</v>
      </c>
      <c r="D997" s="125" t="s">
        <v>454</v>
      </c>
      <c r="E997" s="125" t="s">
        <v>284</v>
      </c>
      <c r="F997" s="126">
        <v>41444.0</v>
      </c>
      <c r="G997" s="127">
        <v>5.28E8</v>
      </c>
      <c r="H997" s="126">
        <v>41465.0</v>
      </c>
      <c r="I997" s="128">
        <v>691.0</v>
      </c>
      <c r="J997" s="128">
        <v>651.21</v>
      </c>
      <c r="K997" s="128">
        <v>524.96</v>
      </c>
      <c r="L997" s="128">
        <v>449986.1</v>
      </c>
      <c r="M997" s="128">
        <v>362747.4</v>
      </c>
      <c r="N997" s="128">
        <v>87238.75</v>
      </c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125" t="s">
        <v>458</v>
      </c>
      <c r="B998" s="125" t="s">
        <v>643</v>
      </c>
      <c r="C998" s="125" t="s">
        <v>460</v>
      </c>
      <c r="D998" s="125" t="s">
        <v>457</v>
      </c>
      <c r="E998" s="125" t="s">
        <v>472</v>
      </c>
      <c r="F998" s="126">
        <v>42633.0</v>
      </c>
      <c r="G998" s="127">
        <v>4.17E8</v>
      </c>
      <c r="H998" s="126">
        <v>42672.0</v>
      </c>
      <c r="I998" s="128">
        <v>4606.0</v>
      </c>
      <c r="J998" s="128">
        <v>47.45</v>
      </c>
      <c r="K998" s="128">
        <v>31.79</v>
      </c>
      <c r="L998" s="128">
        <v>218554.7</v>
      </c>
      <c r="M998" s="128">
        <v>146424.7</v>
      </c>
      <c r="N998" s="128">
        <v>72129.96</v>
      </c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125" t="s">
        <v>466</v>
      </c>
      <c r="B999" s="125" t="s">
        <v>491</v>
      </c>
      <c r="C999" s="125" t="s">
        <v>460</v>
      </c>
      <c r="D999" s="125" t="s">
        <v>454</v>
      </c>
      <c r="E999" s="125" t="s">
        <v>189</v>
      </c>
      <c r="F999" s="126">
        <v>41647.0</v>
      </c>
      <c r="G999" s="127">
        <v>8.68E8</v>
      </c>
      <c r="H999" s="126">
        <v>41671.0</v>
      </c>
      <c r="I999" s="128">
        <v>2491.0</v>
      </c>
      <c r="J999" s="128">
        <v>47.45</v>
      </c>
      <c r="K999" s="128">
        <v>31.79</v>
      </c>
      <c r="L999" s="128">
        <v>118198.0</v>
      </c>
      <c r="M999" s="128">
        <v>79188.89</v>
      </c>
      <c r="N999" s="128">
        <v>39009.06</v>
      </c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125" t="s">
        <v>475</v>
      </c>
      <c r="B1000" s="125" t="s">
        <v>657</v>
      </c>
      <c r="C1000" s="125" t="s">
        <v>506</v>
      </c>
      <c r="D1000" s="125" t="s">
        <v>457</v>
      </c>
      <c r="E1000" s="125" t="s">
        <v>189</v>
      </c>
      <c r="F1000" s="126">
        <v>40406.0</v>
      </c>
      <c r="G1000" s="127">
        <v>4.57E8</v>
      </c>
      <c r="H1000" s="126">
        <v>40444.0</v>
      </c>
      <c r="I1000" s="128">
        <v>2008.0</v>
      </c>
      <c r="J1000" s="128">
        <v>154.06</v>
      </c>
      <c r="K1000" s="128">
        <v>90.93</v>
      </c>
      <c r="L1000" s="128">
        <v>309352.5</v>
      </c>
      <c r="M1000" s="128">
        <v>182587.4</v>
      </c>
      <c r="N1000" s="128">
        <v>126765.0</v>
      </c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125" t="s">
        <v>469</v>
      </c>
      <c r="B1001" s="125" t="s">
        <v>530</v>
      </c>
      <c r="C1001" s="125" t="s">
        <v>494</v>
      </c>
      <c r="D1001" s="125" t="s">
        <v>457</v>
      </c>
      <c r="E1001" s="125" t="s">
        <v>472</v>
      </c>
      <c r="F1001" s="126">
        <v>42601.0</v>
      </c>
      <c r="G1001" s="127">
        <v>5.32E8</v>
      </c>
      <c r="H1001" s="126">
        <v>42632.0</v>
      </c>
      <c r="I1001" s="128">
        <v>7850.0</v>
      </c>
      <c r="J1001" s="128">
        <v>9.33</v>
      </c>
      <c r="K1001" s="128">
        <v>6.92</v>
      </c>
      <c r="L1001" s="128">
        <v>73240.5</v>
      </c>
      <c r="M1001" s="128">
        <v>54322.0</v>
      </c>
      <c r="N1001" s="128">
        <v>18918.5</v>
      </c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>
      <c r="A1002" s="125" t="s">
        <v>466</v>
      </c>
      <c r="B1002" s="125" t="s">
        <v>479</v>
      </c>
      <c r="C1002" s="125" t="s">
        <v>478</v>
      </c>
      <c r="D1002" s="125" t="s">
        <v>454</v>
      </c>
      <c r="E1002" s="125" t="s">
        <v>464</v>
      </c>
      <c r="F1002" s="126">
        <v>41249.0</v>
      </c>
      <c r="G1002" s="127">
        <v>2.58E8</v>
      </c>
      <c r="H1002" s="126">
        <v>41266.0</v>
      </c>
      <c r="I1002" s="128">
        <v>6738.0</v>
      </c>
      <c r="J1002" s="128">
        <v>651.21</v>
      </c>
      <c r="K1002" s="128">
        <v>524.96</v>
      </c>
      <c r="L1002" s="128">
        <v>4387853.0</v>
      </c>
      <c r="M1002" s="128">
        <v>3537180.0</v>
      </c>
      <c r="N1002" s="128">
        <v>850672.5</v>
      </c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>
      <c r="A1003" s="125" t="s">
        <v>475</v>
      </c>
      <c r="B1003" s="125" t="s">
        <v>648</v>
      </c>
      <c r="C1003" s="125" t="s">
        <v>456</v>
      </c>
      <c r="D1003" s="125" t="s">
        <v>454</v>
      </c>
      <c r="E1003" s="125" t="s">
        <v>189</v>
      </c>
      <c r="F1003" s="126">
        <v>42200.0</v>
      </c>
      <c r="G1003" s="127">
        <v>6.75E8</v>
      </c>
      <c r="H1003" s="126">
        <v>42249.0</v>
      </c>
      <c r="I1003" s="128">
        <v>2430.0</v>
      </c>
      <c r="J1003" s="128">
        <v>152.58</v>
      </c>
      <c r="K1003" s="128">
        <v>97.44</v>
      </c>
      <c r="L1003" s="128">
        <v>370769.4</v>
      </c>
      <c r="M1003" s="128">
        <v>236779.2</v>
      </c>
      <c r="N1003" s="128">
        <v>133990.2</v>
      </c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>
      <c r="A1004" s="125" t="s">
        <v>458</v>
      </c>
      <c r="B1004" s="125" t="s">
        <v>473</v>
      </c>
      <c r="C1004" s="125" t="s">
        <v>463</v>
      </c>
      <c r="D1004" s="125" t="s">
        <v>454</v>
      </c>
      <c r="E1004" s="125" t="s">
        <v>284</v>
      </c>
      <c r="F1004" s="126">
        <v>40632.0</v>
      </c>
      <c r="G1004" s="127">
        <v>6.39E8</v>
      </c>
      <c r="H1004" s="126">
        <v>40673.0</v>
      </c>
      <c r="I1004" s="128">
        <v>710.0</v>
      </c>
      <c r="J1004" s="128">
        <v>205.7</v>
      </c>
      <c r="K1004" s="128">
        <v>117.11</v>
      </c>
      <c r="L1004" s="128">
        <v>146047.0</v>
      </c>
      <c r="M1004" s="128">
        <v>83148.1</v>
      </c>
      <c r="N1004" s="128">
        <v>62898.9</v>
      </c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>
      <c r="A1005" s="125" t="s">
        <v>458</v>
      </c>
      <c r="B1005" s="125" t="s">
        <v>642</v>
      </c>
      <c r="C1005" s="125" t="s">
        <v>460</v>
      </c>
      <c r="D1005" s="125" t="s">
        <v>454</v>
      </c>
      <c r="E1005" s="125" t="s">
        <v>464</v>
      </c>
      <c r="F1005" s="126">
        <v>41793.0</v>
      </c>
      <c r="G1005" s="127">
        <v>8.79E8</v>
      </c>
      <c r="H1005" s="126">
        <v>41840.0</v>
      </c>
      <c r="I1005" s="128">
        <v>4396.0</v>
      </c>
      <c r="J1005" s="128">
        <v>47.45</v>
      </c>
      <c r="K1005" s="128">
        <v>31.79</v>
      </c>
      <c r="L1005" s="128">
        <v>208590.2</v>
      </c>
      <c r="M1005" s="128">
        <v>139748.8</v>
      </c>
      <c r="N1005" s="128">
        <v>68841.36</v>
      </c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  <row r="1006">
      <c r="A1006" s="125" t="s">
        <v>458</v>
      </c>
      <c r="B1006" s="125" t="s">
        <v>554</v>
      </c>
      <c r="C1006" s="125" t="s">
        <v>460</v>
      </c>
      <c r="D1006" s="125" t="s">
        <v>457</v>
      </c>
      <c r="E1006" s="125" t="s">
        <v>472</v>
      </c>
      <c r="F1006" s="126">
        <v>40254.0</v>
      </c>
      <c r="G1006" s="127">
        <v>8.44E8</v>
      </c>
      <c r="H1006" s="126">
        <v>40288.0</v>
      </c>
      <c r="I1006" s="128">
        <v>8337.0</v>
      </c>
      <c r="J1006" s="128">
        <v>47.45</v>
      </c>
      <c r="K1006" s="128">
        <v>31.79</v>
      </c>
      <c r="L1006" s="128">
        <v>395590.7</v>
      </c>
      <c r="M1006" s="128">
        <v>265033.2</v>
      </c>
      <c r="N1006" s="128">
        <v>130557.4</v>
      </c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</row>
    <row r="1007">
      <c r="A1007" s="125" t="s">
        <v>469</v>
      </c>
      <c r="B1007" s="125" t="s">
        <v>519</v>
      </c>
      <c r="C1007" s="125" t="s">
        <v>514</v>
      </c>
      <c r="D1007" s="125" t="s">
        <v>457</v>
      </c>
      <c r="E1007" s="125" t="s">
        <v>284</v>
      </c>
      <c r="F1007" s="126">
        <v>40657.0</v>
      </c>
      <c r="G1007" s="127">
        <v>9.52E8</v>
      </c>
      <c r="H1007" s="126">
        <v>40664.0</v>
      </c>
      <c r="I1007" s="128">
        <v>4412.0</v>
      </c>
      <c r="J1007" s="128">
        <v>668.27</v>
      </c>
      <c r="K1007" s="128">
        <v>502.54</v>
      </c>
      <c r="L1007" s="128">
        <v>2948407.0</v>
      </c>
      <c r="M1007" s="128">
        <v>2217206.0</v>
      </c>
      <c r="N1007" s="128">
        <v>731200.8</v>
      </c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</row>
    <row r="1008">
      <c r="A1008" s="125" t="s">
        <v>451</v>
      </c>
      <c r="B1008" s="125" t="s">
        <v>608</v>
      </c>
      <c r="C1008" s="125" t="s">
        <v>478</v>
      </c>
      <c r="D1008" s="125" t="s">
        <v>454</v>
      </c>
      <c r="E1008" s="125" t="s">
        <v>284</v>
      </c>
      <c r="F1008" s="126">
        <v>42501.0</v>
      </c>
      <c r="G1008" s="127">
        <v>3.42E8</v>
      </c>
      <c r="H1008" s="126">
        <v>42537.0</v>
      </c>
      <c r="I1008" s="128">
        <v>6533.0</v>
      </c>
      <c r="J1008" s="128">
        <v>651.21</v>
      </c>
      <c r="K1008" s="128">
        <v>524.96</v>
      </c>
      <c r="L1008" s="128">
        <v>4254355.0</v>
      </c>
      <c r="M1008" s="128">
        <v>3429564.0</v>
      </c>
      <c r="N1008" s="128">
        <v>824791.3</v>
      </c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</row>
    <row r="1009">
      <c r="A1009" s="125" t="s">
        <v>475</v>
      </c>
      <c r="B1009" s="125" t="s">
        <v>600</v>
      </c>
      <c r="C1009" s="125" t="s">
        <v>471</v>
      </c>
      <c r="D1009" s="125" t="s">
        <v>454</v>
      </c>
      <c r="E1009" s="125" t="s">
        <v>472</v>
      </c>
      <c r="F1009" s="126">
        <v>41526.0</v>
      </c>
      <c r="G1009" s="127">
        <v>9.24E8</v>
      </c>
      <c r="H1009" s="126">
        <v>41551.0</v>
      </c>
      <c r="I1009" s="128">
        <v>5642.0</v>
      </c>
      <c r="J1009" s="128">
        <v>109.28</v>
      </c>
      <c r="K1009" s="128">
        <v>35.84</v>
      </c>
      <c r="L1009" s="128">
        <v>616557.8</v>
      </c>
      <c r="M1009" s="128">
        <v>202209.3</v>
      </c>
      <c r="N1009" s="128">
        <v>414348.5</v>
      </c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</row>
    <row r="1010">
      <c r="A1010" s="125" t="s">
        <v>451</v>
      </c>
      <c r="B1010" s="125" t="s">
        <v>543</v>
      </c>
      <c r="C1010" s="125" t="s">
        <v>471</v>
      </c>
      <c r="D1010" s="125" t="s">
        <v>457</v>
      </c>
      <c r="E1010" s="125" t="s">
        <v>464</v>
      </c>
      <c r="F1010" s="126">
        <v>42156.0</v>
      </c>
      <c r="G1010" s="127">
        <v>6.28E8</v>
      </c>
      <c r="H1010" s="126">
        <v>42203.0</v>
      </c>
      <c r="I1010" s="128">
        <v>4712.0</v>
      </c>
      <c r="J1010" s="128">
        <v>109.28</v>
      </c>
      <c r="K1010" s="128">
        <v>35.84</v>
      </c>
      <c r="L1010" s="128">
        <v>514927.4</v>
      </c>
      <c r="M1010" s="128">
        <v>168878.1</v>
      </c>
      <c r="N1010" s="128">
        <v>346049.3</v>
      </c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</row>
    <row r="1011">
      <c r="A1011" s="125" t="s">
        <v>475</v>
      </c>
      <c r="B1011" s="125" t="s">
        <v>585</v>
      </c>
      <c r="C1011" s="125" t="s">
        <v>514</v>
      </c>
      <c r="D1011" s="125" t="s">
        <v>454</v>
      </c>
      <c r="E1011" s="125" t="s">
        <v>189</v>
      </c>
      <c r="F1011" s="126">
        <v>42292.0</v>
      </c>
      <c r="G1011" s="127">
        <v>1.53E8</v>
      </c>
      <c r="H1011" s="126">
        <v>42299.0</v>
      </c>
      <c r="I1011" s="128">
        <v>3750.0</v>
      </c>
      <c r="J1011" s="128">
        <v>668.27</v>
      </c>
      <c r="K1011" s="128">
        <v>502.54</v>
      </c>
      <c r="L1011" s="128">
        <v>2506013.0</v>
      </c>
      <c r="M1011" s="128">
        <v>1884525.0</v>
      </c>
      <c r="N1011" s="128">
        <v>621487.5</v>
      </c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</row>
    <row r="1012">
      <c r="A1012" s="125" t="s">
        <v>475</v>
      </c>
      <c r="B1012" s="125" t="s">
        <v>528</v>
      </c>
      <c r="C1012" s="125" t="s">
        <v>514</v>
      </c>
      <c r="D1012" s="125" t="s">
        <v>454</v>
      </c>
      <c r="E1012" s="125" t="s">
        <v>189</v>
      </c>
      <c r="F1012" s="126">
        <v>40222.0</v>
      </c>
      <c r="G1012" s="127">
        <v>7.2E8</v>
      </c>
      <c r="H1012" s="126">
        <v>40252.0</v>
      </c>
      <c r="I1012" s="128">
        <v>4790.0</v>
      </c>
      <c r="J1012" s="128">
        <v>668.27</v>
      </c>
      <c r="K1012" s="128">
        <v>502.54</v>
      </c>
      <c r="L1012" s="128">
        <v>3201013.0</v>
      </c>
      <c r="M1012" s="128">
        <v>2407167.0</v>
      </c>
      <c r="N1012" s="128">
        <v>793846.7</v>
      </c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</row>
    <row r="1013">
      <c r="A1013" s="125" t="s">
        <v>475</v>
      </c>
      <c r="B1013" s="125" t="s">
        <v>507</v>
      </c>
      <c r="C1013" s="125" t="s">
        <v>456</v>
      </c>
      <c r="D1013" s="125" t="s">
        <v>454</v>
      </c>
      <c r="E1013" s="125" t="s">
        <v>472</v>
      </c>
      <c r="F1013" s="126">
        <v>41540.0</v>
      </c>
      <c r="G1013" s="127">
        <v>9.19E8</v>
      </c>
      <c r="H1013" s="126">
        <v>41564.0</v>
      </c>
      <c r="I1013" s="128">
        <v>6900.0</v>
      </c>
      <c r="J1013" s="128">
        <v>152.58</v>
      </c>
      <c r="K1013" s="128">
        <v>97.44</v>
      </c>
      <c r="L1013" s="128">
        <v>1052802.0</v>
      </c>
      <c r="M1013" s="128">
        <v>672336.0</v>
      </c>
      <c r="N1013" s="128">
        <v>380466.0</v>
      </c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</row>
    <row r="1014">
      <c r="A1014" s="125" t="s">
        <v>469</v>
      </c>
      <c r="B1014" s="125" t="s">
        <v>647</v>
      </c>
      <c r="C1014" s="125" t="s">
        <v>453</v>
      </c>
      <c r="D1014" s="125" t="s">
        <v>454</v>
      </c>
      <c r="E1014" s="125" t="s">
        <v>189</v>
      </c>
      <c r="F1014" s="126">
        <v>41162.0</v>
      </c>
      <c r="G1014" s="127">
        <v>7.62E8</v>
      </c>
      <c r="H1014" s="126">
        <v>41175.0</v>
      </c>
      <c r="I1014" s="128">
        <v>1179.0</v>
      </c>
      <c r="J1014" s="128">
        <v>255.28</v>
      </c>
      <c r="K1014" s="128">
        <v>159.42</v>
      </c>
      <c r="L1014" s="128">
        <v>300975.1</v>
      </c>
      <c r="M1014" s="128">
        <v>187956.2</v>
      </c>
      <c r="N1014" s="128">
        <v>113018.9</v>
      </c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</row>
    <row r="1015">
      <c r="A1015" s="125" t="s">
        <v>469</v>
      </c>
      <c r="B1015" s="125" t="s">
        <v>650</v>
      </c>
      <c r="C1015" s="125" t="s">
        <v>480</v>
      </c>
      <c r="D1015" s="125" t="s">
        <v>454</v>
      </c>
      <c r="E1015" s="125" t="s">
        <v>189</v>
      </c>
      <c r="F1015" s="126">
        <v>41312.0</v>
      </c>
      <c r="G1015" s="127">
        <v>3.3E8</v>
      </c>
      <c r="H1015" s="126">
        <v>41319.0</v>
      </c>
      <c r="I1015" s="128">
        <v>5756.0</v>
      </c>
      <c r="J1015" s="128">
        <v>437.2</v>
      </c>
      <c r="K1015" s="128">
        <v>263.33</v>
      </c>
      <c r="L1015" s="128">
        <v>2516523.0</v>
      </c>
      <c r="M1015" s="128">
        <v>1515727.0</v>
      </c>
      <c r="N1015" s="128">
        <v>1000796.0</v>
      </c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</row>
    <row r="1016">
      <c r="A1016" s="125" t="s">
        <v>451</v>
      </c>
      <c r="B1016" s="125" t="s">
        <v>482</v>
      </c>
      <c r="C1016" s="125" t="s">
        <v>463</v>
      </c>
      <c r="D1016" s="125" t="s">
        <v>454</v>
      </c>
      <c r="E1016" s="125" t="s">
        <v>464</v>
      </c>
      <c r="F1016" s="126">
        <v>41833.0</v>
      </c>
      <c r="G1016" s="127">
        <v>2.25E8</v>
      </c>
      <c r="H1016" s="126">
        <v>41866.0</v>
      </c>
      <c r="I1016" s="128">
        <v>793.0</v>
      </c>
      <c r="J1016" s="128">
        <v>205.7</v>
      </c>
      <c r="K1016" s="128">
        <v>117.11</v>
      </c>
      <c r="L1016" s="128">
        <v>163120.1</v>
      </c>
      <c r="M1016" s="128">
        <v>92868.23</v>
      </c>
      <c r="N1016" s="128">
        <v>70251.87</v>
      </c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</row>
    <row r="1017">
      <c r="A1017" s="125" t="s">
        <v>488</v>
      </c>
      <c r="B1017" s="125" t="s">
        <v>489</v>
      </c>
      <c r="C1017" s="125" t="s">
        <v>485</v>
      </c>
      <c r="D1017" s="125" t="s">
        <v>454</v>
      </c>
      <c r="E1017" s="125" t="s">
        <v>472</v>
      </c>
      <c r="F1017" s="126">
        <v>41576.0</v>
      </c>
      <c r="G1017" s="127">
        <v>2.18E8</v>
      </c>
      <c r="H1017" s="126">
        <v>41578.0</v>
      </c>
      <c r="I1017" s="128">
        <v>3483.0</v>
      </c>
      <c r="J1017" s="128">
        <v>421.89</v>
      </c>
      <c r="K1017" s="128">
        <v>364.69</v>
      </c>
      <c r="L1017" s="128">
        <v>1469443.0</v>
      </c>
      <c r="M1017" s="128">
        <v>1270215.0</v>
      </c>
      <c r="N1017" s="128">
        <v>199227.6</v>
      </c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</row>
    <row r="1018">
      <c r="A1018" s="125" t="s">
        <v>469</v>
      </c>
      <c r="B1018" s="125" t="s">
        <v>520</v>
      </c>
      <c r="C1018" s="125" t="s">
        <v>453</v>
      </c>
      <c r="D1018" s="125" t="s">
        <v>454</v>
      </c>
      <c r="E1018" s="125" t="s">
        <v>472</v>
      </c>
      <c r="F1018" s="126">
        <v>42547.0</v>
      </c>
      <c r="G1018" s="127">
        <v>6.01E8</v>
      </c>
      <c r="H1018" s="126">
        <v>42589.0</v>
      </c>
      <c r="I1018" s="128">
        <v>3048.0</v>
      </c>
      <c r="J1018" s="128">
        <v>255.28</v>
      </c>
      <c r="K1018" s="128">
        <v>159.42</v>
      </c>
      <c r="L1018" s="128">
        <v>778093.4</v>
      </c>
      <c r="M1018" s="128">
        <v>485912.2</v>
      </c>
      <c r="N1018" s="128">
        <v>292181.3</v>
      </c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</row>
    <row r="1019">
      <c r="A1019" s="125" t="s">
        <v>475</v>
      </c>
      <c r="B1019" s="125" t="s">
        <v>619</v>
      </c>
      <c r="C1019" s="125" t="s">
        <v>506</v>
      </c>
      <c r="D1019" s="125" t="s">
        <v>454</v>
      </c>
      <c r="E1019" s="125" t="s">
        <v>189</v>
      </c>
      <c r="F1019" s="126">
        <v>40225.0</v>
      </c>
      <c r="G1019" s="127">
        <v>8.38E8</v>
      </c>
      <c r="H1019" s="126">
        <v>40240.0</v>
      </c>
      <c r="I1019" s="128">
        <v>5744.0</v>
      </c>
      <c r="J1019" s="128">
        <v>154.06</v>
      </c>
      <c r="K1019" s="128">
        <v>90.93</v>
      </c>
      <c r="L1019" s="128">
        <v>884920.6</v>
      </c>
      <c r="M1019" s="128">
        <v>522301.9</v>
      </c>
      <c r="N1019" s="128">
        <v>362618.7</v>
      </c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</row>
    <row r="1020">
      <c r="A1020" s="125" t="s">
        <v>466</v>
      </c>
      <c r="B1020" s="125" t="s">
        <v>477</v>
      </c>
      <c r="C1020" s="125" t="s">
        <v>471</v>
      </c>
      <c r="D1020" s="125" t="s">
        <v>457</v>
      </c>
      <c r="E1020" s="125" t="s">
        <v>464</v>
      </c>
      <c r="F1020" s="126">
        <v>41543.0</v>
      </c>
      <c r="G1020" s="127">
        <v>9.1E8</v>
      </c>
      <c r="H1020" s="126">
        <v>41544.0</v>
      </c>
      <c r="I1020" s="128">
        <v>9856.0</v>
      </c>
      <c r="J1020" s="128">
        <v>109.28</v>
      </c>
      <c r="K1020" s="128">
        <v>35.84</v>
      </c>
      <c r="L1020" s="128">
        <v>1077064.0</v>
      </c>
      <c r="M1020" s="128">
        <v>353239.0</v>
      </c>
      <c r="N1020" s="128">
        <v>723824.6</v>
      </c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</row>
    <row r="1021">
      <c r="A1021" s="125" t="s">
        <v>475</v>
      </c>
      <c r="B1021" s="125" t="s">
        <v>476</v>
      </c>
      <c r="C1021" s="125" t="s">
        <v>456</v>
      </c>
      <c r="D1021" s="125" t="s">
        <v>457</v>
      </c>
      <c r="E1021" s="125" t="s">
        <v>464</v>
      </c>
      <c r="F1021" s="126">
        <v>41375.0</v>
      </c>
      <c r="G1021" s="127">
        <v>8.72E8</v>
      </c>
      <c r="H1021" s="126">
        <v>41392.0</v>
      </c>
      <c r="I1021" s="128">
        <v>703.0</v>
      </c>
      <c r="J1021" s="128">
        <v>152.58</v>
      </c>
      <c r="K1021" s="128">
        <v>97.44</v>
      </c>
      <c r="L1021" s="128">
        <v>107263.7</v>
      </c>
      <c r="M1021" s="128">
        <v>68500.32</v>
      </c>
      <c r="N1021" s="128">
        <v>38763.42</v>
      </c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</row>
    <row r="1022">
      <c r="A1022" s="125" t="s">
        <v>461</v>
      </c>
      <c r="B1022" s="125" t="s">
        <v>586</v>
      </c>
      <c r="C1022" s="125" t="s">
        <v>460</v>
      </c>
      <c r="D1022" s="125" t="s">
        <v>457</v>
      </c>
      <c r="E1022" s="125" t="s">
        <v>472</v>
      </c>
      <c r="F1022" s="126">
        <v>40518.0</v>
      </c>
      <c r="G1022" s="127">
        <v>3.97E8</v>
      </c>
      <c r="H1022" s="126">
        <v>40558.0</v>
      </c>
      <c r="I1022" s="128">
        <v>5632.0</v>
      </c>
      <c r="J1022" s="128">
        <v>47.45</v>
      </c>
      <c r="K1022" s="128">
        <v>31.79</v>
      </c>
      <c r="L1022" s="128">
        <v>267238.4</v>
      </c>
      <c r="M1022" s="128">
        <v>179041.3</v>
      </c>
      <c r="N1022" s="128">
        <v>88197.12</v>
      </c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</row>
    <row r="1023">
      <c r="A1023" s="125" t="s">
        <v>458</v>
      </c>
      <c r="B1023" s="125" t="s">
        <v>529</v>
      </c>
      <c r="C1023" s="125" t="s">
        <v>494</v>
      </c>
      <c r="D1023" s="125" t="s">
        <v>457</v>
      </c>
      <c r="E1023" s="125" t="s">
        <v>284</v>
      </c>
      <c r="F1023" s="126">
        <v>41537.0</v>
      </c>
      <c r="G1023" s="127">
        <v>1.28E8</v>
      </c>
      <c r="H1023" s="126">
        <v>41576.0</v>
      </c>
      <c r="I1023" s="128">
        <v>9024.0</v>
      </c>
      <c r="J1023" s="128">
        <v>9.33</v>
      </c>
      <c r="K1023" s="128">
        <v>6.92</v>
      </c>
      <c r="L1023" s="128">
        <v>84193.92</v>
      </c>
      <c r="M1023" s="128">
        <v>62446.08</v>
      </c>
      <c r="N1023" s="128">
        <v>21747.84</v>
      </c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</row>
    <row r="1024">
      <c r="A1024" s="125" t="s">
        <v>461</v>
      </c>
      <c r="B1024" s="125" t="s">
        <v>522</v>
      </c>
      <c r="C1024" s="125" t="s">
        <v>460</v>
      </c>
      <c r="D1024" s="125" t="s">
        <v>454</v>
      </c>
      <c r="E1024" s="125" t="s">
        <v>472</v>
      </c>
      <c r="F1024" s="126">
        <v>41859.0</v>
      </c>
      <c r="G1024" s="127">
        <v>3.3E8</v>
      </c>
      <c r="H1024" s="126">
        <v>41903.0</v>
      </c>
      <c r="I1024" s="128">
        <v>7290.0</v>
      </c>
      <c r="J1024" s="128">
        <v>47.45</v>
      </c>
      <c r="K1024" s="128">
        <v>31.79</v>
      </c>
      <c r="L1024" s="128">
        <v>345910.5</v>
      </c>
      <c r="M1024" s="128">
        <v>231749.1</v>
      </c>
      <c r="N1024" s="128">
        <v>114161.4</v>
      </c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</row>
    <row r="1025">
      <c r="A1025" s="125" t="s">
        <v>475</v>
      </c>
      <c r="B1025" s="125" t="s">
        <v>558</v>
      </c>
      <c r="C1025" s="125" t="s">
        <v>494</v>
      </c>
      <c r="D1025" s="125" t="s">
        <v>457</v>
      </c>
      <c r="E1025" s="125" t="s">
        <v>472</v>
      </c>
      <c r="F1025" s="126">
        <v>40678.0</v>
      </c>
      <c r="G1025" s="127">
        <v>4.36E8</v>
      </c>
      <c r="H1025" s="126">
        <v>40704.0</v>
      </c>
      <c r="I1025" s="128">
        <v>3872.0</v>
      </c>
      <c r="J1025" s="128">
        <v>9.33</v>
      </c>
      <c r="K1025" s="128">
        <v>6.92</v>
      </c>
      <c r="L1025" s="128">
        <v>36125.76</v>
      </c>
      <c r="M1025" s="128">
        <v>26794.24</v>
      </c>
      <c r="N1025" s="128">
        <v>9331.52</v>
      </c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</row>
    <row r="1026">
      <c r="A1026" s="125" t="s">
        <v>451</v>
      </c>
      <c r="B1026" s="125" t="s">
        <v>497</v>
      </c>
      <c r="C1026" s="125" t="s">
        <v>453</v>
      </c>
      <c r="D1026" s="125" t="s">
        <v>457</v>
      </c>
      <c r="E1026" s="125" t="s">
        <v>472</v>
      </c>
      <c r="F1026" s="126">
        <v>40348.0</v>
      </c>
      <c r="G1026" s="127">
        <v>4.03E8</v>
      </c>
      <c r="H1026" s="126">
        <v>40363.0</v>
      </c>
      <c r="I1026" s="128">
        <v>4244.0</v>
      </c>
      <c r="J1026" s="128">
        <v>255.28</v>
      </c>
      <c r="K1026" s="128">
        <v>159.42</v>
      </c>
      <c r="L1026" s="128">
        <v>1083408.0</v>
      </c>
      <c r="M1026" s="128">
        <v>676578.5</v>
      </c>
      <c r="N1026" s="128">
        <v>406829.8</v>
      </c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</row>
    <row r="1027">
      <c r="A1027" s="125" t="s">
        <v>475</v>
      </c>
      <c r="B1027" s="125" t="s">
        <v>512</v>
      </c>
      <c r="C1027" s="125" t="s">
        <v>506</v>
      </c>
      <c r="D1027" s="125" t="s">
        <v>454</v>
      </c>
      <c r="E1027" s="125" t="s">
        <v>189</v>
      </c>
      <c r="F1027" s="126">
        <v>42224.0</v>
      </c>
      <c r="G1027" s="127">
        <v>2.54E8</v>
      </c>
      <c r="H1027" s="126">
        <v>42259.0</v>
      </c>
      <c r="I1027" s="128">
        <v>911.0</v>
      </c>
      <c r="J1027" s="128">
        <v>154.06</v>
      </c>
      <c r="K1027" s="128">
        <v>90.93</v>
      </c>
      <c r="L1027" s="128">
        <v>140348.7</v>
      </c>
      <c r="M1027" s="128">
        <v>82837.23</v>
      </c>
      <c r="N1027" s="128">
        <v>57511.43</v>
      </c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</row>
    <row r="1028">
      <c r="A1028" s="125" t="s">
        <v>475</v>
      </c>
      <c r="B1028" s="125" t="s">
        <v>657</v>
      </c>
      <c r="C1028" s="125" t="s">
        <v>460</v>
      </c>
      <c r="D1028" s="125" t="s">
        <v>454</v>
      </c>
      <c r="E1028" s="125" t="s">
        <v>189</v>
      </c>
      <c r="F1028" s="126">
        <v>42521.0</v>
      </c>
      <c r="G1028" s="127">
        <v>5.36E8</v>
      </c>
      <c r="H1028" s="126">
        <v>42539.0</v>
      </c>
      <c r="I1028" s="128">
        <v>8409.0</v>
      </c>
      <c r="J1028" s="128">
        <v>47.45</v>
      </c>
      <c r="K1028" s="128">
        <v>31.79</v>
      </c>
      <c r="L1028" s="128">
        <v>399007.1</v>
      </c>
      <c r="M1028" s="128">
        <v>267322.1</v>
      </c>
      <c r="N1028" s="128">
        <v>131684.9</v>
      </c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</row>
    <row r="1029">
      <c r="A1029" s="125" t="s">
        <v>475</v>
      </c>
      <c r="B1029" s="125" t="s">
        <v>624</v>
      </c>
      <c r="C1029" s="125" t="s">
        <v>471</v>
      </c>
      <c r="D1029" s="125" t="s">
        <v>457</v>
      </c>
      <c r="E1029" s="125" t="s">
        <v>189</v>
      </c>
      <c r="F1029" s="126">
        <v>41992.0</v>
      </c>
      <c r="G1029" s="127">
        <v>9.63E8</v>
      </c>
      <c r="H1029" s="126">
        <v>42029.0</v>
      </c>
      <c r="I1029" s="128">
        <v>8304.0</v>
      </c>
      <c r="J1029" s="128">
        <v>109.28</v>
      </c>
      <c r="K1029" s="128">
        <v>35.84</v>
      </c>
      <c r="L1029" s="128">
        <v>907461.1</v>
      </c>
      <c r="M1029" s="128">
        <v>297615.4</v>
      </c>
      <c r="N1029" s="128">
        <v>609845.8</v>
      </c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</row>
    <row r="1030">
      <c r="A1030" s="125" t="s">
        <v>469</v>
      </c>
      <c r="B1030" s="125" t="s">
        <v>569</v>
      </c>
      <c r="C1030" s="125" t="s">
        <v>478</v>
      </c>
      <c r="D1030" s="125" t="s">
        <v>454</v>
      </c>
      <c r="E1030" s="125" t="s">
        <v>464</v>
      </c>
      <c r="F1030" s="126">
        <v>41777.0</v>
      </c>
      <c r="G1030" s="127">
        <v>8.72E8</v>
      </c>
      <c r="H1030" s="126">
        <v>41803.0</v>
      </c>
      <c r="I1030" s="128">
        <v>4197.0</v>
      </c>
      <c r="J1030" s="128">
        <v>651.21</v>
      </c>
      <c r="K1030" s="128">
        <v>524.96</v>
      </c>
      <c r="L1030" s="128">
        <v>2733128.0</v>
      </c>
      <c r="M1030" s="128">
        <v>2203257.0</v>
      </c>
      <c r="N1030" s="128">
        <v>529871.3</v>
      </c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</row>
    <row r="1031">
      <c r="A1031" s="125" t="s">
        <v>475</v>
      </c>
      <c r="B1031" s="125" t="s">
        <v>600</v>
      </c>
      <c r="C1031" s="125" t="s">
        <v>514</v>
      </c>
      <c r="D1031" s="125" t="s">
        <v>457</v>
      </c>
      <c r="E1031" s="125" t="s">
        <v>284</v>
      </c>
      <c r="F1031" s="126">
        <v>42025.0</v>
      </c>
      <c r="G1031" s="127">
        <v>5.7E8</v>
      </c>
      <c r="H1031" s="126">
        <v>42037.0</v>
      </c>
      <c r="I1031" s="128">
        <v>6716.0</v>
      </c>
      <c r="J1031" s="128">
        <v>668.27</v>
      </c>
      <c r="K1031" s="128">
        <v>502.54</v>
      </c>
      <c r="L1031" s="128">
        <v>4488101.0</v>
      </c>
      <c r="M1031" s="128">
        <v>3375059.0</v>
      </c>
      <c r="N1031" s="128">
        <v>1113043.0</v>
      </c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</row>
    <row r="1032">
      <c r="A1032" s="125" t="s">
        <v>458</v>
      </c>
      <c r="B1032" s="125" t="s">
        <v>517</v>
      </c>
      <c r="C1032" s="125" t="s">
        <v>456</v>
      </c>
      <c r="D1032" s="125" t="s">
        <v>454</v>
      </c>
      <c r="E1032" s="125" t="s">
        <v>189</v>
      </c>
      <c r="F1032" s="126">
        <v>40504.0</v>
      </c>
      <c r="G1032" s="127">
        <v>8.82E8</v>
      </c>
      <c r="H1032" s="126">
        <v>40535.0</v>
      </c>
      <c r="I1032" s="128">
        <v>8524.0</v>
      </c>
      <c r="J1032" s="128">
        <v>152.58</v>
      </c>
      <c r="K1032" s="128">
        <v>97.44</v>
      </c>
      <c r="L1032" s="128">
        <v>1300592.0</v>
      </c>
      <c r="M1032" s="128">
        <v>830578.6</v>
      </c>
      <c r="N1032" s="128">
        <v>470013.4</v>
      </c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</row>
    <row r="1033">
      <c r="A1033" s="125" t="s">
        <v>458</v>
      </c>
      <c r="B1033" s="125" t="s">
        <v>613</v>
      </c>
      <c r="C1033" s="125" t="s">
        <v>514</v>
      </c>
      <c r="D1033" s="125" t="s">
        <v>457</v>
      </c>
      <c r="E1033" s="125" t="s">
        <v>464</v>
      </c>
      <c r="F1033" s="126">
        <v>42290.0</v>
      </c>
      <c r="G1033" s="127">
        <v>9.06E8</v>
      </c>
      <c r="H1033" s="126">
        <v>42297.0</v>
      </c>
      <c r="I1033" s="128">
        <v>9311.0</v>
      </c>
      <c r="J1033" s="128">
        <v>668.27</v>
      </c>
      <c r="K1033" s="128">
        <v>502.54</v>
      </c>
      <c r="L1033" s="128">
        <v>6222262.0</v>
      </c>
      <c r="M1033" s="128">
        <v>4679150.0</v>
      </c>
      <c r="N1033" s="128">
        <v>1543112.0</v>
      </c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</row>
    <row r="1034">
      <c r="A1034" s="125" t="s">
        <v>475</v>
      </c>
      <c r="B1034" s="125" t="s">
        <v>619</v>
      </c>
      <c r="C1034" s="125" t="s">
        <v>478</v>
      </c>
      <c r="D1034" s="125" t="s">
        <v>454</v>
      </c>
      <c r="E1034" s="125" t="s">
        <v>472</v>
      </c>
      <c r="F1034" s="126">
        <v>41782.0</v>
      </c>
      <c r="G1034" s="127">
        <v>2.58E8</v>
      </c>
      <c r="H1034" s="126">
        <v>41813.0</v>
      </c>
      <c r="I1034" s="128">
        <v>802.0</v>
      </c>
      <c r="J1034" s="128">
        <v>651.21</v>
      </c>
      <c r="K1034" s="128">
        <v>524.96</v>
      </c>
      <c r="L1034" s="128">
        <v>522270.4</v>
      </c>
      <c r="M1034" s="128">
        <v>421017.9</v>
      </c>
      <c r="N1034" s="128">
        <v>101252.5</v>
      </c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</row>
    <row r="1035">
      <c r="A1035" s="125" t="s">
        <v>461</v>
      </c>
      <c r="B1035" s="125" t="s">
        <v>595</v>
      </c>
      <c r="C1035" s="125" t="s">
        <v>485</v>
      </c>
      <c r="D1035" s="125" t="s">
        <v>457</v>
      </c>
      <c r="E1035" s="125" t="s">
        <v>472</v>
      </c>
      <c r="F1035" s="126">
        <v>40681.0</v>
      </c>
      <c r="G1035" s="127">
        <v>4.27E8</v>
      </c>
      <c r="H1035" s="126">
        <v>40709.0</v>
      </c>
      <c r="I1035" s="128">
        <v>1752.0</v>
      </c>
      <c r="J1035" s="128">
        <v>421.89</v>
      </c>
      <c r="K1035" s="128">
        <v>364.69</v>
      </c>
      <c r="L1035" s="128">
        <v>739151.3</v>
      </c>
      <c r="M1035" s="128">
        <v>638936.9</v>
      </c>
      <c r="N1035" s="128">
        <v>100214.4</v>
      </c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</row>
    <row r="1036">
      <c r="A1036" s="125" t="s">
        <v>458</v>
      </c>
      <c r="B1036" s="125" t="s">
        <v>551</v>
      </c>
      <c r="C1036" s="125" t="s">
        <v>453</v>
      </c>
      <c r="D1036" s="125" t="s">
        <v>454</v>
      </c>
      <c r="E1036" s="125" t="s">
        <v>472</v>
      </c>
      <c r="F1036" s="126">
        <v>41082.0</v>
      </c>
      <c r="G1036" s="127">
        <v>7.21E8</v>
      </c>
      <c r="H1036" s="126">
        <v>41122.0</v>
      </c>
      <c r="I1036" s="128">
        <v>2948.0</v>
      </c>
      <c r="J1036" s="128">
        <v>255.28</v>
      </c>
      <c r="K1036" s="128">
        <v>159.42</v>
      </c>
      <c r="L1036" s="128">
        <v>752565.4</v>
      </c>
      <c r="M1036" s="128">
        <v>469970.2</v>
      </c>
      <c r="N1036" s="128">
        <v>282595.3</v>
      </c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</row>
    <row r="1037">
      <c r="A1037" s="125" t="s">
        <v>461</v>
      </c>
      <c r="B1037" s="125" t="s">
        <v>629</v>
      </c>
      <c r="C1037" s="125" t="s">
        <v>494</v>
      </c>
      <c r="D1037" s="125" t="s">
        <v>457</v>
      </c>
      <c r="E1037" s="125" t="s">
        <v>464</v>
      </c>
      <c r="F1037" s="126">
        <v>41314.0</v>
      </c>
      <c r="G1037" s="127">
        <v>5.17E8</v>
      </c>
      <c r="H1037" s="126">
        <v>41360.0</v>
      </c>
      <c r="I1037" s="128">
        <v>2205.0</v>
      </c>
      <c r="J1037" s="128">
        <v>9.33</v>
      </c>
      <c r="K1037" s="128">
        <v>6.92</v>
      </c>
      <c r="L1037" s="128">
        <v>20572.65</v>
      </c>
      <c r="M1037" s="128">
        <v>15258.6</v>
      </c>
      <c r="N1037" s="128">
        <v>5314.05</v>
      </c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</row>
    <row r="1038">
      <c r="A1038" s="125" t="s">
        <v>461</v>
      </c>
      <c r="B1038" s="125" t="s">
        <v>595</v>
      </c>
      <c r="C1038" s="125" t="s">
        <v>494</v>
      </c>
      <c r="D1038" s="125" t="s">
        <v>457</v>
      </c>
      <c r="E1038" s="125" t="s">
        <v>472</v>
      </c>
      <c r="F1038" s="126">
        <v>42867.0</v>
      </c>
      <c r="G1038" s="127">
        <v>6.14E8</v>
      </c>
      <c r="H1038" s="126">
        <v>42903.0</v>
      </c>
      <c r="I1038" s="128">
        <v>9373.0</v>
      </c>
      <c r="J1038" s="128">
        <v>9.33</v>
      </c>
      <c r="K1038" s="128">
        <v>6.92</v>
      </c>
      <c r="L1038" s="128">
        <v>87450.09</v>
      </c>
      <c r="M1038" s="128">
        <v>64861.16</v>
      </c>
      <c r="N1038" s="128">
        <v>22588.93</v>
      </c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</row>
    <row r="1039">
      <c r="A1039" s="125" t="s">
        <v>461</v>
      </c>
      <c r="B1039" s="125" t="s">
        <v>615</v>
      </c>
      <c r="C1039" s="125" t="s">
        <v>463</v>
      </c>
      <c r="D1039" s="125" t="s">
        <v>457</v>
      </c>
      <c r="E1039" s="125" t="s">
        <v>472</v>
      </c>
      <c r="F1039" s="126">
        <v>40700.0</v>
      </c>
      <c r="G1039" s="127">
        <v>9.81E8</v>
      </c>
      <c r="H1039" s="126">
        <v>40741.0</v>
      </c>
      <c r="I1039" s="128">
        <v>1332.0</v>
      </c>
      <c r="J1039" s="128">
        <v>205.7</v>
      </c>
      <c r="K1039" s="128">
        <v>117.11</v>
      </c>
      <c r="L1039" s="128">
        <v>273992.4</v>
      </c>
      <c r="M1039" s="128">
        <v>155990.5</v>
      </c>
      <c r="N1039" s="128">
        <v>118001.9</v>
      </c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</row>
    <row r="1040">
      <c r="A1040" s="125" t="s">
        <v>458</v>
      </c>
      <c r="B1040" s="125" t="s">
        <v>616</v>
      </c>
      <c r="C1040" s="125" t="s">
        <v>468</v>
      </c>
      <c r="D1040" s="125" t="s">
        <v>457</v>
      </c>
      <c r="E1040" s="125" t="s">
        <v>464</v>
      </c>
      <c r="F1040" s="126">
        <v>41227.0</v>
      </c>
      <c r="G1040" s="127">
        <v>3.06E8</v>
      </c>
      <c r="H1040" s="126">
        <v>41231.0</v>
      </c>
      <c r="I1040" s="128">
        <v>6993.0</v>
      </c>
      <c r="J1040" s="128">
        <v>81.73</v>
      </c>
      <c r="K1040" s="128">
        <v>56.67</v>
      </c>
      <c r="L1040" s="128">
        <v>571537.9</v>
      </c>
      <c r="M1040" s="128">
        <v>396293.3</v>
      </c>
      <c r="N1040" s="128">
        <v>175244.6</v>
      </c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</row>
    <row r="1041">
      <c r="A1041" s="125" t="s">
        <v>469</v>
      </c>
      <c r="B1041" s="125" t="s">
        <v>520</v>
      </c>
      <c r="C1041" s="125" t="s">
        <v>514</v>
      </c>
      <c r="D1041" s="125" t="s">
        <v>457</v>
      </c>
      <c r="E1041" s="125" t="s">
        <v>464</v>
      </c>
      <c r="F1041" s="126">
        <v>41571.0</v>
      </c>
      <c r="G1041" s="127">
        <v>9.5E8</v>
      </c>
      <c r="H1041" s="126">
        <v>41580.0</v>
      </c>
      <c r="I1041" s="128">
        <v>2298.0</v>
      </c>
      <c r="J1041" s="128">
        <v>668.27</v>
      </c>
      <c r="K1041" s="128">
        <v>502.54</v>
      </c>
      <c r="L1041" s="128">
        <v>1535684.0</v>
      </c>
      <c r="M1041" s="128">
        <v>1154837.0</v>
      </c>
      <c r="N1041" s="128">
        <v>380847.5</v>
      </c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</row>
    <row r="1042">
      <c r="A1042" s="125" t="s">
        <v>458</v>
      </c>
      <c r="B1042" s="125" t="s">
        <v>606</v>
      </c>
      <c r="C1042" s="125" t="s">
        <v>463</v>
      </c>
      <c r="D1042" s="125" t="s">
        <v>457</v>
      </c>
      <c r="E1042" s="125" t="s">
        <v>189</v>
      </c>
      <c r="F1042" s="126">
        <v>42008.0</v>
      </c>
      <c r="G1042" s="127">
        <v>3.92E8</v>
      </c>
      <c r="H1042" s="126">
        <v>42057.0</v>
      </c>
      <c r="I1042" s="128">
        <v>5222.0</v>
      </c>
      <c r="J1042" s="128">
        <v>205.7</v>
      </c>
      <c r="K1042" s="128">
        <v>117.11</v>
      </c>
      <c r="L1042" s="128">
        <v>1074165.0</v>
      </c>
      <c r="M1042" s="128">
        <v>611548.4</v>
      </c>
      <c r="N1042" s="128">
        <v>462617.0</v>
      </c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</row>
    <row r="1043">
      <c r="A1043" s="125" t="s">
        <v>461</v>
      </c>
      <c r="B1043" s="125" t="s">
        <v>511</v>
      </c>
      <c r="C1043" s="125" t="s">
        <v>468</v>
      </c>
      <c r="D1043" s="125" t="s">
        <v>454</v>
      </c>
      <c r="E1043" s="125" t="s">
        <v>189</v>
      </c>
      <c r="F1043" s="126">
        <v>41821.0</v>
      </c>
      <c r="G1043" s="127">
        <v>6.82E8</v>
      </c>
      <c r="H1043" s="126">
        <v>41828.0</v>
      </c>
      <c r="I1043" s="128">
        <v>768.0</v>
      </c>
      <c r="J1043" s="128">
        <v>81.73</v>
      </c>
      <c r="K1043" s="128">
        <v>56.67</v>
      </c>
      <c r="L1043" s="128">
        <v>62768.64</v>
      </c>
      <c r="M1043" s="128">
        <v>43522.56</v>
      </c>
      <c r="N1043" s="128">
        <v>19246.08</v>
      </c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</row>
    <row r="1044">
      <c r="A1044" s="125" t="s">
        <v>475</v>
      </c>
      <c r="B1044" s="125" t="s">
        <v>507</v>
      </c>
      <c r="C1044" s="125" t="s">
        <v>471</v>
      </c>
      <c r="D1044" s="125" t="s">
        <v>454</v>
      </c>
      <c r="E1044" s="125" t="s">
        <v>472</v>
      </c>
      <c r="F1044" s="126">
        <v>40682.0</v>
      </c>
      <c r="G1044" s="127">
        <v>7.91E8</v>
      </c>
      <c r="H1044" s="126">
        <v>40714.0</v>
      </c>
      <c r="I1044" s="128">
        <v>5973.0</v>
      </c>
      <c r="J1044" s="128">
        <v>109.28</v>
      </c>
      <c r="K1044" s="128">
        <v>35.84</v>
      </c>
      <c r="L1044" s="128">
        <v>652729.4</v>
      </c>
      <c r="M1044" s="128">
        <v>214072.3</v>
      </c>
      <c r="N1044" s="128">
        <v>438657.1</v>
      </c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</row>
    <row r="1045">
      <c r="A1045" s="125" t="s">
        <v>475</v>
      </c>
      <c r="B1045" s="125" t="s">
        <v>588</v>
      </c>
      <c r="C1045" s="125" t="s">
        <v>480</v>
      </c>
      <c r="D1045" s="125" t="s">
        <v>457</v>
      </c>
      <c r="E1045" s="125" t="s">
        <v>464</v>
      </c>
      <c r="F1045" s="126">
        <v>42801.0</v>
      </c>
      <c r="G1045" s="127">
        <v>6.59E8</v>
      </c>
      <c r="H1045" s="126">
        <v>42807.0</v>
      </c>
      <c r="I1045" s="128">
        <v>4904.0</v>
      </c>
      <c r="J1045" s="128">
        <v>437.2</v>
      </c>
      <c r="K1045" s="128">
        <v>263.33</v>
      </c>
      <c r="L1045" s="128">
        <v>2144029.0</v>
      </c>
      <c r="M1045" s="128">
        <v>1291370.0</v>
      </c>
      <c r="N1045" s="128">
        <v>852658.5</v>
      </c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</row>
    <row r="1046">
      <c r="A1046" s="125" t="s">
        <v>458</v>
      </c>
      <c r="B1046" s="125" t="s">
        <v>563</v>
      </c>
      <c r="C1046" s="125" t="s">
        <v>480</v>
      </c>
      <c r="D1046" s="125" t="s">
        <v>457</v>
      </c>
      <c r="E1046" s="125" t="s">
        <v>284</v>
      </c>
      <c r="F1046" s="126">
        <v>41712.0</v>
      </c>
      <c r="G1046" s="127">
        <v>7.47E8</v>
      </c>
      <c r="H1046" s="126">
        <v>41741.0</v>
      </c>
      <c r="I1046" s="128">
        <v>3661.0</v>
      </c>
      <c r="J1046" s="128">
        <v>437.2</v>
      </c>
      <c r="K1046" s="128">
        <v>263.33</v>
      </c>
      <c r="L1046" s="128">
        <v>1600589.0</v>
      </c>
      <c r="M1046" s="128">
        <v>964051.1</v>
      </c>
      <c r="N1046" s="128">
        <v>636538.1</v>
      </c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</row>
    <row r="1047">
      <c r="A1047" s="125" t="s">
        <v>451</v>
      </c>
      <c r="B1047" s="125" t="s">
        <v>497</v>
      </c>
      <c r="C1047" s="125" t="s">
        <v>494</v>
      </c>
      <c r="D1047" s="125" t="s">
        <v>457</v>
      </c>
      <c r="E1047" s="125" t="s">
        <v>189</v>
      </c>
      <c r="F1047" s="126">
        <v>41020.0</v>
      </c>
      <c r="G1047" s="127">
        <v>6.86E8</v>
      </c>
      <c r="H1047" s="126">
        <v>41057.0</v>
      </c>
      <c r="I1047" s="128">
        <v>5372.0</v>
      </c>
      <c r="J1047" s="128">
        <v>9.33</v>
      </c>
      <c r="K1047" s="128">
        <v>6.92</v>
      </c>
      <c r="L1047" s="128">
        <v>50120.76</v>
      </c>
      <c r="M1047" s="128">
        <v>37174.24</v>
      </c>
      <c r="N1047" s="128">
        <v>12946.52</v>
      </c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</row>
    <row r="1048">
      <c r="A1048" s="125" t="s">
        <v>451</v>
      </c>
      <c r="B1048" s="125" t="s">
        <v>483</v>
      </c>
      <c r="C1048" s="125" t="s">
        <v>471</v>
      </c>
      <c r="D1048" s="125" t="s">
        <v>457</v>
      </c>
      <c r="E1048" s="125" t="s">
        <v>189</v>
      </c>
      <c r="F1048" s="126">
        <v>41953.0</v>
      </c>
      <c r="G1048" s="127">
        <v>6.28E8</v>
      </c>
      <c r="H1048" s="126">
        <v>41982.0</v>
      </c>
      <c r="I1048" s="128">
        <v>5199.0</v>
      </c>
      <c r="J1048" s="128">
        <v>109.28</v>
      </c>
      <c r="K1048" s="128">
        <v>35.84</v>
      </c>
      <c r="L1048" s="128">
        <v>568146.7</v>
      </c>
      <c r="M1048" s="128">
        <v>186332.2</v>
      </c>
      <c r="N1048" s="128">
        <v>381814.6</v>
      </c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</row>
    <row r="1049">
      <c r="A1049" s="125" t="s">
        <v>451</v>
      </c>
      <c r="B1049" s="125" t="s">
        <v>550</v>
      </c>
      <c r="C1049" s="125" t="s">
        <v>456</v>
      </c>
      <c r="D1049" s="125" t="s">
        <v>454</v>
      </c>
      <c r="E1049" s="125" t="s">
        <v>464</v>
      </c>
      <c r="F1049" s="126">
        <v>41978.0</v>
      </c>
      <c r="G1049" s="127">
        <v>7.95E8</v>
      </c>
      <c r="H1049" s="126">
        <v>42023.0</v>
      </c>
      <c r="I1049" s="128">
        <v>5335.0</v>
      </c>
      <c r="J1049" s="128">
        <v>152.58</v>
      </c>
      <c r="K1049" s="128">
        <v>97.44</v>
      </c>
      <c r="L1049" s="128">
        <v>814014.3</v>
      </c>
      <c r="M1049" s="128">
        <v>519842.4</v>
      </c>
      <c r="N1049" s="128">
        <v>294171.9</v>
      </c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</row>
    <row r="1050">
      <c r="A1050" s="125" t="s">
        <v>458</v>
      </c>
      <c r="B1050" s="125" t="s">
        <v>487</v>
      </c>
      <c r="C1050" s="125" t="s">
        <v>514</v>
      </c>
      <c r="D1050" s="125" t="s">
        <v>454</v>
      </c>
      <c r="E1050" s="125" t="s">
        <v>284</v>
      </c>
      <c r="F1050" s="126">
        <v>41719.0</v>
      </c>
      <c r="G1050" s="127">
        <v>1.3E8</v>
      </c>
      <c r="H1050" s="126">
        <v>41753.0</v>
      </c>
      <c r="I1050" s="128">
        <v>2.0</v>
      </c>
      <c r="J1050" s="128">
        <v>668.27</v>
      </c>
      <c r="K1050" s="128">
        <v>502.54</v>
      </c>
      <c r="L1050" s="128">
        <v>1336.54</v>
      </c>
      <c r="M1050" s="128">
        <v>1005.08</v>
      </c>
      <c r="N1050" s="128">
        <v>331.46</v>
      </c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</row>
    <row r="1051">
      <c r="A1051" s="125" t="s">
        <v>469</v>
      </c>
      <c r="B1051" s="125" t="s">
        <v>520</v>
      </c>
      <c r="C1051" s="125" t="s">
        <v>478</v>
      </c>
      <c r="D1051" s="125" t="s">
        <v>457</v>
      </c>
      <c r="E1051" s="125" t="s">
        <v>189</v>
      </c>
      <c r="F1051" s="126">
        <v>40803.0</v>
      </c>
      <c r="G1051" s="127">
        <v>3.44E8</v>
      </c>
      <c r="H1051" s="126">
        <v>40839.0</v>
      </c>
      <c r="I1051" s="128">
        <v>457.0</v>
      </c>
      <c r="J1051" s="128">
        <v>651.21</v>
      </c>
      <c r="K1051" s="128">
        <v>524.96</v>
      </c>
      <c r="L1051" s="128">
        <v>297603.0</v>
      </c>
      <c r="M1051" s="128">
        <v>239906.7</v>
      </c>
      <c r="N1051" s="128">
        <v>57696.25</v>
      </c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</row>
    <row r="1052">
      <c r="A1052" s="125" t="s">
        <v>475</v>
      </c>
      <c r="B1052" s="125" t="s">
        <v>532</v>
      </c>
      <c r="C1052" s="125" t="s">
        <v>456</v>
      </c>
      <c r="D1052" s="125" t="s">
        <v>454</v>
      </c>
      <c r="E1052" s="125" t="s">
        <v>189</v>
      </c>
      <c r="F1052" s="126">
        <v>42014.0</v>
      </c>
      <c r="G1052" s="127">
        <v>9.71E8</v>
      </c>
      <c r="H1052" s="126">
        <v>42019.0</v>
      </c>
      <c r="I1052" s="128">
        <v>9984.0</v>
      </c>
      <c r="J1052" s="128">
        <v>152.58</v>
      </c>
      <c r="K1052" s="128">
        <v>97.44</v>
      </c>
      <c r="L1052" s="128">
        <v>1523359.0</v>
      </c>
      <c r="M1052" s="128">
        <v>972841.0</v>
      </c>
      <c r="N1052" s="128">
        <v>550517.8</v>
      </c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</row>
    <row r="1053">
      <c r="A1053" s="125" t="s">
        <v>461</v>
      </c>
      <c r="B1053" s="125" t="s">
        <v>578</v>
      </c>
      <c r="C1053" s="125" t="s">
        <v>463</v>
      </c>
      <c r="D1053" s="125" t="s">
        <v>454</v>
      </c>
      <c r="E1053" s="125" t="s">
        <v>464</v>
      </c>
      <c r="F1053" s="126">
        <v>41610.0</v>
      </c>
      <c r="G1053" s="127">
        <v>7.14E8</v>
      </c>
      <c r="H1053" s="126">
        <v>41642.0</v>
      </c>
      <c r="I1053" s="128">
        <v>8902.0</v>
      </c>
      <c r="J1053" s="128">
        <v>205.7</v>
      </c>
      <c r="K1053" s="128">
        <v>117.11</v>
      </c>
      <c r="L1053" s="128">
        <v>1831141.0</v>
      </c>
      <c r="M1053" s="128">
        <v>1042513.0</v>
      </c>
      <c r="N1053" s="128">
        <v>788628.2</v>
      </c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</row>
    <row r="1054">
      <c r="A1054" s="125" t="s">
        <v>458</v>
      </c>
      <c r="B1054" s="125" t="s">
        <v>518</v>
      </c>
      <c r="C1054" s="125" t="s">
        <v>460</v>
      </c>
      <c r="D1054" s="125" t="s">
        <v>457</v>
      </c>
      <c r="E1054" s="125" t="s">
        <v>189</v>
      </c>
      <c r="F1054" s="126">
        <v>41769.0</v>
      </c>
      <c r="G1054" s="127">
        <v>5.95E8</v>
      </c>
      <c r="H1054" s="126">
        <v>41789.0</v>
      </c>
      <c r="I1054" s="128">
        <v>9559.0</v>
      </c>
      <c r="J1054" s="128">
        <v>47.45</v>
      </c>
      <c r="K1054" s="128">
        <v>31.79</v>
      </c>
      <c r="L1054" s="128">
        <v>453574.6</v>
      </c>
      <c r="M1054" s="128">
        <v>303880.6</v>
      </c>
      <c r="N1054" s="128">
        <v>149693.9</v>
      </c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</row>
    <row r="1055">
      <c r="A1055" s="125" t="s">
        <v>451</v>
      </c>
      <c r="B1055" s="125" t="s">
        <v>490</v>
      </c>
      <c r="C1055" s="125" t="s">
        <v>463</v>
      </c>
      <c r="D1055" s="125" t="s">
        <v>457</v>
      </c>
      <c r="E1055" s="125" t="s">
        <v>464</v>
      </c>
      <c r="F1055" s="126">
        <v>40910.0</v>
      </c>
      <c r="G1055" s="127">
        <v>8.1E8</v>
      </c>
      <c r="H1055" s="126">
        <v>40923.0</v>
      </c>
      <c r="I1055" s="128">
        <v>1335.0</v>
      </c>
      <c r="J1055" s="128">
        <v>205.7</v>
      </c>
      <c r="K1055" s="128">
        <v>117.11</v>
      </c>
      <c r="L1055" s="128">
        <v>274609.5</v>
      </c>
      <c r="M1055" s="128">
        <v>156341.9</v>
      </c>
      <c r="N1055" s="128">
        <v>118267.7</v>
      </c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</row>
    <row r="1056">
      <c r="A1056" s="125" t="s">
        <v>458</v>
      </c>
      <c r="B1056" s="125" t="s">
        <v>573</v>
      </c>
      <c r="C1056" s="125" t="s">
        <v>494</v>
      </c>
      <c r="D1056" s="125" t="s">
        <v>454</v>
      </c>
      <c r="E1056" s="125" t="s">
        <v>464</v>
      </c>
      <c r="F1056" s="126">
        <v>40606.0</v>
      </c>
      <c r="G1056" s="127">
        <v>2.72E8</v>
      </c>
      <c r="H1056" s="126">
        <v>40623.0</v>
      </c>
      <c r="I1056" s="128">
        <v>5641.0</v>
      </c>
      <c r="J1056" s="128">
        <v>9.33</v>
      </c>
      <c r="K1056" s="128">
        <v>6.92</v>
      </c>
      <c r="L1056" s="128">
        <v>52630.53</v>
      </c>
      <c r="M1056" s="128">
        <v>39035.72</v>
      </c>
      <c r="N1056" s="128">
        <v>13594.81</v>
      </c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</row>
    <row r="1057">
      <c r="A1057" s="125" t="s">
        <v>451</v>
      </c>
      <c r="B1057" s="125" t="s">
        <v>608</v>
      </c>
      <c r="C1057" s="125" t="s">
        <v>463</v>
      </c>
      <c r="D1057" s="125" t="s">
        <v>457</v>
      </c>
      <c r="E1057" s="125" t="s">
        <v>464</v>
      </c>
      <c r="F1057" s="126">
        <v>41437.0</v>
      </c>
      <c r="G1057" s="127">
        <v>6.66E8</v>
      </c>
      <c r="H1057" s="126">
        <v>41463.0</v>
      </c>
      <c r="I1057" s="128">
        <v>920.0</v>
      </c>
      <c r="J1057" s="128">
        <v>205.7</v>
      </c>
      <c r="K1057" s="128">
        <v>117.11</v>
      </c>
      <c r="L1057" s="128">
        <v>189244.0</v>
      </c>
      <c r="M1057" s="128">
        <v>107741.2</v>
      </c>
      <c r="N1057" s="128">
        <v>81502.8</v>
      </c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</row>
    <row r="1058">
      <c r="A1058" s="125" t="s">
        <v>458</v>
      </c>
      <c r="B1058" s="125" t="s">
        <v>622</v>
      </c>
      <c r="C1058" s="125" t="s">
        <v>453</v>
      </c>
      <c r="D1058" s="125" t="s">
        <v>457</v>
      </c>
      <c r="E1058" s="125" t="s">
        <v>472</v>
      </c>
      <c r="F1058" s="126">
        <v>41605.0</v>
      </c>
      <c r="G1058" s="127">
        <v>5.96E8</v>
      </c>
      <c r="H1058" s="126">
        <v>41652.0</v>
      </c>
      <c r="I1058" s="128">
        <v>7644.0</v>
      </c>
      <c r="J1058" s="128">
        <v>255.28</v>
      </c>
      <c r="K1058" s="128">
        <v>159.42</v>
      </c>
      <c r="L1058" s="128">
        <v>1951360.0</v>
      </c>
      <c r="M1058" s="128">
        <v>1218606.0</v>
      </c>
      <c r="N1058" s="128">
        <v>732753.8</v>
      </c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</row>
    <row r="1059">
      <c r="A1059" s="125" t="s">
        <v>461</v>
      </c>
      <c r="B1059" s="125" t="s">
        <v>599</v>
      </c>
      <c r="C1059" s="125" t="s">
        <v>468</v>
      </c>
      <c r="D1059" s="125" t="s">
        <v>457</v>
      </c>
      <c r="E1059" s="125" t="s">
        <v>284</v>
      </c>
      <c r="F1059" s="126">
        <v>41083.0</v>
      </c>
      <c r="G1059" s="127">
        <v>5.38E8</v>
      </c>
      <c r="H1059" s="126">
        <v>41109.0</v>
      </c>
      <c r="I1059" s="128">
        <v>3320.0</v>
      </c>
      <c r="J1059" s="128">
        <v>81.73</v>
      </c>
      <c r="K1059" s="128">
        <v>56.67</v>
      </c>
      <c r="L1059" s="128">
        <v>271343.6</v>
      </c>
      <c r="M1059" s="128">
        <v>188144.4</v>
      </c>
      <c r="N1059" s="128">
        <v>83199.2</v>
      </c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</row>
    <row r="1060">
      <c r="A1060" s="125" t="s">
        <v>475</v>
      </c>
      <c r="B1060" s="125" t="s">
        <v>628</v>
      </c>
      <c r="C1060" s="125" t="s">
        <v>463</v>
      </c>
      <c r="D1060" s="125" t="s">
        <v>457</v>
      </c>
      <c r="E1060" s="125" t="s">
        <v>464</v>
      </c>
      <c r="F1060" s="126">
        <v>40237.0</v>
      </c>
      <c r="G1060" s="127">
        <v>5.86E8</v>
      </c>
      <c r="H1060" s="126">
        <v>40260.0</v>
      </c>
      <c r="I1060" s="128">
        <v>7482.0</v>
      </c>
      <c r="J1060" s="128">
        <v>205.7</v>
      </c>
      <c r="K1060" s="128">
        <v>117.11</v>
      </c>
      <c r="L1060" s="128">
        <v>1539047.0</v>
      </c>
      <c r="M1060" s="128">
        <v>876217.0</v>
      </c>
      <c r="N1060" s="128">
        <v>662830.4</v>
      </c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</row>
    <row r="1061">
      <c r="A1061" s="125" t="s">
        <v>458</v>
      </c>
      <c r="B1061" s="125" t="s">
        <v>529</v>
      </c>
      <c r="C1061" s="125" t="s">
        <v>460</v>
      </c>
      <c r="D1061" s="125" t="s">
        <v>457</v>
      </c>
      <c r="E1061" s="125" t="s">
        <v>284</v>
      </c>
      <c r="F1061" s="126">
        <v>41200.0</v>
      </c>
      <c r="G1061" s="127">
        <v>9.06E8</v>
      </c>
      <c r="H1061" s="126">
        <v>41234.0</v>
      </c>
      <c r="I1061" s="128">
        <v>6699.0</v>
      </c>
      <c r="J1061" s="128">
        <v>47.45</v>
      </c>
      <c r="K1061" s="128">
        <v>31.79</v>
      </c>
      <c r="L1061" s="128">
        <v>317867.6</v>
      </c>
      <c r="M1061" s="128">
        <v>212961.2</v>
      </c>
      <c r="N1061" s="128">
        <v>104906.3</v>
      </c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</row>
    <row r="1062">
      <c r="A1062" s="125" t="s">
        <v>458</v>
      </c>
      <c r="B1062" s="125" t="s">
        <v>622</v>
      </c>
      <c r="C1062" s="125" t="s">
        <v>480</v>
      </c>
      <c r="D1062" s="125" t="s">
        <v>457</v>
      </c>
      <c r="E1062" s="125" t="s">
        <v>189</v>
      </c>
      <c r="F1062" s="126">
        <v>40965.0</v>
      </c>
      <c r="G1062" s="127">
        <v>3.85E8</v>
      </c>
      <c r="H1062" s="126">
        <v>40986.0</v>
      </c>
      <c r="I1062" s="128">
        <v>9569.0</v>
      </c>
      <c r="J1062" s="128">
        <v>437.2</v>
      </c>
      <c r="K1062" s="128">
        <v>263.33</v>
      </c>
      <c r="L1062" s="128">
        <v>4183567.0</v>
      </c>
      <c r="M1062" s="128">
        <v>2519805.0</v>
      </c>
      <c r="N1062" s="128">
        <v>1663762.0</v>
      </c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</row>
    <row r="1063">
      <c r="A1063" s="125" t="s">
        <v>458</v>
      </c>
      <c r="B1063" s="125" t="s">
        <v>610</v>
      </c>
      <c r="C1063" s="125" t="s">
        <v>480</v>
      </c>
      <c r="D1063" s="125" t="s">
        <v>457</v>
      </c>
      <c r="E1063" s="125" t="s">
        <v>472</v>
      </c>
      <c r="F1063" s="126">
        <v>41063.0</v>
      </c>
      <c r="G1063" s="127">
        <v>6.79E8</v>
      </c>
      <c r="H1063" s="126">
        <v>41095.0</v>
      </c>
      <c r="I1063" s="128">
        <v>1723.0</v>
      </c>
      <c r="J1063" s="128">
        <v>437.2</v>
      </c>
      <c r="K1063" s="128">
        <v>263.33</v>
      </c>
      <c r="L1063" s="128">
        <v>753295.6</v>
      </c>
      <c r="M1063" s="128">
        <v>453717.6</v>
      </c>
      <c r="N1063" s="128">
        <v>299578.0</v>
      </c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</row>
    <row r="1064">
      <c r="A1064" s="125" t="s">
        <v>475</v>
      </c>
      <c r="B1064" s="125" t="s">
        <v>558</v>
      </c>
      <c r="C1064" s="125" t="s">
        <v>514</v>
      </c>
      <c r="D1064" s="125" t="s">
        <v>457</v>
      </c>
      <c r="E1064" s="125" t="s">
        <v>464</v>
      </c>
      <c r="F1064" s="126">
        <v>40646.0</v>
      </c>
      <c r="G1064" s="127">
        <v>3.64E8</v>
      </c>
      <c r="H1064" s="126">
        <v>40676.0</v>
      </c>
      <c r="I1064" s="128">
        <v>820.0</v>
      </c>
      <c r="J1064" s="128">
        <v>668.27</v>
      </c>
      <c r="K1064" s="128">
        <v>502.54</v>
      </c>
      <c r="L1064" s="128">
        <v>547981.4</v>
      </c>
      <c r="M1064" s="128">
        <v>412082.8</v>
      </c>
      <c r="N1064" s="128">
        <v>135898.6</v>
      </c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</row>
    <row r="1065">
      <c r="A1065" s="125" t="s">
        <v>461</v>
      </c>
      <c r="B1065" s="125" t="s">
        <v>618</v>
      </c>
      <c r="C1065" s="125" t="s">
        <v>453</v>
      </c>
      <c r="D1065" s="125" t="s">
        <v>454</v>
      </c>
      <c r="E1065" s="125" t="s">
        <v>472</v>
      </c>
      <c r="F1065" s="126">
        <v>40639.0</v>
      </c>
      <c r="G1065" s="127">
        <v>7.87E8</v>
      </c>
      <c r="H1065" s="126">
        <v>40654.0</v>
      </c>
      <c r="I1065" s="128">
        <v>1554.0</v>
      </c>
      <c r="J1065" s="128">
        <v>255.28</v>
      </c>
      <c r="K1065" s="128">
        <v>159.42</v>
      </c>
      <c r="L1065" s="128">
        <v>396705.1</v>
      </c>
      <c r="M1065" s="128">
        <v>247738.7</v>
      </c>
      <c r="N1065" s="128">
        <v>148966.4</v>
      </c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</row>
    <row r="1066">
      <c r="A1066" s="125" t="s">
        <v>475</v>
      </c>
      <c r="B1066" s="125" t="s">
        <v>572</v>
      </c>
      <c r="C1066" s="125" t="s">
        <v>471</v>
      </c>
      <c r="D1066" s="125" t="s">
        <v>454</v>
      </c>
      <c r="E1066" s="125" t="s">
        <v>472</v>
      </c>
      <c r="F1066" s="126">
        <v>42358.0</v>
      </c>
      <c r="G1066" s="127">
        <v>2.16E8</v>
      </c>
      <c r="H1066" s="126">
        <v>42358.0</v>
      </c>
      <c r="I1066" s="128">
        <v>647.0</v>
      </c>
      <c r="J1066" s="128">
        <v>109.28</v>
      </c>
      <c r="K1066" s="128">
        <v>35.84</v>
      </c>
      <c r="L1066" s="128">
        <v>70704.16</v>
      </c>
      <c r="M1066" s="128">
        <v>23188.48</v>
      </c>
      <c r="N1066" s="128">
        <v>47515.68</v>
      </c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</row>
    <row r="1067">
      <c r="A1067" s="125" t="s">
        <v>458</v>
      </c>
      <c r="B1067" s="125" t="s">
        <v>518</v>
      </c>
      <c r="C1067" s="125" t="s">
        <v>453</v>
      </c>
      <c r="D1067" s="125" t="s">
        <v>457</v>
      </c>
      <c r="E1067" s="125" t="s">
        <v>464</v>
      </c>
      <c r="F1067" s="126">
        <v>40589.0</v>
      </c>
      <c r="G1067" s="127">
        <v>5.88E8</v>
      </c>
      <c r="H1067" s="126">
        <v>40629.0</v>
      </c>
      <c r="I1067" s="128">
        <v>1856.0</v>
      </c>
      <c r="J1067" s="128">
        <v>255.28</v>
      </c>
      <c r="K1067" s="128">
        <v>159.42</v>
      </c>
      <c r="L1067" s="128">
        <v>473799.7</v>
      </c>
      <c r="M1067" s="128">
        <v>295883.5</v>
      </c>
      <c r="N1067" s="128">
        <v>177916.2</v>
      </c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</row>
    <row r="1068">
      <c r="A1068" s="125" t="s">
        <v>466</v>
      </c>
      <c r="B1068" s="125" t="s">
        <v>502</v>
      </c>
      <c r="C1068" s="125" t="s">
        <v>494</v>
      </c>
      <c r="D1068" s="125" t="s">
        <v>454</v>
      </c>
      <c r="E1068" s="125" t="s">
        <v>464</v>
      </c>
      <c r="F1068" s="126">
        <v>41574.0</v>
      </c>
      <c r="G1068" s="127">
        <v>7.6E8</v>
      </c>
      <c r="H1068" s="126">
        <v>41621.0</v>
      </c>
      <c r="I1068" s="128">
        <v>966.0</v>
      </c>
      <c r="J1068" s="128">
        <v>9.33</v>
      </c>
      <c r="K1068" s="128">
        <v>6.92</v>
      </c>
      <c r="L1068" s="128">
        <v>9012.78</v>
      </c>
      <c r="M1068" s="128">
        <v>6684.72</v>
      </c>
      <c r="N1068" s="128">
        <v>2328.06</v>
      </c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</row>
    <row r="1069">
      <c r="A1069" s="125" t="s">
        <v>461</v>
      </c>
      <c r="B1069" s="125" t="s">
        <v>644</v>
      </c>
      <c r="C1069" s="125" t="s">
        <v>478</v>
      </c>
      <c r="D1069" s="125" t="s">
        <v>457</v>
      </c>
      <c r="E1069" s="125" t="s">
        <v>189</v>
      </c>
      <c r="F1069" s="126">
        <v>42262.0</v>
      </c>
      <c r="G1069" s="127">
        <v>5.62E8</v>
      </c>
      <c r="H1069" s="126">
        <v>42288.0</v>
      </c>
      <c r="I1069" s="128">
        <v>795.0</v>
      </c>
      <c r="J1069" s="128">
        <v>651.21</v>
      </c>
      <c r="K1069" s="128">
        <v>524.96</v>
      </c>
      <c r="L1069" s="128">
        <v>517712.0</v>
      </c>
      <c r="M1069" s="128">
        <v>417343.2</v>
      </c>
      <c r="N1069" s="128">
        <v>100368.8</v>
      </c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</row>
    <row r="1070">
      <c r="A1070" s="125" t="s">
        <v>458</v>
      </c>
      <c r="B1070" s="125" t="s">
        <v>653</v>
      </c>
      <c r="C1070" s="125" t="s">
        <v>456</v>
      </c>
      <c r="D1070" s="125" t="s">
        <v>457</v>
      </c>
      <c r="E1070" s="125" t="s">
        <v>464</v>
      </c>
      <c r="F1070" s="126">
        <v>42757.0</v>
      </c>
      <c r="G1070" s="127">
        <v>3.41E8</v>
      </c>
      <c r="H1070" s="126">
        <v>42801.0</v>
      </c>
      <c r="I1070" s="128">
        <v>6191.0</v>
      </c>
      <c r="J1070" s="128">
        <v>152.58</v>
      </c>
      <c r="K1070" s="128">
        <v>97.44</v>
      </c>
      <c r="L1070" s="128">
        <v>944622.8</v>
      </c>
      <c r="M1070" s="128">
        <v>603251.0</v>
      </c>
      <c r="N1070" s="128">
        <v>341371.7</v>
      </c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</row>
    <row r="1071">
      <c r="A1071" s="125" t="s">
        <v>458</v>
      </c>
      <c r="B1071" s="125" t="s">
        <v>614</v>
      </c>
      <c r="C1071" s="125" t="s">
        <v>494</v>
      </c>
      <c r="D1071" s="125" t="s">
        <v>457</v>
      </c>
      <c r="E1071" s="125" t="s">
        <v>472</v>
      </c>
      <c r="F1071" s="126">
        <v>42169.0</v>
      </c>
      <c r="G1071" s="127">
        <v>5.17E8</v>
      </c>
      <c r="H1071" s="126">
        <v>42175.0</v>
      </c>
      <c r="I1071" s="128">
        <v>9034.0</v>
      </c>
      <c r="J1071" s="128">
        <v>9.33</v>
      </c>
      <c r="K1071" s="128">
        <v>6.92</v>
      </c>
      <c r="L1071" s="128">
        <v>84287.22</v>
      </c>
      <c r="M1071" s="128">
        <v>62515.28</v>
      </c>
      <c r="N1071" s="128">
        <v>21771.94</v>
      </c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</row>
    <row r="1072">
      <c r="A1072" s="125" t="s">
        <v>469</v>
      </c>
      <c r="B1072" s="125" t="s">
        <v>634</v>
      </c>
      <c r="C1072" s="125" t="s">
        <v>460</v>
      </c>
      <c r="D1072" s="125" t="s">
        <v>457</v>
      </c>
      <c r="E1072" s="125" t="s">
        <v>284</v>
      </c>
      <c r="F1072" s="126">
        <v>42762.0</v>
      </c>
      <c r="G1072" s="127">
        <v>2.28E8</v>
      </c>
      <c r="H1072" s="126">
        <v>42793.0</v>
      </c>
      <c r="I1072" s="128">
        <v>3235.0</v>
      </c>
      <c r="J1072" s="128">
        <v>47.45</v>
      </c>
      <c r="K1072" s="128">
        <v>31.79</v>
      </c>
      <c r="L1072" s="128">
        <v>153500.8</v>
      </c>
      <c r="M1072" s="128">
        <v>102840.7</v>
      </c>
      <c r="N1072" s="128">
        <v>50660.1</v>
      </c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</row>
    <row r="1073">
      <c r="A1073" s="125" t="s">
        <v>458</v>
      </c>
      <c r="B1073" s="125" t="s">
        <v>554</v>
      </c>
      <c r="C1073" s="125" t="s">
        <v>478</v>
      </c>
      <c r="D1073" s="125" t="s">
        <v>454</v>
      </c>
      <c r="E1073" s="125" t="s">
        <v>472</v>
      </c>
      <c r="F1073" s="126">
        <v>40277.0</v>
      </c>
      <c r="G1073" s="127">
        <v>4.84E8</v>
      </c>
      <c r="H1073" s="126">
        <v>40302.0</v>
      </c>
      <c r="I1073" s="128">
        <v>9736.0</v>
      </c>
      <c r="J1073" s="128">
        <v>651.21</v>
      </c>
      <c r="K1073" s="128">
        <v>524.96</v>
      </c>
      <c r="L1073" s="128">
        <v>6340181.0</v>
      </c>
      <c r="M1073" s="128">
        <v>5111011.0</v>
      </c>
      <c r="N1073" s="128">
        <v>1229170.0</v>
      </c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</row>
    <row r="1074">
      <c r="A1074" s="125" t="s">
        <v>466</v>
      </c>
      <c r="B1074" s="125" t="s">
        <v>534</v>
      </c>
      <c r="C1074" s="125" t="s">
        <v>471</v>
      </c>
      <c r="D1074" s="125" t="s">
        <v>457</v>
      </c>
      <c r="E1074" s="125" t="s">
        <v>189</v>
      </c>
      <c r="F1074" s="126">
        <v>41904.0</v>
      </c>
      <c r="G1074" s="127">
        <v>1.15E8</v>
      </c>
      <c r="H1074" s="126">
        <v>41912.0</v>
      </c>
      <c r="I1074" s="128">
        <v>1512.0</v>
      </c>
      <c r="J1074" s="128">
        <v>109.28</v>
      </c>
      <c r="K1074" s="128">
        <v>35.84</v>
      </c>
      <c r="L1074" s="128">
        <v>165231.4</v>
      </c>
      <c r="M1074" s="128">
        <v>54190.08</v>
      </c>
      <c r="N1074" s="128">
        <v>111041.3</v>
      </c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</row>
    <row r="1075">
      <c r="A1075" s="125" t="s">
        <v>451</v>
      </c>
      <c r="B1075" s="125" t="s">
        <v>546</v>
      </c>
      <c r="C1075" s="125" t="s">
        <v>494</v>
      </c>
      <c r="D1075" s="125" t="s">
        <v>457</v>
      </c>
      <c r="E1075" s="125" t="s">
        <v>472</v>
      </c>
      <c r="F1075" s="126">
        <v>42777.0</v>
      </c>
      <c r="G1075" s="127">
        <v>7.2E8</v>
      </c>
      <c r="H1075" s="126">
        <v>42817.0</v>
      </c>
      <c r="I1075" s="128">
        <v>8567.0</v>
      </c>
      <c r="J1075" s="128">
        <v>9.33</v>
      </c>
      <c r="K1075" s="128">
        <v>6.92</v>
      </c>
      <c r="L1075" s="128">
        <v>79930.11</v>
      </c>
      <c r="M1075" s="128">
        <v>59283.64</v>
      </c>
      <c r="N1075" s="128">
        <v>20646.47</v>
      </c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</row>
    <row r="1076">
      <c r="A1076" s="125" t="s">
        <v>466</v>
      </c>
      <c r="B1076" s="125" t="s">
        <v>479</v>
      </c>
      <c r="C1076" s="125" t="s">
        <v>463</v>
      </c>
      <c r="D1076" s="125" t="s">
        <v>454</v>
      </c>
      <c r="E1076" s="125" t="s">
        <v>472</v>
      </c>
      <c r="F1076" s="126">
        <v>41185.0</v>
      </c>
      <c r="G1076" s="127">
        <v>8.2E8</v>
      </c>
      <c r="H1076" s="126">
        <v>41226.0</v>
      </c>
      <c r="I1076" s="128">
        <v>2937.0</v>
      </c>
      <c r="J1076" s="128">
        <v>205.7</v>
      </c>
      <c r="K1076" s="128">
        <v>117.11</v>
      </c>
      <c r="L1076" s="128">
        <v>604140.9</v>
      </c>
      <c r="M1076" s="128">
        <v>343952.1</v>
      </c>
      <c r="N1076" s="128">
        <v>260188.8</v>
      </c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</row>
    <row r="1077">
      <c r="A1077" s="125" t="s">
        <v>461</v>
      </c>
      <c r="B1077" s="125" t="s">
        <v>556</v>
      </c>
      <c r="C1077" s="125" t="s">
        <v>480</v>
      </c>
      <c r="D1077" s="125" t="s">
        <v>457</v>
      </c>
      <c r="E1077" s="125" t="s">
        <v>284</v>
      </c>
      <c r="F1077" s="126">
        <v>42722.0</v>
      </c>
      <c r="G1077" s="127">
        <v>8.06E8</v>
      </c>
      <c r="H1077" s="126">
        <v>42742.0</v>
      </c>
      <c r="I1077" s="128">
        <v>3690.0</v>
      </c>
      <c r="J1077" s="128">
        <v>437.2</v>
      </c>
      <c r="K1077" s="128">
        <v>263.33</v>
      </c>
      <c r="L1077" s="128">
        <v>1613268.0</v>
      </c>
      <c r="M1077" s="128">
        <v>971687.7</v>
      </c>
      <c r="N1077" s="128">
        <v>641580.3</v>
      </c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</row>
    <row r="1078">
      <c r="A1078" s="125" t="s">
        <v>475</v>
      </c>
      <c r="B1078" s="125" t="s">
        <v>588</v>
      </c>
      <c r="C1078" s="125" t="s">
        <v>468</v>
      </c>
      <c r="D1078" s="125" t="s">
        <v>454</v>
      </c>
      <c r="E1078" s="125" t="s">
        <v>284</v>
      </c>
      <c r="F1078" s="126">
        <v>42304.0</v>
      </c>
      <c r="G1078" s="127">
        <v>6.89E8</v>
      </c>
      <c r="H1078" s="126">
        <v>42306.0</v>
      </c>
      <c r="I1078" s="128">
        <v>1924.0</v>
      </c>
      <c r="J1078" s="128">
        <v>81.73</v>
      </c>
      <c r="K1078" s="128">
        <v>56.67</v>
      </c>
      <c r="L1078" s="128">
        <v>157248.5</v>
      </c>
      <c r="M1078" s="128">
        <v>109033.1</v>
      </c>
      <c r="N1078" s="128">
        <v>48215.44</v>
      </c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</row>
    <row r="1079">
      <c r="A1079" s="125" t="s">
        <v>458</v>
      </c>
      <c r="B1079" s="125" t="s">
        <v>633</v>
      </c>
      <c r="C1079" s="125" t="s">
        <v>480</v>
      </c>
      <c r="D1079" s="125" t="s">
        <v>454</v>
      </c>
      <c r="E1079" s="125" t="s">
        <v>472</v>
      </c>
      <c r="F1079" s="126">
        <v>42154.0</v>
      </c>
      <c r="G1079" s="127">
        <v>5.49E8</v>
      </c>
      <c r="H1079" s="126">
        <v>42202.0</v>
      </c>
      <c r="I1079" s="128">
        <v>5769.0</v>
      </c>
      <c r="J1079" s="128">
        <v>437.2</v>
      </c>
      <c r="K1079" s="128">
        <v>263.33</v>
      </c>
      <c r="L1079" s="128">
        <v>2522207.0</v>
      </c>
      <c r="M1079" s="128">
        <v>1519151.0</v>
      </c>
      <c r="N1079" s="128">
        <v>1003056.0</v>
      </c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</row>
    <row r="1080">
      <c r="A1080" s="125" t="s">
        <v>458</v>
      </c>
      <c r="B1080" s="125" t="s">
        <v>613</v>
      </c>
      <c r="C1080" s="125" t="s">
        <v>471</v>
      </c>
      <c r="D1080" s="125" t="s">
        <v>454</v>
      </c>
      <c r="E1080" s="125" t="s">
        <v>189</v>
      </c>
      <c r="F1080" s="126">
        <v>42116.0</v>
      </c>
      <c r="G1080" s="127">
        <v>9.89E8</v>
      </c>
      <c r="H1080" s="126">
        <v>42149.0</v>
      </c>
      <c r="I1080" s="128">
        <v>5386.0</v>
      </c>
      <c r="J1080" s="128">
        <v>109.28</v>
      </c>
      <c r="K1080" s="128">
        <v>35.84</v>
      </c>
      <c r="L1080" s="128">
        <v>588582.1</v>
      </c>
      <c r="M1080" s="128">
        <v>193034.2</v>
      </c>
      <c r="N1080" s="128">
        <v>395547.8</v>
      </c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</row>
    <row r="1081">
      <c r="A1081" s="125" t="s">
        <v>469</v>
      </c>
      <c r="B1081" s="125" t="s">
        <v>470</v>
      </c>
      <c r="C1081" s="125" t="s">
        <v>453</v>
      </c>
      <c r="D1081" s="125" t="s">
        <v>454</v>
      </c>
      <c r="E1081" s="125" t="s">
        <v>284</v>
      </c>
      <c r="F1081" s="126">
        <v>41040.0</v>
      </c>
      <c r="G1081" s="127">
        <v>8.81E8</v>
      </c>
      <c r="H1081" s="126">
        <v>41058.0</v>
      </c>
      <c r="I1081" s="128">
        <v>7968.0</v>
      </c>
      <c r="J1081" s="128">
        <v>255.28</v>
      </c>
      <c r="K1081" s="128">
        <v>159.42</v>
      </c>
      <c r="L1081" s="128">
        <v>2034071.0</v>
      </c>
      <c r="M1081" s="128">
        <v>1270259.0</v>
      </c>
      <c r="N1081" s="128">
        <v>763812.5</v>
      </c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</row>
    <row r="1082">
      <c r="A1082" s="125" t="s">
        <v>458</v>
      </c>
      <c r="B1082" s="125" t="s">
        <v>590</v>
      </c>
      <c r="C1082" s="125" t="s">
        <v>514</v>
      </c>
      <c r="D1082" s="125" t="s">
        <v>454</v>
      </c>
      <c r="E1082" s="125" t="s">
        <v>472</v>
      </c>
      <c r="F1082" s="126">
        <v>40933.0</v>
      </c>
      <c r="G1082" s="127">
        <v>5.17E8</v>
      </c>
      <c r="H1082" s="126">
        <v>40965.0</v>
      </c>
      <c r="I1082" s="128">
        <v>2738.0</v>
      </c>
      <c r="J1082" s="128">
        <v>668.27</v>
      </c>
      <c r="K1082" s="128">
        <v>502.54</v>
      </c>
      <c r="L1082" s="128">
        <v>1829723.0</v>
      </c>
      <c r="M1082" s="128">
        <v>1375955.0</v>
      </c>
      <c r="N1082" s="128">
        <v>453768.7</v>
      </c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</row>
    <row r="1083">
      <c r="A1083" s="125" t="s">
        <v>488</v>
      </c>
      <c r="B1083" s="125" t="s">
        <v>577</v>
      </c>
      <c r="C1083" s="125" t="s">
        <v>494</v>
      </c>
      <c r="D1083" s="125" t="s">
        <v>454</v>
      </c>
      <c r="E1083" s="125" t="s">
        <v>189</v>
      </c>
      <c r="F1083" s="126">
        <v>42806.0</v>
      </c>
      <c r="G1083" s="127">
        <v>2.58E8</v>
      </c>
      <c r="H1083" s="126">
        <v>42845.0</v>
      </c>
      <c r="I1083" s="128">
        <v>5951.0</v>
      </c>
      <c r="J1083" s="128">
        <v>9.33</v>
      </c>
      <c r="K1083" s="128">
        <v>6.92</v>
      </c>
      <c r="L1083" s="128">
        <v>55522.83</v>
      </c>
      <c r="M1083" s="128">
        <v>41180.92</v>
      </c>
      <c r="N1083" s="128">
        <v>14341.91</v>
      </c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</row>
    <row r="1084">
      <c r="A1084" s="125" t="s">
        <v>469</v>
      </c>
      <c r="B1084" s="125" t="s">
        <v>520</v>
      </c>
      <c r="C1084" s="125" t="s">
        <v>494</v>
      </c>
      <c r="D1084" s="125" t="s">
        <v>457</v>
      </c>
      <c r="E1084" s="125" t="s">
        <v>284</v>
      </c>
      <c r="F1084" s="126">
        <v>42528.0</v>
      </c>
      <c r="G1084" s="127">
        <v>9.89E8</v>
      </c>
      <c r="H1084" s="126">
        <v>42543.0</v>
      </c>
      <c r="I1084" s="128">
        <v>5894.0</v>
      </c>
      <c r="J1084" s="128">
        <v>9.33</v>
      </c>
      <c r="K1084" s="128">
        <v>6.92</v>
      </c>
      <c r="L1084" s="128">
        <v>54991.02</v>
      </c>
      <c r="M1084" s="128">
        <v>40786.48</v>
      </c>
      <c r="N1084" s="128">
        <v>14204.54</v>
      </c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</row>
    <row r="1085">
      <c r="A1085" s="125" t="s">
        <v>475</v>
      </c>
      <c r="B1085" s="125" t="s">
        <v>601</v>
      </c>
      <c r="C1085" s="125" t="s">
        <v>480</v>
      </c>
      <c r="D1085" s="125" t="s">
        <v>457</v>
      </c>
      <c r="E1085" s="125" t="s">
        <v>189</v>
      </c>
      <c r="F1085" s="126">
        <v>40505.0</v>
      </c>
      <c r="G1085" s="127">
        <v>9.63E8</v>
      </c>
      <c r="H1085" s="126">
        <v>40533.0</v>
      </c>
      <c r="I1085" s="128">
        <v>7883.0</v>
      </c>
      <c r="J1085" s="128">
        <v>437.2</v>
      </c>
      <c r="K1085" s="128">
        <v>263.33</v>
      </c>
      <c r="L1085" s="128">
        <v>3446448.0</v>
      </c>
      <c r="M1085" s="128">
        <v>2075830.0</v>
      </c>
      <c r="N1085" s="128">
        <v>1370617.0</v>
      </c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</row>
    <row r="1086">
      <c r="A1086" s="125" t="s">
        <v>475</v>
      </c>
      <c r="B1086" s="125" t="s">
        <v>619</v>
      </c>
      <c r="C1086" s="125" t="s">
        <v>480</v>
      </c>
      <c r="D1086" s="125" t="s">
        <v>457</v>
      </c>
      <c r="E1086" s="125" t="s">
        <v>284</v>
      </c>
      <c r="F1086" s="126">
        <v>40298.0</v>
      </c>
      <c r="G1086" s="127">
        <v>7.52E8</v>
      </c>
      <c r="H1086" s="126">
        <v>40305.0</v>
      </c>
      <c r="I1086" s="128">
        <v>9268.0</v>
      </c>
      <c r="J1086" s="128">
        <v>437.2</v>
      </c>
      <c r="K1086" s="128">
        <v>263.33</v>
      </c>
      <c r="L1086" s="128">
        <v>4051970.0</v>
      </c>
      <c r="M1086" s="128">
        <v>2440542.0</v>
      </c>
      <c r="N1086" s="128">
        <v>1611427.0</v>
      </c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</row>
    <row r="1087">
      <c r="A1087" s="125" t="s">
        <v>461</v>
      </c>
      <c r="B1087" s="125" t="s">
        <v>522</v>
      </c>
      <c r="C1087" s="125" t="s">
        <v>514</v>
      </c>
      <c r="D1087" s="125" t="s">
        <v>454</v>
      </c>
      <c r="E1087" s="125" t="s">
        <v>472</v>
      </c>
      <c r="F1087" s="126">
        <v>41709.0</v>
      </c>
      <c r="G1087" s="127">
        <v>1.01E8</v>
      </c>
      <c r="H1087" s="126">
        <v>41729.0</v>
      </c>
      <c r="I1087" s="128">
        <v>4427.0</v>
      </c>
      <c r="J1087" s="128">
        <v>668.27</v>
      </c>
      <c r="K1087" s="128">
        <v>502.54</v>
      </c>
      <c r="L1087" s="128">
        <v>2958431.0</v>
      </c>
      <c r="M1087" s="128">
        <v>2224745.0</v>
      </c>
      <c r="N1087" s="128">
        <v>733686.7</v>
      </c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</row>
    <row r="1088">
      <c r="A1088" s="125" t="s">
        <v>458</v>
      </c>
      <c r="B1088" s="125" t="s">
        <v>642</v>
      </c>
      <c r="C1088" s="125" t="s">
        <v>471</v>
      </c>
      <c r="D1088" s="125" t="s">
        <v>457</v>
      </c>
      <c r="E1088" s="125" t="s">
        <v>189</v>
      </c>
      <c r="F1088" s="126">
        <v>42163.0</v>
      </c>
      <c r="G1088" s="127">
        <v>1.73E8</v>
      </c>
      <c r="H1088" s="126">
        <v>42210.0</v>
      </c>
      <c r="I1088" s="128">
        <v>9773.0</v>
      </c>
      <c r="J1088" s="128">
        <v>109.28</v>
      </c>
      <c r="K1088" s="128">
        <v>35.84</v>
      </c>
      <c r="L1088" s="128">
        <v>1067993.0</v>
      </c>
      <c r="M1088" s="128">
        <v>350264.3</v>
      </c>
      <c r="N1088" s="128">
        <v>717729.1</v>
      </c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</row>
    <row r="1089">
      <c r="A1089" s="125" t="s">
        <v>475</v>
      </c>
      <c r="B1089" s="125" t="s">
        <v>605</v>
      </c>
      <c r="C1089" s="125" t="s">
        <v>514</v>
      </c>
      <c r="D1089" s="125" t="s">
        <v>457</v>
      </c>
      <c r="E1089" s="125" t="s">
        <v>284</v>
      </c>
      <c r="F1089" s="126">
        <v>40856.0</v>
      </c>
      <c r="G1089" s="127">
        <v>4.04E8</v>
      </c>
      <c r="H1089" s="126">
        <v>40863.0</v>
      </c>
      <c r="I1089" s="128">
        <v>8748.0</v>
      </c>
      <c r="J1089" s="128">
        <v>668.27</v>
      </c>
      <c r="K1089" s="128">
        <v>502.54</v>
      </c>
      <c r="L1089" s="128">
        <v>5846026.0</v>
      </c>
      <c r="M1089" s="128">
        <v>4396220.0</v>
      </c>
      <c r="N1089" s="128">
        <v>1449806.0</v>
      </c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</row>
    <row r="1090">
      <c r="A1090" s="125" t="s">
        <v>475</v>
      </c>
      <c r="B1090" s="125" t="s">
        <v>623</v>
      </c>
      <c r="C1090" s="125" t="s">
        <v>494</v>
      </c>
      <c r="D1090" s="125" t="s">
        <v>454</v>
      </c>
      <c r="E1090" s="125" t="s">
        <v>189</v>
      </c>
      <c r="F1090" s="126">
        <v>42905.0</v>
      </c>
      <c r="G1090" s="127">
        <v>7.47E8</v>
      </c>
      <c r="H1090" s="126">
        <v>42940.0</v>
      </c>
      <c r="I1090" s="128">
        <v>6825.0</v>
      </c>
      <c r="J1090" s="128">
        <v>9.33</v>
      </c>
      <c r="K1090" s="128">
        <v>6.92</v>
      </c>
      <c r="L1090" s="128">
        <v>63677.25</v>
      </c>
      <c r="M1090" s="128">
        <v>47229.0</v>
      </c>
      <c r="N1090" s="128">
        <v>16448.25</v>
      </c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</row>
    <row r="1091">
      <c r="A1091" s="125" t="s">
        <v>475</v>
      </c>
      <c r="B1091" s="125" t="s">
        <v>507</v>
      </c>
      <c r="C1091" s="125" t="s">
        <v>514</v>
      </c>
      <c r="D1091" s="125" t="s">
        <v>454</v>
      </c>
      <c r="E1091" s="125" t="s">
        <v>472</v>
      </c>
      <c r="F1091" s="126">
        <v>41369.0</v>
      </c>
      <c r="G1091" s="127">
        <v>3.29E8</v>
      </c>
      <c r="H1091" s="126">
        <v>41418.0</v>
      </c>
      <c r="I1091" s="128">
        <v>6510.0</v>
      </c>
      <c r="J1091" s="128">
        <v>668.27</v>
      </c>
      <c r="K1091" s="128">
        <v>502.54</v>
      </c>
      <c r="L1091" s="128">
        <v>4350438.0</v>
      </c>
      <c r="M1091" s="128">
        <v>3271535.0</v>
      </c>
      <c r="N1091" s="128">
        <v>1078902.0</v>
      </c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</row>
    <row r="1092">
      <c r="A1092" s="125" t="s">
        <v>475</v>
      </c>
      <c r="B1092" s="125" t="s">
        <v>624</v>
      </c>
      <c r="C1092" s="125" t="s">
        <v>468</v>
      </c>
      <c r="D1092" s="125" t="s">
        <v>454</v>
      </c>
      <c r="E1092" s="125" t="s">
        <v>189</v>
      </c>
      <c r="F1092" s="126">
        <v>40762.0</v>
      </c>
      <c r="G1092" s="127">
        <v>5.94E8</v>
      </c>
      <c r="H1092" s="126">
        <v>40797.0</v>
      </c>
      <c r="I1092" s="128">
        <v>2337.0</v>
      </c>
      <c r="J1092" s="128">
        <v>81.73</v>
      </c>
      <c r="K1092" s="128">
        <v>56.67</v>
      </c>
      <c r="L1092" s="128">
        <v>191003.0</v>
      </c>
      <c r="M1092" s="128">
        <v>132437.8</v>
      </c>
      <c r="N1092" s="128">
        <v>58565.22</v>
      </c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</row>
    <row r="1093">
      <c r="A1093" s="125" t="s">
        <v>458</v>
      </c>
      <c r="B1093" s="125" t="s">
        <v>643</v>
      </c>
      <c r="C1093" s="125" t="s">
        <v>460</v>
      </c>
      <c r="D1093" s="125" t="s">
        <v>454</v>
      </c>
      <c r="E1093" s="125" t="s">
        <v>284</v>
      </c>
      <c r="F1093" s="126">
        <v>41834.0</v>
      </c>
      <c r="G1093" s="127">
        <v>3.57E8</v>
      </c>
      <c r="H1093" s="126">
        <v>41848.0</v>
      </c>
      <c r="I1093" s="128">
        <v>5875.0</v>
      </c>
      <c r="J1093" s="128">
        <v>47.45</v>
      </c>
      <c r="K1093" s="128">
        <v>31.79</v>
      </c>
      <c r="L1093" s="128">
        <v>278768.8</v>
      </c>
      <c r="M1093" s="128">
        <v>186766.3</v>
      </c>
      <c r="N1093" s="128">
        <v>92002.5</v>
      </c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</row>
    <row r="1094">
      <c r="A1094" s="125" t="s">
        <v>458</v>
      </c>
      <c r="B1094" s="125" t="s">
        <v>554</v>
      </c>
      <c r="C1094" s="125" t="s">
        <v>494</v>
      </c>
      <c r="D1094" s="125" t="s">
        <v>454</v>
      </c>
      <c r="E1094" s="125" t="s">
        <v>464</v>
      </c>
      <c r="F1094" s="126">
        <v>40196.0</v>
      </c>
      <c r="G1094" s="127">
        <v>7.56E8</v>
      </c>
      <c r="H1094" s="126">
        <v>40218.0</v>
      </c>
      <c r="I1094" s="128">
        <v>723.0</v>
      </c>
      <c r="J1094" s="128">
        <v>9.33</v>
      </c>
      <c r="K1094" s="128">
        <v>6.92</v>
      </c>
      <c r="L1094" s="128">
        <v>6745.59</v>
      </c>
      <c r="M1094" s="128">
        <v>5003.16</v>
      </c>
      <c r="N1094" s="128">
        <v>1742.43</v>
      </c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</row>
    <row r="1095">
      <c r="A1095" s="125" t="s">
        <v>488</v>
      </c>
      <c r="B1095" s="125" t="s">
        <v>577</v>
      </c>
      <c r="C1095" s="125" t="s">
        <v>478</v>
      </c>
      <c r="D1095" s="125" t="s">
        <v>454</v>
      </c>
      <c r="E1095" s="125" t="s">
        <v>189</v>
      </c>
      <c r="F1095" s="126">
        <v>41527.0</v>
      </c>
      <c r="G1095" s="127">
        <v>2.96E8</v>
      </c>
      <c r="H1095" s="126">
        <v>41561.0</v>
      </c>
      <c r="I1095" s="128">
        <v>7510.0</v>
      </c>
      <c r="J1095" s="128">
        <v>651.21</v>
      </c>
      <c r="K1095" s="128">
        <v>524.96</v>
      </c>
      <c r="L1095" s="128">
        <v>4890587.0</v>
      </c>
      <c r="M1095" s="128">
        <v>3942450.0</v>
      </c>
      <c r="N1095" s="128">
        <v>948137.5</v>
      </c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</row>
    <row r="1096">
      <c r="A1096" s="125" t="s">
        <v>475</v>
      </c>
      <c r="B1096" s="125" t="s">
        <v>604</v>
      </c>
      <c r="C1096" s="125" t="s">
        <v>456</v>
      </c>
      <c r="D1096" s="125" t="s">
        <v>454</v>
      </c>
      <c r="E1096" s="125" t="s">
        <v>189</v>
      </c>
      <c r="F1096" s="126">
        <v>40830.0</v>
      </c>
      <c r="G1096" s="127">
        <v>7.04E8</v>
      </c>
      <c r="H1096" s="126">
        <v>40867.0</v>
      </c>
      <c r="I1096" s="128">
        <v>8897.0</v>
      </c>
      <c r="J1096" s="128">
        <v>152.58</v>
      </c>
      <c r="K1096" s="128">
        <v>97.44</v>
      </c>
      <c r="L1096" s="128">
        <v>1357504.0</v>
      </c>
      <c r="M1096" s="128">
        <v>866923.7</v>
      </c>
      <c r="N1096" s="128">
        <v>490580.6</v>
      </c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</row>
    <row r="1097">
      <c r="A1097" s="125" t="s">
        <v>461</v>
      </c>
      <c r="B1097" s="125" t="s">
        <v>539</v>
      </c>
      <c r="C1097" s="125" t="s">
        <v>463</v>
      </c>
      <c r="D1097" s="125" t="s">
        <v>457</v>
      </c>
      <c r="E1097" s="125" t="s">
        <v>189</v>
      </c>
      <c r="F1097" s="126">
        <v>40415.0</v>
      </c>
      <c r="G1097" s="127">
        <v>1.77E8</v>
      </c>
      <c r="H1097" s="126">
        <v>40420.0</v>
      </c>
      <c r="I1097" s="128">
        <v>4577.0</v>
      </c>
      <c r="J1097" s="128">
        <v>205.7</v>
      </c>
      <c r="K1097" s="128">
        <v>117.11</v>
      </c>
      <c r="L1097" s="128">
        <v>941488.9</v>
      </c>
      <c r="M1097" s="128">
        <v>536012.5</v>
      </c>
      <c r="N1097" s="128">
        <v>405476.4</v>
      </c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</row>
    <row r="1098">
      <c r="A1098" s="125" t="s">
        <v>475</v>
      </c>
      <c r="B1098" s="125" t="s">
        <v>527</v>
      </c>
      <c r="C1098" s="125" t="s">
        <v>506</v>
      </c>
      <c r="D1098" s="125" t="s">
        <v>454</v>
      </c>
      <c r="E1098" s="125" t="s">
        <v>189</v>
      </c>
      <c r="F1098" s="126">
        <v>40211.0</v>
      </c>
      <c r="G1098" s="127">
        <v>1.32E8</v>
      </c>
      <c r="H1098" s="126">
        <v>40239.0</v>
      </c>
      <c r="I1098" s="128">
        <v>6274.0</v>
      </c>
      <c r="J1098" s="128">
        <v>154.06</v>
      </c>
      <c r="K1098" s="128">
        <v>90.93</v>
      </c>
      <c r="L1098" s="128">
        <v>966572.4</v>
      </c>
      <c r="M1098" s="128">
        <v>570494.8</v>
      </c>
      <c r="N1098" s="128">
        <v>396077.6</v>
      </c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</row>
    <row r="1099">
      <c r="A1099" s="125" t="s">
        <v>466</v>
      </c>
      <c r="B1099" s="125" t="s">
        <v>535</v>
      </c>
      <c r="C1099" s="125" t="s">
        <v>494</v>
      </c>
      <c r="D1099" s="125" t="s">
        <v>454</v>
      </c>
      <c r="E1099" s="125" t="s">
        <v>284</v>
      </c>
      <c r="F1099" s="126">
        <v>41923.0</v>
      </c>
      <c r="G1099" s="127">
        <v>2.56E8</v>
      </c>
      <c r="H1099" s="126">
        <v>41956.0</v>
      </c>
      <c r="I1099" s="128">
        <v>2742.0</v>
      </c>
      <c r="J1099" s="128">
        <v>9.33</v>
      </c>
      <c r="K1099" s="128">
        <v>6.92</v>
      </c>
      <c r="L1099" s="128">
        <v>25582.86</v>
      </c>
      <c r="M1099" s="128">
        <v>18974.64</v>
      </c>
      <c r="N1099" s="128">
        <v>6608.22</v>
      </c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</row>
    <row r="1100">
      <c r="A1100" s="125" t="s">
        <v>475</v>
      </c>
      <c r="B1100" s="125" t="s">
        <v>528</v>
      </c>
      <c r="C1100" s="125" t="s">
        <v>456</v>
      </c>
      <c r="D1100" s="125" t="s">
        <v>457</v>
      </c>
      <c r="E1100" s="125" t="s">
        <v>464</v>
      </c>
      <c r="F1100" s="126">
        <v>42110.0</v>
      </c>
      <c r="G1100" s="127">
        <v>7.58E8</v>
      </c>
      <c r="H1100" s="126">
        <v>42120.0</v>
      </c>
      <c r="I1100" s="128">
        <v>4767.0</v>
      </c>
      <c r="J1100" s="128">
        <v>152.58</v>
      </c>
      <c r="K1100" s="128">
        <v>97.44</v>
      </c>
      <c r="L1100" s="128">
        <v>727348.9</v>
      </c>
      <c r="M1100" s="128">
        <v>464496.5</v>
      </c>
      <c r="N1100" s="128">
        <v>262852.4</v>
      </c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</row>
    <row r="1101">
      <c r="A1101" s="125" t="s">
        <v>466</v>
      </c>
      <c r="B1101" s="125" t="s">
        <v>625</v>
      </c>
      <c r="C1101" s="125" t="s">
        <v>506</v>
      </c>
      <c r="D1101" s="125" t="s">
        <v>457</v>
      </c>
      <c r="E1101" s="125" t="s">
        <v>472</v>
      </c>
      <c r="F1101" s="126">
        <v>41870.0</v>
      </c>
      <c r="G1101" s="127">
        <v>1.15E8</v>
      </c>
      <c r="H1101" s="126">
        <v>41909.0</v>
      </c>
      <c r="I1101" s="128">
        <v>167.0</v>
      </c>
      <c r="J1101" s="128">
        <v>154.06</v>
      </c>
      <c r="K1101" s="128">
        <v>90.93</v>
      </c>
      <c r="L1101" s="128">
        <v>25728.02</v>
      </c>
      <c r="M1101" s="128">
        <v>15185.31</v>
      </c>
      <c r="N1101" s="128">
        <v>10542.71</v>
      </c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</row>
    <row r="1102">
      <c r="A1102" s="125" t="s">
        <v>458</v>
      </c>
      <c r="B1102" s="125" t="s">
        <v>560</v>
      </c>
      <c r="C1102" s="125" t="s">
        <v>471</v>
      </c>
      <c r="D1102" s="125" t="s">
        <v>457</v>
      </c>
      <c r="E1102" s="125" t="s">
        <v>472</v>
      </c>
      <c r="F1102" s="126">
        <v>42690.0</v>
      </c>
      <c r="G1102" s="127">
        <v>9.27E8</v>
      </c>
      <c r="H1102" s="126">
        <v>42699.0</v>
      </c>
      <c r="I1102" s="128">
        <v>8790.0</v>
      </c>
      <c r="J1102" s="128">
        <v>109.28</v>
      </c>
      <c r="K1102" s="128">
        <v>35.84</v>
      </c>
      <c r="L1102" s="128">
        <v>960571.2</v>
      </c>
      <c r="M1102" s="128">
        <v>315033.6</v>
      </c>
      <c r="N1102" s="128">
        <v>645537.6</v>
      </c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</row>
    <row r="1103">
      <c r="A1103" s="125" t="s">
        <v>469</v>
      </c>
      <c r="B1103" s="125" t="s">
        <v>520</v>
      </c>
      <c r="C1103" s="125" t="s">
        <v>494</v>
      </c>
      <c r="D1103" s="125" t="s">
        <v>454</v>
      </c>
      <c r="E1103" s="125" t="s">
        <v>472</v>
      </c>
      <c r="F1103" s="126">
        <v>42298.0</v>
      </c>
      <c r="G1103" s="127">
        <v>4.61E8</v>
      </c>
      <c r="H1103" s="126">
        <v>42301.0</v>
      </c>
      <c r="I1103" s="128">
        <v>7517.0</v>
      </c>
      <c r="J1103" s="128">
        <v>9.33</v>
      </c>
      <c r="K1103" s="128">
        <v>6.92</v>
      </c>
      <c r="L1103" s="128">
        <v>70133.61</v>
      </c>
      <c r="M1103" s="128">
        <v>52017.64</v>
      </c>
      <c r="N1103" s="128">
        <v>18115.97</v>
      </c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</row>
    <row r="1104">
      <c r="A1104" s="125" t="s">
        <v>458</v>
      </c>
      <c r="B1104" s="125" t="s">
        <v>631</v>
      </c>
      <c r="C1104" s="125" t="s">
        <v>514</v>
      </c>
      <c r="D1104" s="125" t="s">
        <v>454</v>
      </c>
      <c r="E1104" s="125" t="s">
        <v>189</v>
      </c>
      <c r="F1104" s="126">
        <v>41575.0</v>
      </c>
      <c r="G1104" s="127">
        <v>1.08E8</v>
      </c>
      <c r="H1104" s="126">
        <v>41589.0</v>
      </c>
      <c r="I1104" s="128">
        <v>5258.0</v>
      </c>
      <c r="J1104" s="128">
        <v>668.27</v>
      </c>
      <c r="K1104" s="128">
        <v>502.54</v>
      </c>
      <c r="L1104" s="128">
        <v>3513764.0</v>
      </c>
      <c r="M1104" s="128">
        <v>2642355.0</v>
      </c>
      <c r="N1104" s="128">
        <v>871408.3</v>
      </c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</row>
    <row r="1105">
      <c r="A1105" s="125" t="s">
        <v>458</v>
      </c>
      <c r="B1105" s="125" t="s">
        <v>626</v>
      </c>
      <c r="C1105" s="125" t="s">
        <v>460</v>
      </c>
      <c r="D1105" s="125" t="s">
        <v>454</v>
      </c>
      <c r="E1105" s="125" t="s">
        <v>472</v>
      </c>
      <c r="F1105" s="126">
        <v>40409.0</v>
      </c>
      <c r="G1105" s="127">
        <v>4.26E8</v>
      </c>
      <c r="H1105" s="126">
        <v>40432.0</v>
      </c>
      <c r="I1105" s="128">
        <v>7955.0</v>
      </c>
      <c r="J1105" s="128">
        <v>47.45</v>
      </c>
      <c r="K1105" s="128">
        <v>31.79</v>
      </c>
      <c r="L1105" s="128">
        <v>377464.8</v>
      </c>
      <c r="M1105" s="128">
        <v>252889.5</v>
      </c>
      <c r="N1105" s="128">
        <v>124575.3</v>
      </c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</row>
    <row r="1106">
      <c r="A1106" s="125" t="s">
        <v>451</v>
      </c>
      <c r="B1106" s="125" t="s">
        <v>497</v>
      </c>
      <c r="C1106" s="125" t="s">
        <v>514</v>
      </c>
      <c r="D1106" s="125" t="s">
        <v>457</v>
      </c>
      <c r="E1106" s="125" t="s">
        <v>284</v>
      </c>
      <c r="F1106" s="126">
        <v>41842.0</v>
      </c>
      <c r="G1106" s="127">
        <v>6.95E8</v>
      </c>
      <c r="H1106" s="126">
        <v>41867.0</v>
      </c>
      <c r="I1106" s="128">
        <v>3584.0</v>
      </c>
      <c r="J1106" s="128">
        <v>668.27</v>
      </c>
      <c r="K1106" s="128">
        <v>502.54</v>
      </c>
      <c r="L1106" s="128">
        <v>2395080.0</v>
      </c>
      <c r="M1106" s="128">
        <v>1801103.0</v>
      </c>
      <c r="N1106" s="128">
        <v>593976.3</v>
      </c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</row>
    <row r="1107">
      <c r="A1107" s="125" t="s">
        <v>458</v>
      </c>
      <c r="B1107" s="125" t="s">
        <v>493</v>
      </c>
      <c r="C1107" s="125" t="s">
        <v>471</v>
      </c>
      <c r="D1107" s="125" t="s">
        <v>457</v>
      </c>
      <c r="E1107" s="125" t="s">
        <v>464</v>
      </c>
      <c r="F1107" s="126">
        <v>42393.0</v>
      </c>
      <c r="G1107" s="127">
        <v>2.65E8</v>
      </c>
      <c r="H1107" s="126">
        <v>42396.0</v>
      </c>
      <c r="I1107" s="128">
        <v>7147.0</v>
      </c>
      <c r="J1107" s="128">
        <v>109.28</v>
      </c>
      <c r="K1107" s="128">
        <v>35.84</v>
      </c>
      <c r="L1107" s="128">
        <v>781024.2</v>
      </c>
      <c r="M1107" s="128">
        <v>256148.5</v>
      </c>
      <c r="N1107" s="128">
        <v>524875.7</v>
      </c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</row>
    <row r="1108">
      <c r="A1108" s="125" t="s">
        <v>488</v>
      </c>
      <c r="B1108" s="125" t="s">
        <v>645</v>
      </c>
      <c r="C1108" s="125" t="s">
        <v>514</v>
      </c>
      <c r="D1108" s="125" t="s">
        <v>454</v>
      </c>
      <c r="E1108" s="125" t="s">
        <v>189</v>
      </c>
      <c r="F1108" s="126">
        <v>41732.0</v>
      </c>
      <c r="G1108" s="127">
        <v>8.07E8</v>
      </c>
      <c r="H1108" s="126">
        <v>41737.0</v>
      </c>
      <c r="I1108" s="128">
        <v>5683.0</v>
      </c>
      <c r="J1108" s="128">
        <v>668.27</v>
      </c>
      <c r="K1108" s="128">
        <v>502.54</v>
      </c>
      <c r="L1108" s="128">
        <v>3797778.0</v>
      </c>
      <c r="M1108" s="128">
        <v>2855935.0</v>
      </c>
      <c r="N1108" s="128">
        <v>941843.6</v>
      </c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</row>
    <row r="1109">
      <c r="A1109" s="125" t="s">
        <v>451</v>
      </c>
      <c r="B1109" s="125" t="s">
        <v>608</v>
      </c>
      <c r="C1109" s="125" t="s">
        <v>463</v>
      </c>
      <c r="D1109" s="125" t="s">
        <v>457</v>
      </c>
      <c r="E1109" s="125" t="s">
        <v>284</v>
      </c>
      <c r="F1109" s="126">
        <v>41303.0</v>
      </c>
      <c r="G1109" s="127">
        <v>4.61E8</v>
      </c>
      <c r="H1109" s="126">
        <v>41318.0</v>
      </c>
      <c r="I1109" s="128">
        <v>3257.0</v>
      </c>
      <c r="J1109" s="128">
        <v>205.7</v>
      </c>
      <c r="K1109" s="128">
        <v>117.11</v>
      </c>
      <c r="L1109" s="128">
        <v>669964.9</v>
      </c>
      <c r="M1109" s="128">
        <v>381427.3</v>
      </c>
      <c r="N1109" s="128">
        <v>288537.6</v>
      </c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</row>
    <row r="1110">
      <c r="A1110" s="125" t="s">
        <v>475</v>
      </c>
      <c r="B1110" s="125" t="s">
        <v>605</v>
      </c>
      <c r="C1110" s="125" t="s">
        <v>506</v>
      </c>
      <c r="D1110" s="125" t="s">
        <v>454</v>
      </c>
      <c r="E1110" s="125" t="s">
        <v>472</v>
      </c>
      <c r="F1110" s="126">
        <v>42940.0</v>
      </c>
      <c r="G1110" s="127">
        <v>5.88E8</v>
      </c>
      <c r="H1110" s="126">
        <v>42972.0</v>
      </c>
      <c r="I1110" s="128">
        <v>5968.0</v>
      </c>
      <c r="J1110" s="128">
        <v>154.06</v>
      </c>
      <c r="K1110" s="128">
        <v>90.93</v>
      </c>
      <c r="L1110" s="128">
        <v>919430.1</v>
      </c>
      <c r="M1110" s="128">
        <v>542670.2</v>
      </c>
      <c r="N1110" s="128">
        <v>376759.8</v>
      </c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</row>
    <row r="1111">
      <c r="A1111" s="125" t="s">
        <v>475</v>
      </c>
      <c r="B1111" s="125" t="s">
        <v>507</v>
      </c>
      <c r="C1111" s="125" t="s">
        <v>460</v>
      </c>
      <c r="D1111" s="125" t="s">
        <v>457</v>
      </c>
      <c r="E1111" s="125" t="s">
        <v>464</v>
      </c>
      <c r="F1111" s="126">
        <v>41948.0</v>
      </c>
      <c r="G1111" s="127">
        <v>8.2E8</v>
      </c>
      <c r="H1111" s="126">
        <v>41989.0</v>
      </c>
      <c r="I1111" s="128">
        <v>6947.0</v>
      </c>
      <c r="J1111" s="128">
        <v>47.45</v>
      </c>
      <c r="K1111" s="128">
        <v>31.79</v>
      </c>
      <c r="L1111" s="128">
        <v>329635.2</v>
      </c>
      <c r="M1111" s="128">
        <v>220845.1</v>
      </c>
      <c r="N1111" s="128">
        <v>108790.0</v>
      </c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</row>
    <row r="1112">
      <c r="A1112" s="125" t="s">
        <v>469</v>
      </c>
      <c r="B1112" s="125" t="s">
        <v>617</v>
      </c>
      <c r="C1112" s="125" t="s">
        <v>453</v>
      </c>
      <c r="D1112" s="125" t="s">
        <v>454</v>
      </c>
      <c r="E1112" s="125" t="s">
        <v>464</v>
      </c>
      <c r="F1112" s="126">
        <v>42322.0</v>
      </c>
      <c r="G1112" s="127">
        <v>4.08E8</v>
      </c>
      <c r="H1112" s="126">
        <v>42365.0</v>
      </c>
      <c r="I1112" s="128">
        <v>1354.0</v>
      </c>
      <c r="J1112" s="128">
        <v>255.28</v>
      </c>
      <c r="K1112" s="128">
        <v>159.42</v>
      </c>
      <c r="L1112" s="128">
        <v>345649.1</v>
      </c>
      <c r="M1112" s="128">
        <v>215854.7</v>
      </c>
      <c r="N1112" s="128">
        <v>129794.4</v>
      </c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</row>
    <row r="1113">
      <c r="A1113" s="125" t="s">
        <v>488</v>
      </c>
      <c r="B1113" s="125" t="s">
        <v>577</v>
      </c>
      <c r="C1113" s="125" t="s">
        <v>453</v>
      </c>
      <c r="D1113" s="125" t="s">
        <v>457</v>
      </c>
      <c r="E1113" s="125" t="s">
        <v>472</v>
      </c>
      <c r="F1113" s="126">
        <v>41529.0</v>
      </c>
      <c r="G1113" s="127">
        <v>4.75E8</v>
      </c>
      <c r="H1113" s="126">
        <v>41553.0</v>
      </c>
      <c r="I1113" s="128">
        <v>1382.0</v>
      </c>
      <c r="J1113" s="128">
        <v>255.28</v>
      </c>
      <c r="K1113" s="128">
        <v>159.42</v>
      </c>
      <c r="L1113" s="128">
        <v>352797.0</v>
      </c>
      <c r="M1113" s="128">
        <v>220318.4</v>
      </c>
      <c r="N1113" s="128">
        <v>132478.5</v>
      </c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</row>
    <row r="1114">
      <c r="A1114" s="125" t="s">
        <v>458</v>
      </c>
      <c r="B1114" s="125" t="s">
        <v>626</v>
      </c>
      <c r="C1114" s="125" t="s">
        <v>460</v>
      </c>
      <c r="D1114" s="125" t="s">
        <v>457</v>
      </c>
      <c r="E1114" s="125" t="s">
        <v>464</v>
      </c>
      <c r="F1114" s="126">
        <v>40191.0</v>
      </c>
      <c r="G1114" s="127">
        <v>8.61E8</v>
      </c>
      <c r="H1114" s="126">
        <v>40229.0</v>
      </c>
      <c r="I1114" s="128">
        <v>1255.0</v>
      </c>
      <c r="J1114" s="128">
        <v>47.45</v>
      </c>
      <c r="K1114" s="128">
        <v>31.79</v>
      </c>
      <c r="L1114" s="128">
        <v>59549.75</v>
      </c>
      <c r="M1114" s="128">
        <v>39896.45</v>
      </c>
      <c r="N1114" s="128">
        <v>19653.3</v>
      </c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</row>
    <row r="1115">
      <c r="A1115" s="125" t="s">
        <v>458</v>
      </c>
      <c r="B1115" s="125" t="s">
        <v>643</v>
      </c>
      <c r="C1115" s="125" t="s">
        <v>460</v>
      </c>
      <c r="D1115" s="125" t="s">
        <v>457</v>
      </c>
      <c r="E1115" s="125" t="s">
        <v>189</v>
      </c>
      <c r="F1115" s="126">
        <v>40704.0</v>
      </c>
      <c r="G1115" s="127">
        <v>5.81E8</v>
      </c>
      <c r="H1115" s="126">
        <v>40727.0</v>
      </c>
      <c r="I1115" s="128">
        <v>2227.0</v>
      </c>
      <c r="J1115" s="128">
        <v>47.45</v>
      </c>
      <c r="K1115" s="128">
        <v>31.79</v>
      </c>
      <c r="L1115" s="128">
        <v>105671.2</v>
      </c>
      <c r="M1115" s="128">
        <v>70796.33</v>
      </c>
      <c r="N1115" s="128">
        <v>34874.82</v>
      </c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</row>
    <row r="1116">
      <c r="A1116" s="125" t="s">
        <v>469</v>
      </c>
      <c r="B1116" s="125" t="s">
        <v>569</v>
      </c>
      <c r="C1116" s="125" t="s">
        <v>460</v>
      </c>
      <c r="D1116" s="125" t="s">
        <v>457</v>
      </c>
      <c r="E1116" s="125" t="s">
        <v>189</v>
      </c>
      <c r="F1116" s="126">
        <v>40319.0</v>
      </c>
      <c r="G1116" s="127">
        <v>9.66E8</v>
      </c>
      <c r="H1116" s="126">
        <v>40352.0</v>
      </c>
      <c r="I1116" s="128">
        <v>7585.0</v>
      </c>
      <c r="J1116" s="128">
        <v>47.45</v>
      </c>
      <c r="K1116" s="128">
        <v>31.79</v>
      </c>
      <c r="L1116" s="128">
        <v>359908.3</v>
      </c>
      <c r="M1116" s="128">
        <v>241127.2</v>
      </c>
      <c r="N1116" s="128">
        <v>118781.1</v>
      </c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</row>
    <row r="1117">
      <c r="A1117" s="125" t="s">
        <v>451</v>
      </c>
      <c r="B1117" s="125" t="s">
        <v>543</v>
      </c>
      <c r="C1117" s="125" t="s">
        <v>460</v>
      </c>
      <c r="D1117" s="125" t="s">
        <v>457</v>
      </c>
      <c r="E1117" s="125" t="s">
        <v>284</v>
      </c>
      <c r="F1117" s="126">
        <v>40826.0</v>
      </c>
      <c r="G1117" s="127">
        <v>7.2E8</v>
      </c>
      <c r="H1117" s="126">
        <v>40833.0</v>
      </c>
      <c r="I1117" s="128">
        <v>7645.0</v>
      </c>
      <c r="J1117" s="128">
        <v>47.45</v>
      </c>
      <c r="K1117" s="128">
        <v>31.79</v>
      </c>
      <c r="L1117" s="128">
        <v>362755.3</v>
      </c>
      <c r="M1117" s="128">
        <v>243034.6</v>
      </c>
      <c r="N1117" s="128">
        <v>119720.7</v>
      </c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</row>
    <row r="1118">
      <c r="A1118" s="125" t="s">
        <v>451</v>
      </c>
      <c r="B1118" s="125" t="s">
        <v>455</v>
      </c>
      <c r="C1118" s="125" t="s">
        <v>514</v>
      </c>
      <c r="D1118" s="125" t="s">
        <v>454</v>
      </c>
      <c r="E1118" s="125" t="s">
        <v>464</v>
      </c>
      <c r="F1118" s="126">
        <v>41636.0</v>
      </c>
      <c r="G1118" s="127">
        <v>8.66E8</v>
      </c>
      <c r="H1118" s="126">
        <v>41637.0</v>
      </c>
      <c r="I1118" s="128">
        <v>4757.0</v>
      </c>
      <c r="J1118" s="128">
        <v>668.27</v>
      </c>
      <c r="K1118" s="128">
        <v>502.54</v>
      </c>
      <c r="L1118" s="128">
        <v>3178960.0</v>
      </c>
      <c r="M1118" s="128">
        <v>2390583.0</v>
      </c>
      <c r="N1118" s="128">
        <v>788377.6</v>
      </c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</row>
    <row r="1119">
      <c r="A1119" s="125" t="s">
        <v>475</v>
      </c>
      <c r="B1119" s="125" t="s">
        <v>579</v>
      </c>
      <c r="C1119" s="125" t="s">
        <v>463</v>
      </c>
      <c r="D1119" s="125" t="s">
        <v>457</v>
      </c>
      <c r="E1119" s="125" t="s">
        <v>189</v>
      </c>
      <c r="F1119" s="126">
        <v>41169.0</v>
      </c>
      <c r="G1119" s="127">
        <v>6.99E8</v>
      </c>
      <c r="H1119" s="126">
        <v>41177.0</v>
      </c>
      <c r="I1119" s="128">
        <v>8301.0</v>
      </c>
      <c r="J1119" s="128">
        <v>205.7</v>
      </c>
      <c r="K1119" s="128">
        <v>117.11</v>
      </c>
      <c r="L1119" s="128">
        <v>1707516.0</v>
      </c>
      <c r="M1119" s="128">
        <v>972130.1</v>
      </c>
      <c r="N1119" s="128">
        <v>735385.6</v>
      </c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</row>
    <row r="1120">
      <c r="A1120" s="125" t="s">
        <v>461</v>
      </c>
      <c r="B1120" s="125" t="s">
        <v>576</v>
      </c>
      <c r="C1120" s="125" t="s">
        <v>514</v>
      </c>
      <c r="D1120" s="125" t="s">
        <v>454</v>
      </c>
      <c r="E1120" s="125" t="s">
        <v>464</v>
      </c>
      <c r="F1120" s="126">
        <v>40997.0</v>
      </c>
      <c r="G1120" s="127">
        <v>9.32E8</v>
      </c>
      <c r="H1120" s="126">
        <v>41031.0</v>
      </c>
      <c r="I1120" s="128">
        <v>9687.0</v>
      </c>
      <c r="J1120" s="128">
        <v>668.27</v>
      </c>
      <c r="K1120" s="128">
        <v>502.54</v>
      </c>
      <c r="L1120" s="128">
        <v>6473531.0</v>
      </c>
      <c r="M1120" s="128">
        <v>4868105.0</v>
      </c>
      <c r="N1120" s="128">
        <v>1605427.0</v>
      </c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</row>
    <row r="1121">
      <c r="A1121" s="125" t="s">
        <v>461</v>
      </c>
      <c r="B1121" s="125" t="s">
        <v>621</v>
      </c>
      <c r="C1121" s="125" t="s">
        <v>463</v>
      </c>
      <c r="D1121" s="125" t="s">
        <v>457</v>
      </c>
      <c r="E1121" s="125" t="s">
        <v>472</v>
      </c>
      <c r="F1121" s="126">
        <v>41701.0</v>
      </c>
      <c r="G1121" s="127">
        <v>5.49E8</v>
      </c>
      <c r="H1121" s="126">
        <v>41723.0</v>
      </c>
      <c r="I1121" s="128">
        <v>7358.0</v>
      </c>
      <c r="J1121" s="128">
        <v>205.7</v>
      </c>
      <c r="K1121" s="128">
        <v>117.11</v>
      </c>
      <c r="L1121" s="128">
        <v>1513541.0</v>
      </c>
      <c r="M1121" s="128">
        <v>861695.4</v>
      </c>
      <c r="N1121" s="128">
        <v>651845.2</v>
      </c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</row>
    <row r="1122">
      <c r="A1122" s="125" t="s">
        <v>466</v>
      </c>
      <c r="B1122" s="125" t="s">
        <v>491</v>
      </c>
      <c r="C1122" s="125" t="s">
        <v>460</v>
      </c>
      <c r="D1122" s="125" t="s">
        <v>454</v>
      </c>
      <c r="E1122" s="125" t="s">
        <v>284</v>
      </c>
      <c r="F1122" s="126">
        <v>41482.0</v>
      </c>
      <c r="G1122" s="127">
        <v>8.56E8</v>
      </c>
      <c r="H1122" s="126">
        <v>41512.0</v>
      </c>
      <c r="I1122" s="128">
        <v>1788.0</v>
      </c>
      <c r="J1122" s="128">
        <v>47.45</v>
      </c>
      <c r="K1122" s="128">
        <v>31.79</v>
      </c>
      <c r="L1122" s="128">
        <v>84840.6</v>
      </c>
      <c r="M1122" s="128">
        <v>56840.52</v>
      </c>
      <c r="N1122" s="128">
        <v>28000.08</v>
      </c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</row>
    <row r="1123">
      <c r="A1123" s="125" t="s">
        <v>451</v>
      </c>
      <c r="B1123" s="125" t="s">
        <v>655</v>
      </c>
      <c r="C1123" s="125" t="s">
        <v>468</v>
      </c>
      <c r="D1123" s="125" t="s">
        <v>457</v>
      </c>
      <c r="E1123" s="125" t="s">
        <v>472</v>
      </c>
      <c r="F1123" s="126">
        <v>40315.0</v>
      </c>
      <c r="G1123" s="127">
        <v>5.28E8</v>
      </c>
      <c r="H1123" s="126">
        <v>40319.0</v>
      </c>
      <c r="I1123" s="128">
        <v>481.0</v>
      </c>
      <c r="J1123" s="128">
        <v>81.73</v>
      </c>
      <c r="K1123" s="128">
        <v>56.67</v>
      </c>
      <c r="L1123" s="128">
        <v>39312.13</v>
      </c>
      <c r="M1123" s="128">
        <v>27258.27</v>
      </c>
      <c r="N1123" s="128">
        <v>12053.86</v>
      </c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</row>
    <row r="1124">
      <c r="A1124" s="125" t="s">
        <v>458</v>
      </c>
      <c r="B1124" s="125" t="s">
        <v>541</v>
      </c>
      <c r="C1124" s="125" t="s">
        <v>506</v>
      </c>
      <c r="D1124" s="125" t="s">
        <v>457</v>
      </c>
      <c r="E1124" s="125" t="s">
        <v>189</v>
      </c>
      <c r="F1124" s="126">
        <v>41330.0</v>
      </c>
      <c r="G1124" s="127">
        <v>5.59E8</v>
      </c>
      <c r="H1124" s="126">
        <v>41333.0</v>
      </c>
      <c r="I1124" s="128">
        <v>2973.0</v>
      </c>
      <c r="J1124" s="128">
        <v>154.06</v>
      </c>
      <c r="K1124" s="128">
        <v>90.93</v>
      </c>
      <c r="L1124" s="128">
        <v>458020.4</v>
      </c>
      <c r="M1124" s="128">
        <v>270334.9</v>
      </c>
      <c r="N1124" s="128">
        <v>187685.5</v>
      </c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</row>
    <row r="1125">
      <c r="A1125" s="125" t="s">
        <v>451</v>
      </c>
      <c r="B1125" s="125" t="s">
        <v>497</v>
      </c>
      <c r="C1125" s="125" t="s">
        <v>514</v>
      </c>
      <c r="D1125" s="125" t="s">
        <v>454</v>
      </c>
      <c r="E1125" s="125" t="s">
        <v>284</v>
      </c>
      <c r="F1125" s="126">
        <v>41129.0</v>
      </c>
      <c r="G1125" s="127">
        <v>2.16E8</v>
      </c>
      <c r="H1125" s="126">
        <v>41155.0</v>
      </c>
      <c r="I1125" s="128">
        <v>5833.0</v>
      </c>
      <c r="J1125" s="128">
        <v>668.27</v>
      </c>
      <c r="K1125" s="128">
        <v>502.54</v>
      </c>
      <c r="L1125" s="128">
        <v>3898019.0</v>
      </c>
      <c r="M1125" s="128">
        <v>2931316.0</v>
      </c>
      <c r="N1125" s="128">
        <v>966703.1</v>
      </c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</row>
    <row r="1126">
      <c r="A1126" s="125" t="s">
        <v>458</v>
      </c>
      <c r="B1126" s="125" t="s">
        <v>551</v>
      </c>
      <c r="C1126" s="125" t="s">
        <v>514</v>
      </c>
      <c r="D1126" s="125" t="s">
        <v>454</v>
      </c>
      <c r="E1126" s="125" t="s">
        <v>284</v>
      </c>
      <c r="F1126" s="126">
        <v>42237.0</v>
      </c>
      <c r="G1126" s="127">
        <v>1.85E8</v>
      </c>
      <c r="H1126" s="126">
        <v>42268.0</v>
      </c>
      <c r="I1126" s="128">
        <v>7658.0</v>
      </c>
      <c r="J1126" s="128">
        <v>668.27</v>
      </c>
      <c r="K1126" s="128">
        <v>502.54</v>
      </c>
      <c r="L1126" s="128">
        <v>5117612.0</v>
      </c>
      <c r="M1126" s="128">
        <v>3848451.0</v>
      </c>
      <c r="N1126" s="128">
        <v>1269160.0</v>
      </c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</row>
    <row r="1127">
      <c r="A1127" s="125" t="s">
        <v>475</v>
      </c>
      <c r="B1127" s="125" t="s">
        <v>548</v>
      </c>
      <c r="C1127" s="125" t="s">
        <v>468</v>
      </c>
      <c r="D1127" s="125" t="s">
        <v>457</v>
      </c>
      <c r="E1127" s="125" t="s">
        <v>189</v>
      </c>
      <c r="F1127" s="126">
        <v>40651.0</v>
      </c>
      <c r="G1127" s="127">
        <v>3.21E8</v>
      </c>
      <c r="H1127" s="126">
        <v>40669.0</v>
      </c>
      <c r="I1127" s="128">
        <v>4079.0</v>
      </c>
      <c r="J1127" s="128">
        <v>81.73</v>
      </c>
      <c r="K1127" s="128">
        <v>56.67</v>
      </c>
      <c r="L1127" s="128">
        <v>333376.7</v>
      </c>
      <c r="M1127" s="128">
        <v>231156.9</v>
      </c>
      <c r="N1127" s="128">
        <v>102219.7</v>
      </c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</row>
    <row r="1128">
      <c r="A1128" s="125" t="s">
        <v>475</v>
      </c>
      <c r="B1128" s="125" t="s">
        <v>635</v>
      </c>
      <c r="C1128" s="125" t="s">
        <v>494</v>
      </c>
      <c r="D1128" s="125" t="s">
        <v>457</v>
      </c>
      <c r="E1128" s="125" t="s">
        <v>189</v>
      </c>
      <c r="F1128" s="126">
        <v>41058.0</v>
      </c>
      <c r="G1128" s="127">
        <v>1.02E8</v>
      </c>
      <c r="H1128" s="126">
        <v>41058.0</v>
      </c>
      <c r="I1128" s="128">
        <v>2756.0</v>
      </c>
      <c r="J1128" s="128">
        <v>9.33</v>
      </c>
      <c r="K1128" s="128">
        <v>6.92</v>
      </c>
      <c r="L1128" s="128">
        <v>25713.48</v>
      </c>
      <c r="M1128" s="128">
        <v>19071.52</v>
      </c>
      <c r="N1128" s="128">
        <v>6641.96</v>
      </c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</row>
    <row r="1129">
      <c r="A1129" s="125" t="s">
        <v>458</v>
      </c>
      <c r="B1129" s="125" t="s">
        <v>559</v>
      </c>
      <c r="C1129" s="125" t="s">
        <v>460</v>
      </c>
      <c r="D1129" s="125" t="s">
        <v>454</v>
      </c>
      <c r="E1129" s="125" t="s">
        <v>189</v>
      </c>
      <c r="F1129" s="126">
        <v>41616.0</v>
      </c>
      <c r="G1129" s="127">
        <v>8.74E8</v>
      </c>
      <c r="H1129" s="126">
        <v>41643.0</v>
      </c>
      <c r="I1129" s="128">
        <v>8383.0</v>
      </c>
      <c r="J1129" s="128">
        <v>47.45</v>
      </c>
      <c r="K1129" s="128">
        <v>31.79</v>
      </c>
      <c r="L1129" s="128">
        <v>397773.4</v>
      </c>
      <c r="M1129" s="128">
        <v>266495.6</v>
      </c>
      <c r="N1129" s="128">
        <v>131277.8</v>
      </c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</row>
    <row r="1130">
      <c r="A1130" s="125" t="s">
        <v>451</v>
      </c>
      <c r="B1130" s="125" t="s">
        <v>593</v>
      </c>
      <c r="C1130" s="125" t="s">
        <v>506</v>
      </c>
      <c r="D1130" s="125" t="s">
        <v>454</v>
      </c>
      <c r="E1130" s="125" t="s">
        <v>472</v>
      </c>
      <c r="F1130" s="126">
        <v>40874.0</v>
      </c>
      <c r="G1130" s="127">
        <v>9.05E8</v>
      </c>
      <c r="H1130" s="126">
        <v>40886.0</v>
      </c>
      <c r="I1130" s="128">
        <v>7681.0</v>
      </c>
      <c r="J1130" s="128">
        <v>154.06</v>
      </c>
      <c r="K1130" s="128">
        <v>90.93</v>
      </c>
      <c r="L1130" s="128">
        <v>1183335.0</v>
      </c>
      <c r="M1130" s="128">
        <v>698433.3</v>
      </c>
      <c r="N1130" s="128">
        <v>484901.5</v>
      </c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</row>
    <row r="1131">
      <c r="A1131" s="125" t="s">
        <v>466</v>
      </c>
      <c r="B1131" s="125" t="s">
        <v>474</v>
      </c>
      <c r="C1131" s="125" t="s">
        <v>506</v>
      </c>
      <c r="D1131" s="125" t="s">
        <v>457</v>
      </c>
      <c r="E1131" s="125" t="s">
        <v>472</v>
      </c>
      <c r="F1131" s="126">
        <v>41917.0</v>
      </c>
      <c r="G1131" s="127">
        <v>3.32E8</v>
      </c>
      <c r="H1131" s="126">
        <v>41925.0</v>
      </c>
      <c r="I1131" s="128">
        <v>4408.0</v>
      </c>
      <c r="J1131" s="128">
        <v>154.06</v>
      </c>
      <c r="K1131" s="128">
        <v>90.93</v>
      </c>
      <c r="L1131" s="128">
        <v>679096.5</v>
      </c>
      <c r="M1131" s="128">
        <v>400819.4</v>
      </c>
      <c r="N1131" s="128">
        <v>278277.0</v>
      </c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</row>
    <row r="1132">
      <c r="A1132" s="125" t="s">
        <v>458</v>
      </c>
      <c r="B1132" s="125" t="s">
        <v>626</v>
      </c>
      <c r="C1132" s="125" t="s">
        <v>514</v>
      </c>
      <c r="D1132" s="125" t="s">
        <v>454</v>
      </c>
      <c r="E1132" s="125" t="s">
        <v>472</v>
      </c>
      <c r="F1132" s="126">
        <v>42689.0</v>
      </c>
      <c r="G1132" s="127">
        <v>7.13E8</v>
      </c>
      <c r="H1132" s="126">
        <v>42720.0</v>
      </c>
      <c r="I1132" s="128">
        <v>4348.0</v>
      </c>
      <c r="J1132" s="128">
        <v>668.27</v>
      </c>
      <c r="K1132" s="128">
        <v>502.54</v>
      </c>
      <c r="L1132" s="128">
        <v>2905638.0</v>
      </c>
      <c r="M1132" s="128">
        <v>2185044.0</v>
      </c>
      <c r="N1132" s="128">
        <v>720594.0</v>
      </c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</row>
    <row r="1133">
      <c r="A1133" s="125" t="s">
        <v>475</v>
      </c>
      <c r="B1133" s="125" t="s">
        <v>635</v>
      </c>
      <c r="C1133" s="125" t="s">
        <v>453</v>
      </c>
      <c r="D1133" s="125" t="s">
        <v>457</v>
      </c>
      <c r="E1133" s="125" t="s">
        <v>189</v>
      </c>
      <c r="F1133" s="126">
        <v>42904.0</v>
      </c>
      <c r="G1133" s="127">
        <v>9.76E8</v>
      </c>
      <c r="H1133" s="126">
        <v>42938.0</v>
      </c>
      <c r="I1133" s="128">
        <v>319.0</v>
      </c>
      <c r="J1133" s="128">
        <v>255.28</v>
      </c>
      <c r="K1133" s="128">
        <v>159.42</v>
      </c>
      <c r="L1133" s="128">
        <v>81434.32</v>
      </c>
      <c r="M1133" s="128">
        <v>50854.98</v>
      </c>
      <c r="N1133" s="128">
        <v>30579.34</v>
      </c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</row>
    <row r="1134">
      <c r="A1134" s="125" t="s">
        <v>458</v>
      </c>
      <c r="B1134" s="125" t="s">
        <v>626</v>
      </c>
      <c r="C1134" s="125" t="s">
        <v>453</v>
      </c>
      <c r="D1134" s="125" t="s">
        <v>454</v>
      </c>
      <c r="E1134" s="125" t="s">
        <v>189</v>
      </c>
      <c r="F1134" s="126">
        <v>42667.0</v>
      </c>
      <c r="G1134" s="127">
        <v>5.7E8</v>
      </c>
      <c r="H1134" s="126">
        <v>42700.0</v>
      </c>
      <c r="I1134" s="128">
        <v>7170.0</v>
      </c>
      <c r="J1134" s="128">
        <v>255.28</v>
      </c>
      <c r="K1134" s="128">
        <v>159.42</v>
      </c>
      <c r="L1134" s="128">
        <v>1830358.0</v>
      </c>
      <c r="M1134" s="128">
        <v>1143041.0</v>
      </c>
      <c r="N1134" s="128">
        <v>687316.2</v>
      </c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</row>
    <row r="1135">
      <c r="A1135" s="125" t="s">
        <v>475</v>
      </c>
      <c r="B1135" s="125" t="s">
        <v>628</v>
      </c>
      <c r="C1135" s="125" t="s">
        <v>463</v>
      </c>
      <c r="D1135" s="125" t="s">
        <v>454</v>
      </c>
      <c r="E1135" s="125" t="s">
        <v>284</v>
      </c>
      <c r="F1135" s="126">
        <v>41087.0</v>
      </c>
      <c r="G1135" s="127">
        <v>8.13E8</v>
      </c>
      <c r="H1135" s="126">
        <v>41121.0</v>
      </c>
      <c r="I1135" s="128">
        <v>6781.0</v>
      </c>
      <c r="J1135" s="128">
        <v>205.7</v>
      </c>
      <c r="K1135" s="128">
        <v>117.11</v>
      </c>
      <c r="L1135" s="128">
        <v>1394852.0</v>
      </c>
      <c r="M1135" s="128">
        <v>794122.9</v>
      </c>
      <c r="N1135" s="128">
        <v>600728.8</v>
      </c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</row>
    <row r="1136">
      <c r="A1136" s="125" t="s">
        <v>458</v>
      </c>
      <c r="B1136" s="125" t="s">
        <v>555</v>
      </c>
      <c r="C1136" s="125" t="s">
        <v>514</v>
      </c>
      <c r="D1136" s="125" t="s">
        <v>454</v>
      </c>
      <c r="E1136" s="125" t="s">
        <v>472</v>
      </c>
      <c r="F1136" s="126">
        <v>40430.0</v>
      </c>
      <c r="G1136" s="127">
        <v>8.45E8</v>
      </c>
      <c r="H1136" s="126">
        <v>40434.0</v>
      </c>
      <c r="I1136" s="128">
        <v>3062.0</v>
      </c>
      <c r="J1136" s="128">
        <v>668.27</v>
      </c>
      <c r="K1136" s="128">
        <v>502.54</v>
      </c>
      <c r="L1136" s="128">
        <v>2046243.0</v>
      </c>
      <c r="M1136" s="128">
        <v>1538777.0</v>
      </c>
      <c r="N1136" s="128">
        <v>507465.3</v>
      </c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</row>
    <row r="1137">
      <c r="A1137" s="125" t="s">
        <v>458</v>
      </c>
      <c r="B1137" s="125" t="s">
        <v>459</v>
      </c>
      <c r="C1137" s="125" t="s">
        <v>494</v>
      </c>
      <c r="D1137" s="125" t="s">
        <v>457</v>
      </c>
      <c r="E1137" s="125" t="s">
        <v>189</v>
      </c>
      <c r="F1137" s="126">
        <v>41967.0</v>
      </c>
      <c r="G1137" s="127">
        <v>7.75E8</v>
      </c>
      <c r="H1137" s="126">
        <v>41970.0</v>
      </c>
      <c r="I1137" s="128">
        <v>6956.0</v>
      </c>
      <c r="J1137" s="128">
        <v>9.33</v>
      </c>
      <c r="K1137" s="128">
        <v>6.92</v>
      </c>
      <c r="L1137" s="128">
        <v>64899.48</v>
      </c>
      <c r="M1137" s="128">
        <v>48135.52</v>
      </c>
      <c r="N1137" s="128">
        <v>16763.96</v>
      </c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</row>
    <row r="1138">
      <c r="A1138" s="125" t="s">
        <v>475</v>
      </c>
      <c r="B1138" s="125" t="s">
        <v>500</v>
      </c>
      <c r="C1138" s="125" t="s">
        <v>460</v>
      </c>
      <c r="D1138" s="125" t="s">
        <v>454</v>
      </c>
      <c r="E1138" s="125" t="s">
        <v>464</v>
      </c>
      <c r="F1138" s="126">
        <v>41824.0</v>
      </c>
      <c r="G1138" s="127">
        <v>3.33E8</v>
      </c>
      <c r="H1138" s="126">
        <v>41873.0</v>
      </c>
      <c r="I1138" s="128">
        <v>1437.0</v>
      </c>
      <c r="J1138" s="128">
        <v>47.45</v>
      </c>
      <c r="K1138" s="128">
        <v>31.79</v>
      </c>
      <c r="L1138" s="128">
        <v>68185.65</v>
      </c>
      <c r="M1138" s="128">
        <v>45682.23</v>
      </c>
      <c r="N1138" s="128">
        <v>22503.42</v>
      </c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</row>
    <row r="1139">
      <c r="A1139" s="125" t="s">
        <v>458</v>
      </c>
      <c r="B1139" s="125" t="s">
        <v>583</v>
      </c>
      <c r="C1139" s="125" t="s">
        <v>453</v>
      </c>
      <c r="D1139" s="125" t="s">
        <v>454</v>
      </c>
      <c r="E1139" s="125" t="s">
        <v>472</v>
      </c>
      <c r="F1139" s="126">
        <v>40669.0</v>
      </c>
      <c r="G1139" s="127">
        <v>2.18E8</v>
      </c>
      <c r="H1139" s="126">
        <v>40719.0</v>
      </c>
      <c r="I1139" s="128">
        <v>6509.0</v>
      </c>
      <c r="J1139" s="128">
        <v>255.28</v>
      </c>
      <c r="K1139" s="128">
        <v>159.42</v>
      </c>
      <c r="L1139" s="128">
        <v>1661618.0</v>
      </c>
      <c r="M1139" s="128">
        <v>1037665.0</v>
      </c>
      <c r="N1139" s="128">
        <v>623952.7</v>
      </c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</row>
    <row r="1140">
      <c r="A1140" s="125" t="s">
        <v>451</v>
      </c>
      <c r="B1140" s="125" t="s">
        <v>609</v>
      </c>
      <c r="C1140" s="125" t="s">
        <v>468</v>
      </c>
      <c r="D1140" s="125" t="s">
        <v>457</v>
      </c>
      <c r="E1140" s="125" t="s">
        <v>472</v>
      </c>
      <c r="F1140" s="126">
        <v>42322.0</v>
      </c>
      <c r="G1140" s="127">
        <v>7.51E8</v>
      </c>
      <c r="H1140" s="126">
        <v>42350.0</v>
      </c>
      <c r="I1140" s="128">
        <v>4209.0</v>
      </c>
      <c r="J1140" s="128">
        <v>81.73</v>
      </c>
      <c r="K1140" s="128">
        <v>56.67</v>
      </c>
      <c r="L1140" s="128">
        <v>344001.6</v>
      </c>
      <c r="M1140" s="128">
        <v>238524.0</v>
      </c>
      <c r="N1140" s="128">
        <v>105477.5</v>
      </c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</row>
    <row r="1141">
      <c r="A1141" s="125" t="s">
        <v>458</v>
      </c>
      <c r="B1141" s="125" t="s">
        <v>590</v>
      </c>
      <c r="C1141" s="125" t="s">
        <v>471</v>
      </c>
      <c r="D1141" s="125" t="s">
        <v>454</v>
      </c>
      <c r="E1141" s="125" t="s">
        <v>284</v>
      </c>
      <c r="F1141" s="126">
        <v>41311.0</v>
      </c>
      <c r="G1141" s="127">
        <v>5.24E8</v>
      </c>
      <c r="H1141" s="126">
        <v>41355.0</v>
      </c>
      <c r="I1141" s="128">
        <v>3605.0</v>
      </c>
      <c r="J1141" s="128">
        <v>109.28</v>
      </c>
      <c r="K1141" s="128">
        <v>35.84</v>
      </c>
      <c r="L1141" s="128">
        <v>393954.4</v>
      </c>
      <c r="M1141" s="128">
        <v>129203.2</v>
      </c>
      <c r="N1141" s="128">
        <v>264751.2</v>
      </c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</row>
    <row r="1142">
      <c r="A1142" s="125" t="s">
        <v>458</v>
      </c>
      <c r="B1142" s="125" t="s">
        <v>538</v>
      </c>
      <c r="C1142" s="125" t="s">
        <v>506</v>
      </c>
      <c r="D1142" s="125" t="s">
        <v>454</v>
      </c>
      <c r="E1142" s="125" t="s">
        <v>284</v>
      </c>
      <c r="F1142" s="126">
        <v>40853.0</v>
      </c>
      <c r="G1142" s="127">
        <v>4.46E8</v>
      </c>
      <c r="H1142" s="126">
        <v>40872.0</v>
      </c>
      <c r="I1142" s="128">
        <v>5794.0</v>
      </c>
      <c r="J1142" s="128">
        <v>154.06</v>
      </c>
      <c r="K1142" s="128">
        <v>90.93</v>
      </c>
      <c r="L1142" s="128">
        <v>892623.6</v>
      </c>
      <c r="M1142" s="128">
        <v>526848.4</v>
      </c>
      <c r="N1142" s="128">
        <v>365775.2</v>
      </c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</row>
    <row r="1143">
      <c r="A1143" s="125" t="s">
        <v>461</v>
      </c>
      <c r="B1143" s="125" t="s">
        <v>465</v>
      </c>
      <c r="C1143" s="125" t="s">
        <v>478</v>
      </c>
      <c r="D1143" s="125" t="s">
        <v>457</v>
      </c>
      <c r="E1143" s="125" t="s">
        <v>472</v>
      </c>
      <c r="F1143" s="126">
        <v>40403.0</v>
      </c>
      <c r="G1143" s="127">
        <v>5.99E8</v>
      </c>
      <c r="H1143" s="126">
        <v>40419.0</v>
      </c>
      <c r="I1143" s="128">
        <v>8906.0</v>
      </c>
      <c r="J1143" s="128">
        <v>651.21</v>
      </c>
      <c r="K1143" s="128">
        <v>524.96</v>
      </c>
      <c r="L1143" s="128">
        <v>5799676.0</v>
      </c>
      <c r="M1143" s="128">
        <v>4675294.0</v>
      </c>
      <c r="N1143" s="128">
        <v>1124383.0</v>
      </c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</row>
    <row r="1144">
      <c r="A1144" s="125" t="s">
        <v>466</v>
      </c>
      <c r="B1144" s="125" t="s">
        <v>502</v>
      </c>
      <c r="C1144" s="125" t="s">
        <v>468</v>
      </c>
      <c r="D1144" s="125" t="s">
        <v>454</v>
      </c>
      <c r="E1144" s="125" t="s">
        <v>189</v>
      </c>
      <c r="F1144" s="126">
        <v>42571.0</v>
      </c>
      <c r="G1144" s="127">
        <v>6.85E8</v>
      </c>
      <c r="H1144" s="126">
        <v>42580.0</v>
      </c>
      <c r="I1144" s="128">
        <v>3104.0</v>
      </c>
      <c r="J1144" s="128">
        <v>81.73</v>
      </c>
      <c r="K1144" s="128">
        <v>56.67</v>
      </c>
      <c r="L1144" s="128">
        <v>253689.9</v>
      </c>
      <c r="M1144" s="128">
        <v>175903.7</v>
      </c>
      <c r="N1144" s="128">
        <v>77786.24</v>
      </c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</row>
    <row r="1145">
      <c r="A1145" s="125" t="s">
        <v>458</v>
      </c>
      <c r="B1145" s="125" t="s">
        <v>505</v>
      </c>
      <c r="C1145" s="125" t="s">
        <v>471</v>
      </c>
      <c r="D1145" s="125" t="s">
        <v>454</v>
      </c>
      <c r="E1145" s="125" t="s">
        <v>472</v>
      </c>
      <c r="F1145" s="126">
        <v>40677.0</v>
      </c>
      <c r="G1145" s="127">
        <v>4.76E8</v>
      </c>
      <c r="H1145" s="126">
        <v>40689.0</v>
      </c>
      <c r="I1145" s="128">
        <v>5578.0</v>
      </c>
      <c r="J1145" s="128">
        <v>109.28</v>
      </c>
      <c r="K1145" s="128">
        <v>35.84</v>
      </c>
      <c r="L1145" s="128">
        <v>609563.8</v>
      </c>
      <c r="M1145" s="128">
        <v>199915.5</v>
      </c>
      <c r="N1145" s="128">
        <v>409648.3</v>
      </c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</row>
    <row r="1146">
      <c r="A1146" s="125" t="s">
        <v>475</v>
      </c>
      <c r="B1146" s="125" t="s">
        <v>552</v>
      </c>
      <c r="C1146" s="125" t="s">
        <v>485</v>
      </c>
      <c r="D1146" s="125" t="s">
        <v>457</v>
      </c>
      <c r="E1146" s="125" t="s">
        <v>189</v>
      </c>
      <c r="F1146" s="126">
        <v>42259.0</v>
      </c>
      <c r="G1146" s="127">
        <v>2.64E8</v>
      </c>
      <c r="H1146" s="126">
        <v>42260.0</v>
      </c>
      <c r="I1146" s="128">
        <v>5553.0</v>
      </c>
      <c r="J1146" s="128">
        <v>421.89</v>
      </c>
      <c r="K1146" s="128">
        <v>364.69</v>
      </c>
      <c r="L1146" s="128">
        <v>2342755.0</v>
      </c>
      <c r="M1146" s="128">
        <v>2025124.0</v>
      </c>
      <c r="N1146" s="128">
        <v>317631.6</v>
      </c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</row>
    <row r="1147">
      <c r="A1147" s="125" t="s">
        <v>458</v>
      </c>
      <c r="B1147" s="125" t="s">
        <v>541</v>
      </c>
      <c r="C1147" s="125" t="s">
        <v>478</v>
      </c>
      <c r="D1147" s="125" t="s">
        <v>457</v>
      </c>
      <c r="E1147" s="125" t="s">
        <v>284</v>
      </c>
      <c r="F1147" s="126">
        <v>42795.0</v>
      </c>
      <c r="G1147" s="127">
        <v>4.11E8</v>
      </c>
      <c r="H1147" s="126">
        <v>42835.0</v>
      </c>
      <c r="I1147" s="128">
        <v>9284.0</v>
      </c>
      <c r="J1147" s="128">
        <v>651.21</v>
      </c>
      <c r="K1147" s="128">
        <v>524.96</v>
      </c>
      <c r="L1147" s="128">
        <v>6045834.0</v>
      </c>
      <c r="M1147" s="128">
        <v>4873729.0</v>
      </c>
      <c r="N1147" s="128">
        <v>1172105.0</v>
      </c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</row>
    <row r="1148">
      <c r="A1148" s="125" t="s">
        <v>475</v>
      </c>
      <c r="B1148" s="125" t="s">
        <v>566</v>
      </c>
      <c r="C1148" s="125" t="s">
        <v>460</v>
      </c>
      <c r="D1148" s="125" t="s">
        <v>457</v>
      </c>
      <c r="E1148" s="125" t="s">
        <v>189</v>
      </c>
      <c r="F1148" s="126">
        <v>40920.0</v>
      </c>
      <c r="G1148" s="127">
        <v>9.0E8</v>
      </c>
      <c r="H1148" s="126">
        <v>40926.0</v>
      </c>
      <c r="I1148" s="128">
        <v>5057.0</v>
      </c>
      <c r="J1148" s="128">
        <v>47.45</v>
      </c>
      <c r="K1148" s="128">
        <v>31.79</v>
      </c>
      <c r="L1148" s="128">
        <v>239954.7</v>
      </c>
      <c r="M1148" s="128">
        <v>160762.0</v>
      </c>
      <c r="N1148" s="128">
        <v>79192.62</v>
      </c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</row>
    <row r="1149">
      <c r="A1149" s="125" t="s">
        <v>475</v>
      </c>
      <c r="B1149" s="125" t="s">
        <v>476</v>
      </c>
      <c r="C1149" s="125" t="s">
        <v>468</v>
      </c>
      <c r="D1149" s="125" t="s">
        <v>454</v>
      </c>
      <c r="E1149" s="125" t="s">
        <v>472</v>
      </c>
      <c r="F1149" s="126">
        <v>42573.0</v>
      </c>
      <c r="G1149" s="127">
        <v>8.85E8</v>
      </c>
      <c r="H1149" s="126">
        <v>42591.0</v>
      </c>
      <c r="I1149" s="128">
        <v>8189.0</v>
      </c>
      <c r="J1149" s="128">
        <v>81.73</v>
      </c>
      <c r="K1149" s="128">
        <v>56.67</v>
      </c>
      <c r="L1149" s="128">
        <v>669287.0</v>
      </c>
      <c r="M1149" s="128">
        <v>464070.6</v>
      </c>
      <c r="N1149" s="128">
        <v>205216.3</v>
      </c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</row>
    <row r="1150">
      <c r="A1150" s="125" t="s">
        <v>458</v>
      </c>
      <c r="B1150" s="125" t="s">
        <v>622</v>
      </c>
      <c r="C1150" s="125" t="s">
        <v>468</v>
      </c>
      <c r="D1150" s="125" t="s">
        <v>457</v>
      </c>
      <c r="E1150" s="125" t="s">
        <v>284</v>
      </c>
      <c r="F1150" s="126">
        <v>40251.0</v>
      </c>
      <c r="G1150" s="127">
        <v>9.38E8</v>
      </c>
      <c r="H1150" s="126">
        <v>40253.0</v>
      </c>
      <c r="I1150" s="128">
        <v>6028.0</v>
      </c>
      <c r="J1150" s="128">
        <v>81.73</v>
      </c>
      <c r="K1150" s="128">
        <v>56.67</v>
      </c>
      <c r="L1150" s="128">
        <v>492668.4</v>
      </c>
      <c r="M1150" s="128">
        <v>341606.8</v>
      </c>
      <c r="N1150" s="128">
        <v>151061.7</v>
      </c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</row>
    <row r="1151">
      <c r="A1151" s="125" t="s">
        <v>475</v>
      </c>
      <c r="B1151" s="125" t="s">
        <v>572</v>
      </c>
      <c r="C1151" s="125" t="s">
        <v>494</v>
      </c>
      <c r="D1151" s="125" t="s">
        <v>454</v>
      </c>
      <c r="E1151" s="125" t="s">
        <v>189</v>
      </c>
      <c r="F1151" s="126">
        <v>42054.0</v>
      </c>
      <c r="G1151" s="127">
        <v>8.05E8</v>
      </c>
      <c r="H1151" s="126">
        <v>42083.0</v>
      </c>
      <c r="I1151" s="128">
        <v>2956.0</v>
      </c>
      <c r="J1151" s="128">
        <v>9.33</v>
      </c>
      <c r="K1151" s="128">
        <v>6.92</v>
      </c>
      <c r="L1151" s="128">
        <v>27579.48</v>
      </c>
      <c r="M1151" s="128">
        <v>20455.52</v>
      </c>
      <c r="N1151" s="128">
        <v>7123.96</v>
      </c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</row>
    <row r="1152">
      <c r="A1152" s="125" t="s">
        <v>458</v>
      </c>
      <c r="B1152" s="125" t="s">
        <v>538</v>
      </c>
      <c r="C1152" s="125" t="s">
        <v>471</v>
      </c>
      <c r="D1152" s="125" t="s">
        <v>457</v>
      </c>
      <c r="E1152" s="125" t="s">
        <v>472</v>
      </c>
      <c r="F1152" s="126">
        <v>42640.0</v>
      </c>
      <c r="G1152" s="127">
        <v>7.48E8</v>
      </c>
      <c r="H1152" s="126">
        <v>42668.0</v>
      </c>
      <c r="I1152" s="128">
        <v>5382.0</v>
      </c>
      <c r="J1152" s="128">
        <v>109.28</v>
      </c>
      <c r="K1152" s="128">
        <v>35.84</v>
      </c>
      <c r="L1152" s="128">
        <v>588145.0</v>
      </c>
      <c r="M1152" s="128">
        <v>192890.9</v>
      </c>
      <c r="N1152" s="128">
        <v>395254.1</v>
      </c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</row>
    <row r="1153">
      <c r="A1153" s="125" t="s">
        <v>475</v>
      </c>
      <c r="B1153" s="125" t="s">
        <v>585</v>
      </c>
      <c r="C1153" s="125" t="s">
        <v>506</v>
      </c>
      <c r="D1153" s="125" t="s">
        <v>457</v>
      </c>
      <c r="E1153" s="125" t="s">
        <v>284</v>
      </c>
      <c r="F1153" s="126">
        <v>41206.0</v>
      </c>
      <c r="G1153" s="127">
        <v>2.03E8</v>
      </c>
      <c r="H1153" s="126">
        <v>41223.0</v>
      </c>
      <c r="I1153" s="128">
        <v>6749.0</v>
      </c>
      <c r="J1153" s="128">
        <v>154.06</v>
      </c>
      <c r="K1153" s="128">
        <v>90.93</v>
      </c>
      <c r="L1153" s="128">
        <v>1039751.0</v>
      </c>
      <c r="M1153" s="128">
        <v>613686.6</v>
      </c>
      <c r="N1153" s="128">
        <v>426064.4</v>
      </c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</row>
    <row r="1154">
      <c r="A1154" s="125" t="s">
        <v>458</v>
      </c>
      <c r="B1154" s="125" t="s">
        <v>626</v>
      </c>
      <c r="C1154" s="125" t="s">
        <v>471</v>
      </c>
      <c r="D1154" s="125" t="s">
        <v>457</v>
      </c>
      <c r="E1154" s="125" t="s">
        <v>464</v>
      </c>
      <c r="F1154" s="126">
        <v>42869.0</v>
      </c>
      <c r="G1154" s="127">
        <v>9.23E8</v>
      </c>
      <c r="H1154" s="126">
        <v>42901.0</v>
      </c>
      <c r="I1154" s="128">
        <v>2531.0</v>
      </c>
      <c r="J1154" s="128">
        <v>109.28</v>
      </c>
      <c r="K1154" s="128">
        <v>35.84</v>
      </c>
      <c r="L1154" s="128">
        <v>276587.7</v>
      </c>
      <c r="M1154" s="128">
        <v>90711.04</v>
      </c>
      <c r="N1154" s="128">
        <v>185876.6</v>
      </c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</row>
    <row r="1155">
      <c r="A1155" s="125" t="s">
        <v>475</v>
      </c>
      <c r="B1155" s="125" t="s">
        <v>532</v>
      </c>
      <c r="C1155" s="125" t="s">
        <v>494</v>
      </c>
      <c r="D1155" s="125" t="s">
        <v>454</v>
      </c>
      <c r="E1155" s="125" t="s">
        <v>284</v>
      </c>
      <c r="F1155" s="126">
        <v>40688.0</v>
      </c>
      <c r="G1155" s="127">
        <v>2.35E8</v>
      </c>
      <c r="H1155" s="126">
        <v>40730.0</v>
      </c>
      <c r="I1155" s="128">
        <v>5233.0</v>
      </c>
      <c r="J1155" s="128">
        <v>9.33</v>
      </c>
      <c r="K1155" s="128">
        <v>6.92</v>
      </c>
      <c r="L1155" s="128">
        <v>48823.89</v>
      </c>
      <c r="M1155" s="128">
        <v>36212.36</v>
      </c>
      <c r="N1155" s="128">
        <v>12611.53</v>
      </c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</row>
    <row r="1156">
      <c r="A1156" s="125" t="s">
        <v>469</v>
      </c>
      <c r="B1156" s="125" t="s">
        <v>470</v>
      </c>
      <c r="C1156" s="125" t="s">
        <v>478</v>
      </c>
      <c r="D1156" s="125" t="s">
        <v>457</v>
      </c>
      <c r="E1156" s="125" t="s">
        <v>464</v>
      </c>
      <c r="F1156" s="126">
        <v>41941.0</v>
      </c>
      <c r="G1156" s="127">
        <v>4.83E8</v>
      </c>
      <c r="H1156" s="126">
        <v>41971.0</v>
      </c>
      <c r="I1156" s="128">
        <v>9391.0</v>
      </c>
      <c r="J1156" s="128">
        <v>651.21</v>
      </c>
      <c r="K1156" s="128">
        <v>524.96</v>
      </c>
      <c r="L1156" s="128">
        <v>6115513.0</v>
      </c>
      <c r="M1156" s="128">
        <v>4929899.0</v>
      </c>
      <c r="N1156" s="128">
        <v>1185614.0</v>
      </c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</row>
    <row r="1157">
      <c r="A1157" s="125" t="s">
        <v>461</v>
      </c>
      <c r="B1157" s="125" t="s">
        <v>586</v>
      </c>
      <c r="C1157" s="125" t="s">
        <v>494</v>
      </c>
      <c r="D1157" s="125" t="s">
        <v>454</v>
      </c>
      <c r="E1157" s="125" t="s">
        <v>464</v>
      </c>
      <c r="F1157" s="126">
        <v>41850.0</v>
      </c>
      <c r="G1157" s="127">
        <v>4.83E8</v>
      </c>
      <c r="H1157" s="126">
        <v>41869.0</v>
      </c>
      <c r="I1157" s="128">
        <v>6572.0</v>
      </c>
      <c r="J1157" s="128">
        <v>9.33</v>
      </c>
      <c r="K1157" s="128">
        <v>6.92</v>
      </c>
      <c r="L1157" s="128">
        <v>61316.76</v>
      </c>
      <c r="M1157" s="128">
        <v>45478.24</v>
      </c>
      <c r="N1157" s="128">
        <v>15838.52</v>
      </c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</row>
    <row r="1158">
      <c r="A1158" s="125" t="s">
        <v>461</v>
      </c>
      <c r="B1158" s="125" t="s">
        <v>510</v>
      </c>
      <c r="C1158" s="125" t="s">
        <v>506</v>
      </c>
      <c r="D1158" s="125" t="s">
        <v>454</v>
      </c>
      <c r="E1158" s="125" t="s">
        <v>284</v>
      </c>
      <c r="F1158" s="126">
        <v>41554.0</v>
      </c>
      <c r="G1158" s="127">
        <v>4.72E8</v>
      </c>
      <c r="H1158" s="126">
        <v>41601.0</v>
      </c>
      <c r="I1158" s="128">
        <v>374.0</v>
      </c>
      <c r="J1158" s="128">
        <v>154.06</v>
      </c>
      <c r="K1158" s="128">
        <v>90.93</v>
      </c>
      <c r="L1158" s="128">
        <v>57618.44</v>
      </c>
      <c r="M1158" s="128">
        <v>34007.82</v>
      </c>
      <c r="N1158" s="128">
        <v>23610.62</v>
      </c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</row>
    <row r="1159">
      <c r="A1159" s="125" t="s">
        <v>458</v>
      </c>
      <c r="B1159" s="125" t="s">
        <v>560</v>
      </c>
      <c r="C1159" s="125" t="s">
        <v>478</v>
      </c>
      <c r="D1159" s="125" t="s">
        <v>454</v>
      </c>
      <c r="E1159" s="125" t="s">
        <v>472</v>
      </c>
      <c r="F1159" s="126">
        <v>41202.0</v>
      </c>
      <c r="G1159" s="127">
        <v>7.54E8</v>
      </c>
      <c r="H1159" s="126">
        <v>41237.0</v>
      </c>
      <c r="I1159" s="128">
        <v>1429.0</v>
      </c>
      <c r="J1159" s="128">
        <v>651.21</v>
      </c>
      <c r="K1159" s="128">
        <v>524.96</v>
      </c>
      <c r="L1159" s="128">
        <v>930579.1</v>
      </c>
      <c r="M1159" s="128">
        <v>750167.8</v>
      </c>
      <c r="N1159" s="128">
        <v>180411.3</v>
      </c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</row>
    <row r="1160">
      <c r="A1160" s="125" t="s">
        <v>458</v>
      </c>
      <c r="B1160" s="125" t="s">
        <v>563</v>
      </c>
      <c r="C1160" s="125" t="s">
        <v>453</v>
      </c>
      <c r="D1160" s="125" t="s">
        <v>457</v>
      </c>
      <c r="E1160" s="125" t="s">
        <v>464</v>
      </c>
      <c r="F1160" s="126">
        <v>41329.0</v>
      </c>
      <c r="G1160" s="127">
        <v>3.58E8</v>
      </c>
      <c r="H1160" s="126">
        <v>41350.0</v>
      </c>
      <c r="I1160" s="128">
        <v>2396.0</v>
      </c>
      <c r="J1160" s="128">
        <v>255.28</v>
      </c>
      <c r="K1160" s="128">
        <v>159.42</v>
      </c>
      <c r="L1160" s="128">
        <v>611650.9</v>
      </c>
      <c r="M1160" s="128">
        <v>381970.3</v>
      </c>
      <c r="N1160" s="128">
        <v>229680.6</v>
      </c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</row>
    <row r="1161">
      <c r="A1161" s="125" t="s">
        <v>475</v>
      </c>
      <c r="B1161" s="125" t="s">
        <v>536</v>
      </c>
      <c r="C1161" s="125" t="s">
        <v>468</v>
      </c>
      <c r="D1161" s="125" t="s">
        <v>457</v>
      </c>
      <c r="E1161" s="125" t="s">
        <v>472</v>
      </c>
      <c r="F1161" s="126">
        <v>41478.0</v>
      </c>
      <c r="G1161" s="127">
        <v>1.8E8</v>
      </c>
      <c r="H1161" s="126">
        <v>41509.0</v>
      </c>
      <c r="I1161" s="128">
        <v>2969.0</v>
      </c>
      <c r="J1161" s="128">
        <v>81.73</v>
      </c>
      <c r="K1161" s="128">
        <v>56.67</v>
      </c>
      <c r="L1161" s="128">
        <v>242656.4</v>
      </c>
      <c r="M1161" s="128">
        <v>168253.2</v>
      </c>
      <c r="N1161" s="128">
        <v>74403.14</v>
      </c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</row>
    <row r="1162">
      <c r="A1162" s="125" t="s">
        <v>461</v>
      </c>
      <c r="B1162" s="125" t="s">
        <v>522</v>
      </c>
      <c r="C1162" s="125" t="s">
        <v>485</v>
      </c>
      <c r="D1162" s="125" t="s">
        <v>457</v>
      </c>
      <c r="E1162" s="125" t="s">
        <v>472</v>
      </c>
      <c r="F1162" s="126">
        <v>41580.0</v>
      </c>
      <c r="G1162" s="127">
        <v>7.36E8</v>
      </c>
      <c r="H1162" s="126">
        <v>41583.0</v>
      </c>
      <c r="I1162" s="128">
        <v>4870.0</v>
      </c>
      <c r="J1162" s="128">
        <v>421.89</v>
      </c>
      <c r="K1162" s="128">
        <v>364.69</v>
      </c>
      <c r="L1162" s="128">
        <v>2054604.0</v>
      </c>
      <c r="M1162" s="128">
        <v>1776040.0</v>
      </c>
      <c r="N1162" s="128">
        <v>278564.0</v>
      </c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</row>
    <row r="1163">
      <c r="A1163" s="125" t="s">
        <v>458</v>
      </c>
      <c r="B1163" s="125" t="s">
        <v>643</v>
      </c>
      <c r="C1163" s="125" t="s">
        <v>480</v>
      </c>
      <c r="D1163" s="125" t="s">
        <v>454</v>
      </c>
      <c r="E1163" s="125" t="s">
        <v>189</v>
      </c>
      <c r="F1163" s="126">
        <v>40571.0</v>
      </c>
      <c r="G1163" s="127">
        <v>8.16E8</v>
      </c>
      <c r="H1163" s="126">
        <v>40587.0</v>
      </c>
      <c r="I1163" s="128">
        <v>6856.0</v>
      </c>
      <c r="J1163" s="128">
        <v>437.2</v>
      </c>
      <c r="K1163" s="128">
        <v>263.33</v>
      </c>
      <c r="L1163" s="128">
        <v>2997443.0</v>
      </c>
      <c r="M1163" s="128">
        <v>1805390.0</v>
      </c>
      <c r="N1163" s="128">
        <v>1192053.0</v>
      </c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</row>
    <row r="1164">
      <c r="A1164" s="125" t="s">
        <v>458</v>
      </c>
      <c r="B1164" s="125" t="s">
        <v>560</v>
      </c>
      <c r="C1164" s="125" t="s">
        <v>471</v>
      </c>
      <c r="D1164" s="125" t="s">
        <v>457</v>
      </c>
      <c r="E1164" s="125" t="s">
        <v>464</v>
      </c>
      <c r="F1164" s="126">
        <v>40545.0</v>
      </c>
      <c r="G1164" s="127">
        <v>6.26E8</v>
      </c>
      <c r="H1164" s="126">
        <v>40554.0</v>
      </c>
      <c r="I1164" s="128">
        <v>9711.0</v>
      </c>
      <c r="J1164" s="128">
        <v>109.28</v>
      </c>
      <c r="K1164" s="128">
        <v>35.84</v>
      </c>
      <c r="L1164" s="128">
        <v>1061218.0</v>
      </c>
      <c r="M1164" s="128">
        <v>348042.2</v>
      </c>
      <c r="N1164" s="128">
        <v>713175.8</v>
      </c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</row>
    <row r="1165">
      <c r="A1165" s="125" t="s">
        <v>488</v>
      </c>
      <c r="B1165" s="125" t="s">
        <v>577</v>
      </c>
      <c r="C1165" s="125" t="s">
        <v>468</v>
      </c>
      <c r="D1165" s="125" t="s">
        <v>457</v>
      </c>
      <c r="E1165" s="125" t="s">
        <v>464</v>
      </c>
      <c r="F1165" s="126">
        <v>42598.0</v>
      </c>
      <c r="G1165" s="127">
        <v>4.45E8</v>
      </c>
      <c r="H1165" s="126">
        <v>42608.0</v>
      </c>
      <c r="I1165" s="128">
        <v>1253.0</v>
      </c>
      <c r="J1165" s="128">
        <v>81.73</v>
      </c>
      <c r="K1165" s="128">
        <v>56.67</v>
      </c>
      <c r="L1165" s="128">
        <v>102407.7</v>
      </c>
      <c r="M1165" s="128">
        <v>71007.51</v>
      </c>
      <c r="N1165" s="128">
        <v>31400.18</v>
      </c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</row>
    <row r="1166">
      <c r="A1166" s="125" t="s">
        <v>475</v>
      </c>
      <c r="B1166" s="125" t="s">
        <v>572</v>
      </c>
      <c r="C1166" s="125" t="s">
        <v>485</v>
      </c>
      <c r="D1166" s="125" t="s">
        <v>457</v>
      </c>
      <c r="E1166" s="125" t="s">
        <v>464</v>
      </c>
      <c r="F1166" s="126">
        <v>42687.0</v>
      </c>
      <c r="G1166" s="127">
        <v>1.71E8</v>
      </c>
      <c r="H1166" s="126">
        <v>42699.0</v>
      </c>
      <c r="I1166" s="128">
        <v>1332.0</v>
      </c>
      <c r="J1166" s="128">
        <v>421.89</v>
      </c>
      <c r="K1166" s="128">
        <v>364.69</v>
      </c>
      <c r="L1166" s="128">
        <v>561957.5</v>
      </c>
      <c r="M1166" s="128">
        <v>485767.1</v>
      </c>
      <c r="N1166" s="128">
        <v>76190.4</v>
      </c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</row>
    <row r="1167">
      <c r="A1167" s="125" t="s">
        <v>469</v>
      </c>
      <c r="B1167" s="125" t="s">
        <v>495</v>
      </c>
      <c r="C1167" s="125" t="s">
        <v>514</v>
      </c>
      <c r="D1167" s="125" t="s">
        <v>454</v>
      </c>
      <c r="E1167" s="125" t="s">
        <v>189</v>
      </c>
      <c r="F1167" s="126">
        <v>41303.0</v>
      </c>
      <c r="G1167" s="127">
        <v>6.73E8</v>
      </c>
      <c r="H1167" s="126">
        <v>41348.0</v>
      </c>
      <c r="I1167" s="128">
        <v>6826.0</v>
      </c>
      <c r="J1167" s="128">
        <v>668.27</v>
      </c>
      <c r="K1167" s="128">
        <v>502.54</v>
      </c>
      <c r="L1167" s="128">
        <v>4561611.0</v>
      </c>
      <c r="M1167" s="128">
        <v>3430338.0</v>
      </c>
      <c r="N1167" s="128">
        <v>1131273.0</v>
      </c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</row>
    <row r="1168">
      <c r="A1168" s="125" t="s">
        <v>458</v>
      </c>
      <c r="B1168" s="125" t="s">
        <v>473</v>
      </c>
      <c r="C1168" s="125" t="s">
        <v>453</v>
      </c>
      <c r="D1168" s="125" t="s">
        <v>454</v>
      </c>
      <c r="E1168" s="125" t="s">
        <v>189</v>
      </c>
      <c r="F1168" s="126">
        <v>42095.0</v>
      </c>
      <c r="G1168" s="127">
        <v>6.4E8</v>
      </c>
      <c r="H1168" s="126">
        <v>42097.0</v>
      </c>
      <c r="I1168" s="128">
        <v>6647.0</v>
      </c>
      <c r="J1168" s="128">
        <v>255.28</v>
      </c>
      <c r="K1168" s="128">
        <v>159.42</v>
      </c>
      <c r="L1168" s="128">
        <v>1696846.0</v>
      </c>
      <c r="M1168" s="128">
        <v>1059665.0</v>
      </c>
      <c r="N1168" s="128">
        <v>637181.4</v>
      </c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</row>
    <row r="1169">
      <c r="A1169" s="125" t="s">
        <v>451</v>
      </c>
      <c r="B1169" s="125" t="s">
        <v>592</v>
      </c>
      <c r="C1169" s="125" t="s">
        <v>506</v>
      </c>
      <c r="D1169" s="125" t="s">
        <v>457</v>
      </c>
      <c r="E1169" s="125" t="s">
        <v>472</v>
      </c>
      <c r="F1169" s="126">
        <v>42185.0</v>
      </c>
      <c r="G1169" s="127">
        <v>6.32E8</v>
      </c>
      <c r="H1169" s="126">
        <v>42200.0</v>
      </c>
      <c r="I1169" s="128">
        <v>6737.0</v>
      </c>
      <c r="J1169" s="128">
        <v>154.06</v>
      </c>
      <c r="K1169" s="128">
        <v>90.93</v>
      </c>
      <c r="L1169" s="128">
        <v>1037902.0</v>
      </c>
      <c r="M1169" s="128">
        <v>612595.4</v>
      </c>
      <c r="N1169" s="128">
        <v>425306.8</v>
      </c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</row>
    <row r="1170">
      <c r="A1170" s="125" t="s">
        <v>475</v>
      </c>
      <c r="B1170" s="125" t="s">
        <v>605</v>
      </c>
      <c r="C1170" s="125" t="s">
        <v>478</v>
      </c>
      <c r="D1170" s="125" t="s">
        <v>454</v>
      </c>
      <c r="E1170" s="125" t="s">
        <v>464</v>
      </c>
      <c r="F1170" s="126">
        <v>41849.0</v>
      </c>
      <c r="G1170" s="127">
        <v>8.28E8</v>
      </c>
      <c r="H1170" s="126">
        <v>41878.0</v>
      </c>
      <c r="I1170" s="128">
        <v>5071.0</v>
      </c>
      <c r="J1170" s="128">
        <v>651.21</v>
      </c>
      <c r="K1170" s="128">
        <v>524.96</v>
      </c>
      <c r="L1170" s="128">
        <v>3302286.0</v>
      </c>
      <c r="M1170" s="128">
        <v>2662072.0</v>
      </c>
      <c r="N1170" s="128">
        <v>640213.8</v>
      </c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</row>
    <row r="1171">
      <c r="A1171" s="125" t="s">
        <v>475</v>
      </c>
      <c r="B1171" s="125" t="s">
        <v>619</v>
      </c>
      <c r="C1171" s="125" t="s">
        <v>463</v>
      </c>
      <c r="D1171" s="125" t="s">
        <v>457</v>
      </c>
      <c r="E1171" s="125" t="s">
        <v>189</v>
      </c>
      <c r="F1171" s="126">
        <v>40371.0</v>
      </c>
      <c r="G1171" s="127">
        <v>5.79E8</v>
      </c>
      <c r="H1171" s="126">
        <v>40399.0</v>
      </c>
      <c r="I1171" s="128">
        <v>6652.0</v>
      </c>
      <c r="J1171" s="128">
        <v>205.7</v>
      </c>
      <c r="K1171" s="128">
        <v>117.11</v>
      </c>
      <c r="L1171" s="128">
        <v>1368316.0</v>
      </c>
      <c r="M1171" s="128">
        <v>779015.7</v>
      </c>
      <c r="N1171" s="128">
        <v>589300.7</v>
      </c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</row>
    <row r="1172">
      <c r="A1172" s="125" t="s">
        <v>458</v>
      </c>
      <c r="B1172" s="125" t="s">
        <v>652</v>
      </c>
      <c r="C1172" s="125" t="s">
        <v>456</v>
      </c>
      <c r="D1172" s="125" t="s">
        <v>454</v>
      </c>
      <c r="E1172" s="125" t="s">
        <v>284</v>
      </c>
      <c r="F1172" s="126">
        <v>40189.0</v>
      </c>
      <c r="G1172" s="127">
        <v>6.54E8</v>
      </c>
      <c r="H1172" s="126">
        <v>40196.0</v>
      </c>
      <c r="I1172" s="128">
        <v>8517.0</v>
      </c>
      <c r="J1172" s="128">
        <v>152.58</v>
      </c>
      <c r="K1172" s="128">
        <v>97.44</v>
      </c>
      <c r="L1172" s="128">
        <v>1299524.0</v>
      </c>
      <c r="M1172" s="128">
        <v>829896.5</v>
      </c>
      <c r="N1172" s="128">
        <v>469627.4</v>
      </c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</row>
    <row r="1173">
      <c r="A1173" s="125" t="s">
        <v>458</v>
      </c>
      <c r="B1173" s="125" t="s">
        <v>610</v>
      </c>
      <c r="C1173" s="125" t="s">
        <v>494</v>
      </c>
      <c r="D1173" s="125" t="s">
        <v>454</v>
      </c>
      <c r="E1173" s="125" t="s">
        <v>189</v>
      </c>
      <c r="F1173" s="126">
        <v>42745.0</v>
      </c>
      <c r="G1173" s="127">
        <v>9.95E8</v>
      </c>
      <c r="H1173" s="126">
        <v>42748.0</v>
      </c>
      <c r="I1173" s="128">
        <v>4734.0</v>
      </c>
      <c r="J1173" s="128">
        <v>9.33</v>
      </c>
      <c r="K1173" s="128">
        <v>6.92</v>
      </c>
      <c r="L1173" s="128">
        <v>44168.22</v>
      </c>
      <c r="M1173" s="128">
        <v>32759.28</v>
      </c>
      <c r="N1173" s="128">
        <v>11408.94</v>
      </c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</row>
    <row r="1174">
      <c r="A1174" s="125" t="s">
        <v>461</v>
      </c>
      <c r="B1174" s="125" t="s">
        <v>510</v>
      </c>
      <c r="C1174" s="125" t="s">
        <v>514</v>
      </c>
      <c r="D1174" s="125" t="s">
        <v>454</v>
      </c>
      <c r="E1174" s="125" t="s">
        <v>284</v>
      </c>
      <c r="F1174" s="126">
        <v>41575.0</v>
      </c>
      <c r="G1174" s="127">
        <v>2.61E8</v>
      </c>
      <c r="H1174" s="126">
        <v>41588.0</v>
      </c>
      <c r="I1174" s="128">
        <v>1400.0</v>
      </c>
      <c r="J1174" s="128">
        <v>668.27</v>
      </c>
      <c r="K1174" s="128">
        <v>502.54</v>
      </c>
      <c r="L1174" s="128">
        <v>935578.0</v>
      </c>
      <c r="M1174" s="128">
        <v>703556.0</v>
      </c>
      <c r="N1174" s="128">
        <v>232022.0</v>
      </c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</row>
    <row r="1175">
      <c r="A1175" s="125" t="s">
        <v>475</v>
      </c>
      <c r="B1175" s="125" t="s">
        <v>536</v>
      </c>
      <c r="C1175" s="125" t="s">
        <v>514</v>
      </c>
      <c r="D1175" s="125" t="s">
        <v>454</v>
      </c>
      <c r="E1175" s="125" t="s">
        <v>189</v>
      </c>
      <c r="F1175" s="126">
        <v>40283.0</v>
      </c>
      <c r="G1175" s="127">
        <v>7.86E8</v>
      </c>
      <c r="H1175" s="126">
        <v>40306.0</v>
      </c>
      <c r="I1175" s="128">
        <v>1647.0</v>
      </c>
      <c r="J1175" s="128">
        <v>668.27</v>
      </c>
      <c r="K1175" s="128">
        <v>502.54</v>
      </c>
      <c r="L1175" s="128">
        <v>1100641.0</v>
      </c>
      <c r="M1175" s="128">
        <v>827683.4</v>
      </c>
      <c r="N1175" s="128">
        <v>272957.3</v>
      </c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</row>
    <row r="1176">
      <c r="A1176" s="125" t="s">
        <v>458</v>
      </c>
      <c r="B1176" s="125" t="s">
        <v>459</v>
      </c>
      <c r="C1176" s="125" t="s">
        <v>485</v>
      </c>
      <c r="D1176" s="125" t="s">
        <v>457</v>
      </c>
      <c r="E1176" s="125" t="s">
        <v>189</v>
      </c>
      <c r="F1176" s="126">
        <v>42864.0</v>
      </c>
      <c r="G1176" s="127">
        <v>9.2E8</v>
      </c>
      <c r="H1176" s="126">
        <v>42898.0</v>
      </c>
      <c r="I1176" s="128">
        <v>634.0</v>
      </c>
      <c r="J1176" s="128">
        <v>421.89</v>
      </c>
      <c r="K1176" s="128">
        <v>364.69</v>
      </c>
      <c r="L1176" s="128">
        <v>267478.3</v>
      </c>
      <c r="M1176" s="128">
        <v>231213.5</v>
      </c>
      <c r="N1176" s="128">
        <v>36264.8</v>
      </c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</row>
    <row r="1177">
      <c r="A1177" s="125" t="s">
        <v>488</v>
      </c>
      <c r="B1177" s="125" t="s">
        <v>489</v>
      </c>
      <c r="C1177" s="125" t="s">
        <v>506</v>
      </c>
      <c r="D1177" s="125" t="s">
        <v>457</v>
      </c>
      <c r="E1177" s="125" t="s">
        <v>284</v>
      </c>
      <c r="F1177" s="126">
        <v>41252.0</v>
      </c>
      <c r="G1177" s="127">
        <v>8.85E8</v>
      </c>
      <c r="H1177" s="126">
        <v>41285.0</v>
      </c>
      <c r="I1177" s="128">
        <v>555.0</v>
      </c>
      <c r="J1177" s="128">
        <v>154.06</v>
      </c>
      <c r="K1177" s="128">
        <v>90.93</v>
      </c>
      <c r="L1177" s="128">
        <v>85503.3</v>
      </c>
      <c r="M1177" s="128">
        <v>50466.15</v>
      </c>
      <c r="N1177" s="128">
        <v>35037.15</v>
      </c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</row>
    <row r="1178">
      <c r="A1178" s="125" t="s">
        <v>458</v>
      </c>
      <c r="B1178" s="125" t="s">
        <v>473</v>
      </c>
      <c r="C1178" s="125" t="s">
        <v>506</v>
      </c>
      <c r="D1178" s="125" t="s">
        <v>454</v>
      </c>
      <c r="E1178" s="125" t="s">
        <v>189</v>
      </c>
      <c r="F1178" s="126">
        <v>41603.0</v>
      </c>
      <c r="G1178" s="127">
        <v>5.24E8</v>
      </c>
      <c r="H1178" s="126">
        <v>41624.0</v>
      </c>
      <c r="I1178" s="128">
        <v>5633.0</v>
      </c>
      <c r="J1178" s="128">
        <v>154.06</v>
      </c>
      <c r="K1178" s="128">
        <v>90.93</v>
      </c>
      <c r="L1178" s="128">
        <v>867820.0</v>
      </c>
      <c r="M1178" s="128">
        <v>512208.7</v>
      </c>
      <c r="N1178" s="128">
        <v>355611.3</v>
      </c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</row>
    <row r="1179">
      <c r="A1179" s="125" t="s">
        <v>475</v>
      </c>
      <c r="B1179" s="125" t="s">
        <v>628</v>
      </c>
      <c r="C1179" s="125" t="s">
        <v>514</v>
      </c>
      <c r="D1179" s="125" t="s">
        <v>457</v>
      </c>
      <c r="E1179" s="125" t="s">
        <v>189</v>
      </c>
      <c r="F1179" s="126">
        <v>40779.0</v>
      </c>
      <c r="G1179" s="127">
        <v>6.48E8</v>
      </c>
      <c r="H1179" s="126">
        <v>40818.0</v>
      </c>
      <c r="I1179" s="128">
        <v>7122.0</v>
      </c>
      <c r="J1179" s="128">
        <v>668.27</v>
      </c>
      <c r="K1179" s="128">
        <v>502.54</v>
      </c>
      <c r="L1179" s="128">
        <v>4759419.0</v>
      </c>
      <c r="M1179" s="128">
        <v>3579090.0</v>
      </c>
      <c r="N1179" s="128">
        <v>1180329.0</v>
      </c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</row>
    <row r="1180">
      <c r="A1180" s="125" t="s">
        <v>458</v>
      </c>
      <c r="B1180" s="125" t="s">
        <v>517</v>
      </c>
      <c r="C1180" s="125" t="s">
        <v>494</v>
      </c>
      <c r="D1180" s="125" t="s">
        <v>454</v>
      </c>
      <c r="E1180" s="125" t="s">
        <v>464</v>
      </c>
      <c r="F1180" s="126">
        <v>41564.0</v>
      </c>
      <c r="G1180" s="127">
        <v>7.92E8</v>
      </c>
      <c r="H1180" s="126">
        <v>41602.0</v>
      </c>
      <c r="I1180" s="128">
        <v>8310.0</v>
      </c>
      <c r="J1180" s="128">
        <v>9.33</v>
      </c>
      <c r="K1180" s="128">
        <v>6.92</v>
      </c>
      <c r="L1180" s="128">
        <v>77532.3</v>
      </c>
      <c r="M1180" s="128">
        <v>57505.2</v>
      </c>
      <c r="N1180" s="128">
        <v>20027.1</v>
      </c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</row>
    <row r="1181">
      <c r="A1181" s="125" t="s">
        <v>466</v>
      </c>
      <c r="B1181" s="125" t="s">
        <v>637</v>
      </c>
      <c r="C1181" s="125" t="s">
        <v>453</v>
      </c>
      <c r="D1181" s="125" t="s">
        <v>457</v>
      </c>
      <c r="E1181" s="125" t="s">
        <v>189</v>
      </c>
      <c r="F1181" s="126">
        <v>40214.0</v>
      </c>
      <c r="G1181" s="127">
        <v>5.57E8</v>
      </c>
      <c r="H1181" s="126">
        <v>40225.0</v>
      </c>
      <c r="I1181" s="128">
        <v>9513.0</v>
      </c>
      <c r="J1181" s="128">
        <v>255.28</v>
      </c>
      <c r="K1181" s="128">
        <v>159.42</v>
      </c>
      <c r="L1181" s="128">
        <v>2428479.0</v>
      </c>
      <c r="M1181" s="128">
        <v>1516562.0</v>
      </c>
      <c r="N1181" s="128">
        <v>911916.2</v>
      </c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</row>
    <row r="1182">
      <c r="A1182" s="125" t="s">
        <v>475</v>
      </c>
      <c r="B1182" s="125" t="s">
        <v>548</v>
      </c>
      <c r="C1182" s="125" t="s">
        <v>514</v>
      </c>
      <c r="D1182" s="125" t="s">
        <v>454</v>
      </c>
      <c r="E1182" s="125" t="s">
        <v>189</v>
      </c>
      <c r="F1182" s="126">
        <v>41676.0</v>
      </c>
      <c r="G1182" s="127">
        <v>9.68E8</v>
      </c>
      <c r="H1182" s="126">
        <v>41687.0</v>
      </c>
      <c r="I1182" s="128">
        <v>3080.0</v>
      </c>
      <c r="J1182" s="128">
        <v>668.27</v>
      </c>
      <c r="K1182" s="128">
        <v>502.54</v>
      </c>
      <c r="L1182" s="128">
        <v>2058272.0</v>
      </c>
      <c r="M1182" s="128">
        <v>1547823.0</v>
      </c>
      <c r="N1182" s="128">
        <v>510448.4</v>
      </c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</row>
    <row r="1183">
      <c r="A1183" s="125" t="s">
        <v>466</v>
      </c>
      <c r="B1183" s="125" t="s">
        <v>637</v>
      </c>
      <c r="C1183" s="125" t="s">
        <v>494</v>
      </c>
      <c r="D1183" s="125" t="s">
        <v>457</v>
      </c>
      <c r="E1183" s="125" t="s">
        <v>189</v>
      </c>
      <c r="F1183" s="126">
        <v>41600.0</v>
      </c>
      <c r="G1183" s="127">
        <v>4.18E8</v>
      </c>
      <c r="H1183" s="126">
        <v>41632.0</v>
      </c>
      <c r="I1183" s="128">
        <v>8392.0</v>
      </c>
      <c r="J1183" s="128">
        <v>9.33</v>
      </c>
      <c r="K1183" s="128">
        <v>6.92</v>
      </c>
      <c r="L1183" s="128">
        <v>78297.36</v>
      </c>
      <c r="M1183" s="128">
        <v>58072.64</v>
      </c>
      <c r="N1183" s="128">
        <v>20224.72</v>
      </c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</row>
    <row r="1184">
      <c r="A1184" s="125" t="s">
        <v>475</v>
      </c>
      <c r="B1184" s="125" t="s">
        <v>624</v>
      </c>
      <c r="C1184" s="125" t="s">
        <v>494</v>
      </c>
      <c r="D1184" s="125" t="s">
        <v>454</v>
      </c>
      <c r="E1184" s="125" t="s">
        <v>284</v>
      </c>
      <c r="F1184" s="126">
        <v>41561.0</v>
      </c>
      <c r="G1184" s="127">
        <v>5.22E8</v>
      </c>
      <c r="H1184" s="126">
        <v>41589.0</v>
      </c>
      <c r="I1184" s="128">
        <v>6858.0</v>
      </c>
      <c r="J1184" s="128">
        <v>9.33</v>
      </c>
      <c r="K1184" s="128">
        <v>6.92</v>
      </c>
      <c r="L1184" s="128">
        <v>63985.14</v>
      </c>
      <c r="M1184" s="128">
        <v>47457.36</v>
      </c>
      <c r="N1184" s="128">
        <v>16527.78</v>
      </c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</row>
    <row r="1185">
      <c r="A1185" s="125" t="s">
        <v>475</v>
      </c>
      <c r="B1185" s="125" t="s">
        <v>640</v>
      </c>
      <c r="C1185" s="125" t="s">
        <v>506</v>
      </c>
      <c r="D1185" s="125" t="s">
        <v>454</v>
      </c>
      <c r="E1185" s="125" t="s">
        <v>464</v>
      </c>
      <c r="F1185" s="126">
        <v>42138.0</v>
      </c>
      <c r="G1185" s="127">
        <v>2.64E8</v>
      </c>
      <c r="H1185" s="126">
        <v>42184.0</v>
      </c>
      <c r="I1185" s="128">
        <v>6921.0</v>
      </c>
      <c r="J1185" s="128">
        <v>154.06</v>
      </c>
      <c r="K1185" s="128">
        <v>90.93</v>
      </c>
      <c r="L1185" s="128">
        <v>1066249.0</v>
      </c>
      <c r="M1185" s="128">
        <v>629326.5</v>
      </c>
      <c r="N1185" s="128">
        <v>436922.7</v>
      </c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</row>
    <row r="1186">
      <c r="A1186" s="125" t="s">
        <v>461</v>
      </c>
      <c r="B1186" s="125" t="s">
        <v>618</v>
      </c>
      <c r="C1186" s="125" t="s">
        <v>453</v>
      </c>
      <c r="D1186" s="125" t="s">
        <v>457</v>
      </c>
      <c r="E1186" s="125" t="s">
        <v>284</v>
      </c>
      <c r="F1186" s="126">
        <v>41533.0</v>
      </c>
      <c r="G1186" s="127">
        <v>9.48E8</v>
      </c>
      <c r="H1186" s="126">
        <v>41574.0</v>
      </c>
      <c r="I1186" s="128">
        <v>9056.0</v>
      </c>
      <c r="J1186" s="128">
        <v>255.28</v>
      </c>
      <c r="K1186" s="128">
        <v>159.42</v>
      </c>
      <c r="L1186" s="128">
        <v>2311816.0</v>
      </c>
      <c r="M1186" s="128">
        <v>1443708.0</v>
      </c>
      <c r="N1186" s="128">
        <v>868108.2</v>
      </c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</row>
    <row r="1187">
      <c r="A1187" s="125" t="s">
        <v>466</v>
      </c>
      <c r="B1187" s="125" t="s">
        <v>598</v>
      </c>
      <c r="C1187" s="125" t="s">
        <v>514</v>
      </c>
      <c r="D1187" s="125" t="s">
        <v>457</v>
      </c>
      <c r="E1187" s="125" t="s">
        <v>464</v>
      </c>
      <c r="F1187" s="126">
        <v>42486.0</v>
      </c>
      <c r="G1187" s="127">
        <v>3.5E8</v>
      </c>
      <c r="H1187" s="126">
        <v>42496.0</v>
      </c>
      <c r="I1187" s="128">
        <v>767.0</v>
      </c>
      <c r="J1187" s="128">
        <v>668.27</v>
      </c>
      <c r="K1187" s="128">
        <v>502.54</v>
      </c>
      <c r="L1187" s="128">
        <v>512563.1</v>
      </c>
      <c r="M1187" s="128">
        <v>385448.2</v>
      </c>
      <c r="N1187" s="128">
        <v>127114.9</v>
      </c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</row>
    <row r="1188">
      <c r="A1188" s="125" t="s">
        <v>466</v>
      </c>
      <c r="B1188" s="125" t="s">
        <v>531</v>
      </c>
      <c r="C1188" s="125" t="s">
        <v>471</v>
      </c>
      <c r="D1188" s="125" t="s">
        <v>457</v>
      </c>
      <c r="E1188" s="125" t="s">
        <v>472</v>
      </c>
      <c r="F1188" s="126">
        <v>42596.0</v>
      </c>
      <c r="G1188" s="127">
        <v>3.64E8</v>
      </c>
      <c r="H1188" s="126">
        <v>42608.0</v>
      </c>
      <c r="I1188" s="128">
        <v>1589.0</v>
      </c>
      <c r="J1188" s="128">
        <v>109.28</v>
      </c>
      <c r="K1188" s="128">
        <v>35.84</v>
      </c>
      <c r="L1188" s="128">
        <v>173645.9</v>
      </c>
      <c r="M1188" s="128">
        <v>56949.76</v>
      </c>
      <c r="N1188" s="128">
        <v>116696.2</v>
      </c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</row>
    <row r="1189">
      <c r="A1189" s="125" t="s">
        <v>475</v>
      </c>
      <c r="B1189" s="125" t="s">
        <v>624</v>
      </c>
      <c r="C1189" s="125" t="s">
        <v>468</v>
      </c>
      <c r="D1189" s="125" t="s">
        <v>454</v>
      </c>
      <c r="E1189" s="125" t="s">
        <v>189</v>
      </c>
      <c r="F1189" s="126">
        <v>41231.0</v>
      </c>
      <c r="G1189" s="127">
        <v>2.58E8</v>
      </c>
      <c r="H1189" s="126">
        <v>41277.0</v>
      </c>
      <c r="I1189" s="128">
        <v>8092.0</v>
      </c>
      <c r="J1189" s="128">
        <v>81.73</v>
      </c>
      <c r="K1189" s="128">
        <v>56.67</v>
      </c>
      <c r="L1189" s="128">
        <v>661359.2</v>
      </c>
      <c r="M1189" s="128">
        <v>458573.6</v>
      </c>
      <c r="N1189" s="128">
        <v>202785.5</v>
      </c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</row>
    <row r="1190">
      <c r="A1190" s="125" t="s">
        <v>458</v>
      </c>
      <c r="B1190" s="125" t="s">
        <v>610</v>
      </c>
      <c r="C1190" s="125" t="s">
        <v>506</v>
      </c>
      <c r="D1190" s="125" t="s">
        <v>454</v>
      </c>
      <c r="E1190" s="125" t="s">
        <v>284</v>
      </c>
      <c r="F1190" s="126">
        <v>40915.0</v>
      </c>
      <c r="G1190" s="127">
        <v>7.16E8</v>
      </c>
      <c r="H1190" s="126">
        <v>40934.0</v>
      </c>
      <c r="I1190" s="128">
        <v>8872.0</v>
      </c>
      <c r="J1190" s="128">
        <v>154.06</v>
      </c>
      <c r="K1190" s="128">
        <v>90.93</v>
      </c>
      <c r="L1190" s="128">
        <v>1366820.0</v>
      </c>
      <c r="M1190" s="128">
        <v>806731.0</v>
      </c>
      <c r="N1190" s="128">
        <v>560089.4</v>
      </c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</row>
    <row r="1191">
      <c r="A1191" s="125" t="s">
        <v>458</v>
      </c>
      <c r="B1191" s="125" t="s">
        <v>594</v>
      </c>
      <c r="C1191" s="125" t="s">
        <v>480</v>
      </c>
      <c r="D1191" s="125" t="s">
        <v>457</v>
      </c>
      <c r="E1191" s="125" t="s">
        <v>284</v>
      </c>
      <c r="F1191" s="126">
        <v>40413.0</v>
      </c>
      <c r="G1191" s="127">
        <v>6.95E8</v>
      </c>
      <c r="H1191" s="126">
        <v>40446.0</v>
      </c>
      <c r="I1191" s="128">
        <v>9560.0</v>
      </c>
      <c r="J1191" s="128">
        <v>437.2</v>
      </c>
      <c r="K1191" s="128">
        <v>263.33</v>
      </c>
      <c r="L1191" s="128">
        <v>4179632.0</v>
      </c>
      <c r="M1191" s="128">
        <v>2517435.0</v>
      </c>
      <c r="N1191" s="128">
        <v>1662197.0</v>
      </c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</row>
    <row r="1192">
      <c r="A1192" s="125" t="s">
        <v>475</v>
      </c>
      <c r="B1192" s="125" t="s">
        <v>623</v>
      </c>
      <c r="C1192" s="125" t="s">
        <v>453</v>
      </c>
      <c r="D1192" s="125" t="s">
        <v>457</v>
      </c>
      <c r="E1192" s="125" t="s">
        <v>189</v>
      </c>
      <c r="F1192" s="126">
        <v>41643.0</v>
      </c>
      <c r="G1192" s="127">
        <v>5.72E8</v>
      </c>
      <c r="H1192" s="126">
        <v>41692.0</v>
      </c>
      <c r="I1192" s="128">
        <v>7818.0</v>
      </c>
      <c r="J1192" s="128">
        <v>255.28</v>
      </c>
      <c r="K1192" s="128">
        <v>159.42</v>
      </c>
      <c r="L1192" s="128">
        <v>1995779.0</v>
      </c>
      <c r="M1192" s="128">
        <v>1246346.0</v>
      </c>
      <c r="N1192" s="128">
        <v>749433.5</v>
      </c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</row>
    <row r="1193">
      <c r="A1193" s="125" t="s">
        <v>451</v>
      </c>
      <c r="B1193" s="125" t="s">
        <v>523</v>
      </c>
      <c r="C1193" s="125" t="s">
        <v>463</v>
      </c>
      <c r="D1193" s="125" t="s">
        <v>454</v>
      </c>
      <c r="E1193" s="125" t="s">
        <v>284</v>
      </c>
      <c r="F1193" s="126">
        <v>42766.0</v>
      </c>
      <c r="G1193" s="127">
        <v>7.93E8</v>
      </c>
      <c r="H1193" s="126">
        <v>42783.0</v>
      </c>
      <c r="I1193" s="128">
        <v>8336.0</v>
      </c>
      <c r="J1193" s="128">
        <v>205.7</v>
      </c>
      <c r="K1193" s="128">
        <v>117.11</v>
      </c>
      <c r="L1193" s="128">
        <v>1714715.0</v>
      </c>
      <c r="M1193" s="128">
        <v>976229.0</v>
      </c>
      <c r="N1193" s="128">
        <v>738486.2</v>
      </c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</row>
    <row r="1194">
      <c r="A1194" s="125" t="s">
        <v>458</v>
      </c>
      <c r="B1194" s="125" t="s">
        <v>613</v>
      </c>
      <c r="C1194" s="125" t="s">
        <v>453</v>
      </c>
      <c r="D1194" s="125" t="s">
        <v>454</v>
      </c>
      <c r="E1194" s="125" t="s">
        <v>189</v>
      </c>
      <c r="F1194" s="126">
        <v>42329.0</v>
      </c>
      <c r="G1194" s="127">
        <v>5.25E8</v>
      </c>
      <c r="H1194" s="126">
        <v>42331.0</v>
      </c>
      <c r="I1194" s="128">
        <v>7840.0</v>
      </c>
      <c r="J1194" s="128">
        <v>255.28</v>
      </c>
      <c r="K1194" s="128">
        <v>159.42</v>
      </c>
      <c r="L1194" s="128">
        <v>2001395.0</v>
      </c>
      <c r="M1194" s="128">
        <v>1249853.0</v>
      </c>
      <c r="N1194" s="128">
        <v>751542.4</v>
      </c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</row>
    <row r="1195">
      <c r="A1195" s="125" t="s">
        <v>475</v>
      </c>
      <c r="B1195" s="125" t="s">
        <v>528</v>
      </c>
      <c r="C1195" s="125" t="s">
        <v>456</v>
      </c>
      <c r="D1195" s="125" t="s">
        <v>457</v>
      </c>
      <c r="E1195" s="125" t="s">
        <v>472</v>
      </c>
      <c r="F1195" s="126">
        <v>40652.0</v>
      </c>
      <c r="G1195" s="127">
        <v>8.08E8</v>
      </c>
      <c r="H1195" s="126">
        <v>40658.0</v>
      </c>
      <c r="I1195" s="128">
        <v>85.0</v>
      </c>
      <c r="J1195" s="128">
        <v>152.58</v>
      </c>
      <c r="K1195" s="128">
        <v>97.44</v>
      </c>
      <c r="L1195" s="128">
        <v>12969.3</v>
      </c>
      <c r="M1195" s="128">
        <v>8282.4</v>
      </c>
      <c r="N1195" s="128">
        <v>4686.9</v>
      </c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</row>
    <row r="1196">
      <c r="A1196" s="125" t="s">
        <v>458</v>
      </c>
      <c r="B1196" s="125" t="s">
        <v>653</v>
      </c>
      <c r="C1196" s="125" t="s">
        <v>494</v>
      </c>
      <c r="D1196" s="125" t="s">
        <v>454</v>
      </c>
      <c r="E1196" s="125" t="s">
        <v>464</v>
      </c>
      <c r="F1196" s="126">
        <v>41210.0</v>
      </c>
      <c r="G1196" s="127">
        <v>4.97E8</v>
      </c>
      <c r="H1196" s="126">
        <v>41254.0</v>
      </c>
      <c r="I1196" s="128">
        <v>855.0</v>
      </c>
      <c r="J1196" s="128">
        <v>9.33</v>
      </c>
      <c r="K1196" s="128">
        <v>6.92</v>
      </c>
      <c r="L1196" s="128">
        <v>7977.15</v>
      </c>
      <c r="M1196" s="128">
        <v>5916.6</v>
      </c>
      <c r="N1196" s="128">
        <v>2060.55</v>
      </c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</row>
    <row r="1197">
      <c r="A1197" s="125" t="s">
        <v>451</v>
      </c>
      <c r="B1197" s="125" t="s">
        <v>646</v>
      </c>
      <c r="C1197" s="125" t="s">
        <v>456</v>
      </c>
      <c r="D1197" s="125" t="s">
        <v>454</v>
      </c>
      <c r="E1197" s="125" t="s">
        <v>284</v>
      </c>
      <c r="F1197" s="126">
        <v>40953.0</v>
      </c>
      <c r="G1197" s="127">
        <v>3.21E8</v>
      </c>
      <c r="H1197" s="126">
        <v>40972.0</v>
      </c>
      <c r="I1197" s="128">
        <v>2969.0</v>
      </c>
      <c r="J1197" s="128">
        <v>152.58</v>
      </c>
      <c r="K1197" s="128">
        <v>97.44</v>
      </c>
      <c r="L1197" s="128">
        <v>453010.0</v>
      </c>
      <c r="M1197" s="128">
        <v>289299.4</v>
      </c>
      <c r="N1197" s="128">
        <v>163710.7</v>
      </c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</row>
    <row r="1198">
      <c r="A1198" s="125" t="s">
        <v>466</v>
      </c>
      <c r="B1198" s="125" t="s">
        <v>502</v>
      </c>
      <c r="C1198" s="125" t="s">
        <v>494</v>
      </c>
      <c r="D1198" s="125" t="s">
        <v>454</v>
      </c>
      <c r="E1198" s="125" t="s">
        <v>189</v>
      </c>
      <c r="F1198" s="126">
        <v>42750.0</v>
      </c>
      <c r="G1198" s="127">
        <v>6.3E8</v>
      </c>
      <c r="H1198" s="126">
        <v>42800.0</v>
      </c>
      <c r="I1198" s="128">
        <v>1274.0</v>
      </c>
      <c r="J1198" s="128">
        <v>9.33</v>
      </c>
      <c r="K1198" s="128">
        <v>6.92</v>
      </c>
      <c r="L1198" s="128">
        <v>11886.42</v>
      </c>
      <c r="M1198" s="128">
        <v>8816.08</v>
      </c>
      <c r="N1198" s="128">
        <v>3070.34</v>
      </c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</row>
    <row r="1199">
      <c r="A1199" s="125" t="s">
        <v>458</v>
      </c>
      <c r="B1199" s="125" t="s">
        <v>551</v>
      </c>
      <c r="C1199" s="125" t="s">
        <v>463</v>
      </c>
      <c r="D1199" s="125" t="s">
        <v>454</v>
      </c>
      <c r="E1199" s="125" t="s">
        <v>464</v>
      </c>
      <c r="F1199" s="126">
        <v>40179.0</v>
      </c>
      <c r="G1199" s="127">
        <v>9.41E8</v>
      </c>
      <c r="H1199" s="126">
        <v>40218.0</v>
      </c>
      <c r="I1199" s="128">
        <v>7652.0</v>
      </c>
      <c r="J1199" s="128">
        <v>205.7</v>
      </c>
      <c r="K1199" s="128">
        <v>117.11</v>
      </c>
      <c r="L1199" s="128">
        <v>1574016.0</v>
      </c>
      <c r="M1199" s="128">
        <v>896125.7</v>
      </c>
      <c r="N1199" s="128">
        <v>677890.7</v>
      </c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</row>
    <row r="1200">
      <c r="A1200" s="125" t="s">
        <v>469</v>
      </c>
      <c r="B1200" s="125" t="s">
        <v>632</v>
      </c>
      <c r="C1200" s="125" t="s">
        <v>468</v>
      </c>
      <c r="D1200" s="125" t="s">
        <v>457</v>
      </c>
      <c r="E1200" s="125" t="s">
        <v>284</v>
      </c>
      <c r="F1200" s="126">
        <v>41037.0</v>
      </c>
      <c r="G1200" s="127">
        <v>3.93E8</v>
      </c>
      <c r="H1200" s="126">
        <v>41043.0</v>
      </c>
      <c r="I1200" s="128">
        <v>6014.0</v>
      </c>
      <c r="J1200" s="128">
        <v>81.73</v>
      </c>
      <c r="K1200" s="128">
        <v>56.67</v>
      </c>
      <c r="L1200" s="128">
        <v>491524.2</v>
      </c>
      <c r="M1200" s="128">
        <v>340813.4</v>
      </c>
      <c r="N1200" s="128">
        <v>150710.8</v>
      </c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</row>
    <row r="1201">
      <c r="A1201" s="125" t="s">
        <v>466</v>
      </c>
      <c r="B1201" s="125" t="s">
        <v>584</v>
      </c>
      <c r="C1201" s="125" t="s">
        <v>494</v>
      </c>
      <c r="D1201" s="125" t="s">
        <v>457</v>
      </c>
      <c r="E1201" s="125" t="s">
        <v>284</v>
      </c>
      <c r="F1201" s="126">
        <v>41064.0</v>
      </c>
      <c r="G1201" s="127">
        <v>8.97E8</v>
      </c>
      <c r="H1201" s="126">
        <v>41073.0</v>
      </c>
      <c r="I1201" s="128">
        <v>7300.0</v>
      </c>
      <c r="J1201" s="128">
        <v>9.33</v>
      </c>
      <c r="K1201" s="128">
        <v>6.92</v>
      </c>
      <c r="L1201" s="128">
        <v>68109.0</v>
      </c>
      <c r="M1201" s="128">
        <v>50516.0</v>
      </c>
      <c r="N1201" s="128">
        <v>17593.0</v>
      </c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</row>
    <row r="1202">
      <c r="A1202" s="125" t="s">
        <v>458</v>
      </c>
      <c r="B1202" s="125" t="s">
        <v>563</v>
      </c>
      <c r="C1202" s="125" t="s">
        <v>494</v>
      </c>
      <c r="D1202" s="125" t="s">
        <v>457</v>
      </c>
      <c r="E1202" s="125" t="s">
        <v>284</v>
      </c>
      <c r="F1202" s="126">
        <v>41918.0</v>
      </c>
      <c r="G1202" s="127">
        <v>3.82E8</v>
      </c>
      <c r="H1202" s="126">
        <v>41935.0</v>
      </c>
      <c r="I1202" s="128">
        <v>4486.0</v>
      </c>
      <c r="J1202" s="128">
        <v>9.33</v>
      </c>
      <c r="K1202" s="128">
        <v>6.92</v>
      </c>
      <c r="L1202" s="128">
        <v>41854.38</v>
      </c>
      <c r="M1202" s="128">
        <v>31043.12</v>
      </c>
      <c r="N1202" s="128">
        <v>10811.26</v>
      </c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</row>
    <row r="1203">
      <c r="A1203" s="125" t="s">
        <v>466</v>
      </c>
      <c r="B1203" s="125" t="s">
        <v>496</v>
      </c>
      <c r="C1203" s="125" t="s">
        <v>453</v>
      </c>
      <c r="D1203" s="125" t="s">
        <v>454</v>
      </c>
      <c r="E1203" s="125" t="s">
        <v>189</v>
      </c>
      <c r="F1203" s="126">
        <v>41500.0</v>
      </c>
      <c r="G1203" s="127">
        <v>4.47E8</v>
      </c>
      <c r="H1203" s="126">
        <v>41538.0</v>
      </c>
      <c r="I1203" s="128">
        <v>7576.0</v>
      </c>
      <c r="J1203" s="128">
        <v>255.28</v>
      </c>
      <c r="K1203" s="128">
        <v>159.42</v>
      </c>
      <c r="L1203" s="128">
        <v>1934001.0</v>
      </c>
      <c r="M1203" s="128">
        <v>1207766.0</v>
      </c>
      <c r="N1203" s="128">
        <v>726235.4</v>
      </c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</row>
    <row r="1204">
      <c r="A1204" s="125" t="s">
        <v>461</v>
      </c>
      <c r="B1204" s="125" t="s">
        <v>639</v>
      </c>
      <c r="C1204" s="125" t="s">
        <v>506</v>
      </c>
      <c r="D1204" s="125" t="s">
        <v>454</v>
      </c>
      <c r="E1204" s="125" t="s">
        <v>189</v>
      </c>
      <c r="F1204" s="126">
        <v>40865.0</v>
      </c>
      <c r="G1204" s="127">
        <v>5.14E8</v>
      </c>
      <c r="H1204" s="126">
        <v>40910.0</v>
      </c>
      <c r="I1204" s="128">
        <v>8607.0</v>
      </c>
      <c r="J1204" s="128">
        <v>154.06</v>
      </c>
      <c r="K1204" s="128">
        <v>90.93</v>
      </c>
      <c r="L1204" s="128">
        <v>1325994.0</v>
      </c>
      <c r="M1204" s="128">
        <v>782634.5</v>
      </c>
      <c r="N1204" s="128">
        <v>543359.9</v>
      </c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</row>
    <row r="1205">
      <c r="A1205" s="125" t="s">
        <v>475</v>
      </c>
      <c r="B1205" s="125" t="s">
        <v>648</v>
      </c>
      <c r="C1205" s="125" t="s">
        <v>485</v>
      </c>
      <c r="D1205" s="125" t="s">
        <v>454</v>
      </c>
      <c r="E1205" s="125" t="s">
        <v>472</v>
      </c>
      <c r="F1205" s="126">
        <v>42839.0</v>
      </c>
      <c r="G1205" s="127">
        <v>9.73E8</v>
      </c>
      <c r="H1205" s="126">
        <v>42885.0</v>
      </c>
      <c r="I1205" s="128">
        <v>6644.0</v>
      </c>
      <c r="J1205" s="128">
        <v>421.89</v>
      </c>
      <c r="K1205" s="128">
        <v>364.69</v>
      </c>
      <c r="L1205" s="128">
        <v>2803037.0</v>
      </c>
      <c r="M1205" s="128">
        <v>2423000.0</v>
      </c>
      <c r="N1205" s="128">
        <v>380036.8</v>
      </c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</row>
    <row r="1206">
      <c r="A1206" s="125" t="s">
        <v>458</v>
      </c>
      <c r="B1206" s="125" t="s">
        <v>643</v>
      </c>
      <c r="C1206" s="125" t="s">
        <v>506</v>
      </c>
      <c r="D1206" s="125" t="s">
        <v>454</v>
      </c>
      <c r="E1206" s="125" t="s">
        <v>472</v>
      </c>
      <c r="F1206" s="126">
        <v>42340.0</v>
      </c>
      <c r="G1206" s="127">
        <v>9.35E8</v>
      </c>
      <c r="H1206" s="126">
        <v>42354.0</v>
      </c>
      <c r="I1206" s="128">
        <v>2789.0</v>
      </c>
      <c r="J1206" s="128">
        <v>154.06</v>
      </c>
      <c r="K1206" s="128">
        <v>90.93</v>
      </c>
      <c r="L1206" s="128">
        <v>429673.3</v>
      </c>
      <c r="M1206" s="128">
        <v>253603.8</v>
      </c>
      <c r="N1206" s="128">
        <v>176069.6</v>
      </c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</row>
    <row r="1207">
      <c r="A1207" s="125" t="s">
        <v>475</v>
      </c>
      <c r="B1207" s="125" t="s">
        <v>575</v>
      </c>
      <c r="C1207" s="125" t="s">
        <v>456</v>
      </c>
      <c r="D1207" s="125" t="s">
        <v>457</v>
      </c>
      <c r="E1207" s="125" t="s">
        <v>189</v>
      </c>
      <c r="F1207" s="126">
        <v>41590.0</v>
      </c>
      <c r="G1207" s="127">
        <v>4.81E8</v>
      </c>
      <c r="H1207" s="126">
        <v>41602.0</v>
      </c>
      <c r="I1207" s="128">
        <v>5169.0</v>
      </c>
      <c r="J1207" s="128">
        <v>152.58</v>
      </c>
      <c r="K1207" s="128">
        <v>97.44</v>
      </c>
      <c r="L1207" s="128">
        <v>788686.0</v>
      </c>
      <c r="M1207" s="128">
        <v>503667.4</v>
      </c>
      <c r="N1207" s="128">
        <v>285018.7</v>
      </c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</row>
    <row r="1208">
      <c r="A1208" s="125" t="s">
        <v>466</v>
      </c>
      <c r="B1208" s="125" t="s">
        <v>637</v>
      </c>
      <c r="C1208" s="125" t="s">
        <v>514</v>
      </c>
      <c r="D1208" s="125" t="s">
        <v>454</v>
      </c>
      <c r="E1208" s="125" t="s">
        <v>284</v>
      </c>
      <c r="F1208" s="126">
        <v>40434.0</v>
      </c>
      <c r="G1208" s="127">
        <v>2.13E8</v>
      </c>
      <c r="H1208" s="126">
        <v>40449.0</v>
      </c>
      <c r="I1208" s="128">
        <v>3946.0</v>
      </c>
      <c r="J1208" s="128">
        <v>668.27</v>
      </c>
      <c r="K1208" s="128">
        <v>502.54</v>
      </c>
      <c r="L1208" s="128">
        <v>2636993.0</v>
      </c>
      <c r="M1208" s="128">
        <v>1983023.0</v>
      </c>
      <c r="N1208" s="128">
        <v>653970.6</v>
      </c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</row>
    <row r="1209">
      <c r="A1209" s="125" t="s">
        <v>469</v>
      </c>
      <c r="B1209" s="125" t="s">
        <v>632</v>
      </c>
      <c r="C1209" s="125" t="s">
        <v>471</v>
      </c>
      <c r="D1209" s="125" t="s">
        <v>454</v>
      </c>
      <c r="E1209" s="125" t="s">
        <v>189</v>
      </c>
      <c r="F1209" s="126">
        <v>40487.0</v>
      </c>
      <c r="G1209" s="127">
        <v>8.02E8</v>
      </c>
      <c r="H1209" s="126">
        <v>40522.0</v>
      </c>
      <c r="I1209" s="128">
        <v>6313.0</v>
      </c>
      <c r="J1209" s="128">
        <v>109.28</v>
      </c>
      <c r="K1209" s="128">
        <v>35.84</v>
      </c>
      <c r="L1209" s="128">
        <v>689884.6</v>
      </c>
      <c r="M1209" s="128">
        <v>226257.9</v>
      </c>
      <c r="N1209" s="128">
        <v>463626.7</v>
      </c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</row>
    <row r="1210">
      <c r="A1210" s="125" t="s">
        <v>458</v>
      </c>
      <c r="B1210" s="125" t="s">
        <v>652</v>
      </c>
      <c r="C1210" s="125" t="s">
        <v>485</v>
      </c>
      <c r="D1210" s="125" t="s">
        <v>457</v>
      </c>
      <c r="E1210" s="125" t="s">
        <v>284</v>
      </c>
      <c r="F1210" s="126">
        <v>40991.0</v>
      </c>
      <c r="G1210" s="127">
        <v>7.42E8</v>
      </c>
      <c r="H1210" s="126">
        <v>41039.0</v>
      </c>
      <c r="I1210" s="128">
        <v>1494.0</v>
      </c>
      <c r="J1210" s="128">
        <v>421.89</v>
      </c>
      <c r="K1210" s="128">
        <v>364.69</v>
      </c>
      <c r="L1210" s="128">
        <v>630303.7</v>
      </c>
      <c r="M1210" s="128">
        <v>544846.9</v>
      </c>
      <c r="N1210" s="128">
        <v>85456.8</v>
      </c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</row>
    <row r="1211">
      <c r="A1211" s="125" t="s">
        <v>458</v>
      </c>
      <c r="B1211" s="125" t="s">
        <v>541</v>
      </c>
      <c r="C1211" s="125" t="s">
        <v>471</v>
      </c>
      <c r="D1211" s="125" t="s">
        <v>457</v>
      </c>
      <c r="E1211" s="125" t="s">
        <v>464</v>
      </c>
      <c r="F1211" s="126">
        <v>40190.0</v>
      </c>
      <c r="G1211" s="127">
        <v>3.94E8</v>
      </c>
      <c r="H1211" s="126">
        <v>40209.0</v>
      </c>
      <c r="I1211" s="128">
        <v>5742.0</v>
      </c>
      <c r="J1211" s="128">
        <v>109.28</v>
      </c>
      <c r="K1211" s="128">
        <v>35.84</v>
      </c>
      <c r="L1211" s="128">
        <v>627485.8</v>
      </c>
      <c r="M1211" s="128">
        <v>205793.3</v>
      </c>
      <c r="N1211" s="128">
        <v>421692.5</v>
      </c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</row>
    <row r="1212">
      <c r="A1212" s="125" t="s">
        <v>451</v>
      </c>
      <c r="B1212" s="125" t="s">
        <v>543</v>
      </c>
      <c r="C1212" s="125" t="s">
        <v>456</v>
      </c>
      <c r="D1212" s="125" t="s">
        <v>454</v>
      </c>
      <c r="E1212" s="125" t="s">
        <v>189</v>
      </c>
      <c r="F1212" s="126">
        <v>42251.0</v>
      </c>
      <c r="G1212" s="127">
        <v>6.41E8</v>
      </c>
      <c r="H1212" s="126">
        <v>42277.0</v>
      </c>
      <c r="I1212" s="128">
        <v>7345.0</v>
      </c>
      <c r="J1212" s="128">
        <v>152.58</v>
      </c>
      <c r="K1212" s="128">
        <v>97.44</v>
      </c>
      <c r="L1212" s="128">
        <v>1120700.0</v>
      </c>
      <c r="M1212" s="128">
        <v>715696.8</v>
      </c>
      <c r="N1212" s="128">
        <v>405003.3</v>
      </c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</row>
    <row r="1213">
      <c r="A1213" s="125" t="s">
        <v>475</v>
      </c>
      <c r="B1213" s="125" t="s">
        <v>604</v>
      </c>
      <c r="C1213" s="125" t="s">
        <v>480</v>
      </c>
      <c r="D1213" s="125" t="s">
        <v>457</v>
      </c>
      <c r="E1213" s="125" t="s">
        <v>189</v>
      </c>
      <c r="F1213" s="126">
        <v>42048.0</v>
      </c>
      <c r="G1213" s="127">
        <v>6.38E8</v>
      </c>
      <c r="H1213" s="126">
        <v>42084.0</v>
      </c>
      <c r="I1213" s="128">
        <v>1619.0</v>
      </c>
      <c r="J1213" s="128">
        <v>437.2</v>
      </c>
      <c r="K1213" s="128">
        <v>263.33</v>
      </c>
      <c r="L1213" s="128">
        <v>707826.8</v>
      </c>
      <c r="M1213" s="128">
        <v>426331.3</v>
      </c>
      <c r="N1213" s="128">
        <v>281495.5</v>
      </c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</row>
    <row r="1214">
      <c r="A1214" s="125" t="s">
        <v>461</v>
      </c>
      <c r="B1214" s="125" t="s">
        <v>516</v>
      </c>
      <c r="C1214" s="125" t="s">
        <v>480</v>
      </c>
      <c r="D1214" s="125" t="s">
        <v>457</v>
      </c>
      <c r="E1214" s="125" t="s">
        <v>189</v>
      </c>
      <c r="F1214" s="126">
        <v>40377.0</v>
      </c>
      <c r="G1214" s="127">
        <v>9.56E8</v>
      </c>
      <c r="H1214" s="126">
        <v>40403.0</v>
      </c>
      <c r="I1214" s="128">
        <v>5914.0</v>
      </c>
      <c r="J1214" s="128">
        <v>437.2</v>
      </c>
      <c r="K1214" s="128">
        <v>263.33</v>
      </c>
      <c r="L1214" s="128">
        <v>2585601.0</v>
      </c>
      <c r="M1214" s="128">
        <v>1557334.0</v>
      </c>
      <c r="N1214" s="128">
        <v>1028267.0</v>
      </c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</row>
    <row r="1215">
      <c r="A1215" s="125" t="s">
        <v>475</v>
      </c>
      <c r="B1215" s="125" t="s">
        <v>588</v>
      </c>
      <c r="C1215" s="125" t="s">
        <v>463</v>
      </c>
      <c r="D1215" s="125" t="s">
        <v>454</v>
      </c>
      <c r="E1215" s="125" t="s">
        <v>472</v>
      </c>
      <c r="F1215" s="126">
        <v>42572.0</v>
      </c>
      <c r="G1215" s="127">
        <v>4.4E8</v>
      </c>
      <c r="H1215" s="126">
        <v>42588.0</v>
      </c>
      <c r="I1215" s="128">
        <v>4609.0</v>
      </c>
      <c r="J1215" s="128">
        <v>205.7</v>
      </c>
      <c r="K1215" s="128">
        <v>117.11</v>
      </c>
      <c r="L1215" s="128">
        <v>948071.3</v>
      </c>
      <c r="M1215" s="128">
        <v>539760.0</v>
      </c>
      <c r="N1215" s="128">
        <v>408311.3</v>
      </c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</row>
    <row r="1216">
      <c r="A1216" s="125" t="s">
        <v>475</v>
      </c>
      <c r="B1216" s="125" t="s">
        <v>504</v>
      </c>
      <c r="C1216" s="125" t="s">
        <v>453</v>
      </c>
      <c r="D1216" s="125" t="s">
        <v>457</v>
      </c>
      <c r="E1216" s="125" t="s">
        <v>472</v>
      </c>
      <c r="F1216" s="126">
        <v>40524.0</v>
      </c>
      <c r="G1216" s="127">
        <v>2.54E8</v>
      </c>
      <c r="H1216" s="126">
        <v>40561.0</v>
      </c>
      <c r="I1216" s="128">
        <v>4115.0</v>
      </c>
      <c r="J1216" s="128">
        <v>255.28</v>
      </c>
      <c r="K1216" s="128">
        <v>159.42</v>
      </c>
      <c r="L1216" s="128">
        <v>1050477.0</v>
      </c>
      <c r="M1216" s="128">
        <v>656013.3</v>
      </c>
      <c r="N1216" s="128">
        <v>394463.9</v>
      </c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</row>
    <row r="1217">
      <c r="A1217" s="125" t="s">
        <v>469</v>
      </c>
      <c r="B1217" s="125" t="s">
        <v>569</v>
      </c>
      <c r="C1217" s="125" t="s">
        <v>480</v>
      </c>
      <c r="D1217" s="125" t="s">
        <v>454</v>
      </c>
      <c r="E1217" s="125" t="s">
        <v>189</v>
      </c>
      <c r="F1217" s="126">
        <v>41729.0</v>
      </c>
      <c r="G1217" s="127">
        <v>7.33E8</v>
      </c>
      <c r="H1217" s="126">
        <v>41734.0</v>
      </c>
      <c r="I1217" s="128">
        <v>7875.0</v>
      </c>
      <c r="J1217" s="128">
        <v>437.2</v>
      </c>
      <c r="K1217" s="128">
        <v>263.33</v>
      </c>
      <c r="L1217" s="128">
        <v>3442950.0</v>
      </c>
      <c r="M1217" s="128">
        <v>2073724.0</v>
      </c>
      <c r="N1217" s="128">
        <v>1369226.0</v>
      </c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</row>
    <row r="1218">
      <c r="A1218" s="125" t="s">
        <v>475</v>
      </c>
      <c r="B1218" s="125" t="s">
        <v>600</v>
      </c>
      <c r="C1218" s="125" t="s">
        <v>478</v>
      </c>
      <c r="D1218" s="125" t="s">
        <v>454</v>
      </c>
      <c r="E1218" s="125" t="s">
        <v>189</v>
      </c>
      <c r="F1218" s="126">
        <v>40240.0</v>
      </c>
      <c r="G1218" s="127">
        <v>9.3E8</v>
      </c>
      <c r="H1218" s="126">
        <v>40247.0</v>
      </c>
      <c r="I1218" s="128">
        <v>1362.0</v>
      </c>
      <c r="J1218" s="128">
        <v>651.21</v>
      </c>
      <c r="K1218" s="128">
        <v>524.96</v>
      </c>
      <c r="L1218" s="128">
        <v>886948.0</v>
      </c>
      <c r="M1218" s="128">
        <v>714995.5</v>
      </c>
      <c r="N1218" s="128">
        <v>171952.5</v>
      </c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</row>
    <row r="1219">
      <c r="A1219" s="125" t="s">
        <v>475</v>
      </c>
      <c r="B1219" s="125" t="s">
        <v>648</v>
      </c>
      <c r="C1219" s="125" t="s">
        <v>460</v>
      </c>
      <c r="D1219" s="125" t="s">
        <v>454</v>
      </c>
      <c r="E1219" s="125" t="s">
        <v>472</v>
      </c>
      <c r="F1219" s="126">
        <v>40179.0</v>
      </c>
      <c r="G1219" s="127">
        <v>8.72E8</v>
      </c>
      <c r="H1219" s="126">
        <v>40190.0</v>
      </c>
      <c r="I1219" s="128">
        <v>7081.0</v>
      </c>
      <c r="J1219" s="128">
        <v>47.45</v>
      </c>
      <c r="K1219" s="128">
        <v>31.79</v>
      </c>
      <c r="L1219" s="128">
        <v>335993.5</v>
      </c>
      <c r="M1219" s="128">
        <v>225105.0</v>
      </c>
      <c r="N1219" s="128">
        <v>110888.5</v>
      </c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</row>
    <row r="1220">
      <c r="A1220" s="125" t="s">
        <v>466</v>
      </c>
      <c r="B1220" s="125" t="s">
        <v>531</v>
      </c>
      <c r="C1220" s="125" t="s">
        <v>478</v>
      </c>
      <c r="D1220" s="125" t="s">
        <v>457</v>
      </c>
      <c r="E1220" s="125" t="s">
        <v>472</v>
      </c>
      <c r="F1220" s="126">
        <v>40528.0</v>
      </c>
      <c r="G1220" s="127">
        <v>2.04E8</v>
      </c>
      <c r="H1220" s="126">
        <v>40530.0</v>
      </c>
      <c r="I1220" s="128">
        <v>9569.0</v>
      </c>
      <c r="J1220" s="128">
        <v>651.21</v>
      </c>
      <c r="K1220" s="128">
        <v>524.96</v>
      </c>
      <c r="L1220" s="128">
        <v>6231428.0</v>
      </c>
      <c r="M1220" s="128">
        <v>5023342.0</v>
      </c>
      <c r="N1220" s="128">
        <v>1208086.0</v>
      </c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</row>
    <row r="1221">
      <c r="A1221" s="125" t="s">
        <v>475</v>
      </c>
      <c r="B1221" s="125" t="s">
        <v>640</v>
      </c>
      <c r="C1221" s="125" t="s">
        <v>471</v>
      </c>
      <c r="D1221" s="125" t="s">
        <v>454</v>
      </c>
      <c r="E1221" s="125" t="s">
        <v>464</v>
      </c>
      <c r="F1221" s="126">
        <v>42038.0</v>
      </c>
      <c r="G1221" s="127">
        <v>4.4E8</v>
      </c>
      <c r="H1221" s="126">
        <v>42041.0</v>
      </c>
      <c r="I1221" s="128">
        <v>393.0</v>
      </c>
      <c r="J1221" s="128">
        <v>109.28</v>
      </c>
      <c r="K1221" s="128">
        <v>35.84</v>
      </c>
      <c r="L1221" s="128">
        <v>42947.04</v>
      </c>
      <c r="M1221" s="128">
        <v>14085.12</v>
      </c>
      <c r="N1221" s="128">
        <v>28861.92</v>
      </c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</row>
    <row r="1222">
      <c r="A1222" s="125" t="s">
        <v>475</v>
      </c>
      <c r="B1222" s="125" t="s">
        <v>588</v>
      </c>
      <c r="C1222" s="125" t="s">
        <v>468</v>
      </c>
      <c r="D1222" s="125" t="s">
        <v>454</v>
      </c>
      <c r="E1222" s="125" t="s">
        <v>189</v>
      </c>
      <c r="F1222" s="126">
        <v>40319.0</v>
      </c>
      <c r="G1222" s="127">
        <v>9.18E8</v>
      </c>
      <c r="H1222" s="126">
        <v>40368.0</v>
      </c>
      <c r="I1222" s="128">
        <v>3151.0</v>
      </c>
      <c r="J1222" s="128">
        <v>81.73</v>
      </c>
      <c r="K1222" s="128">
        <v>56.67</v>
      </c>
      <c r="L1222" s="128">
        <v>257531.2</v>
      </c>
      <c r="M1222" s="128">
        <v>178567.2</v>
      </c>
      <c r="N1222" s="128">
        <v>78964.06</v>
      </c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</row>
    <row r="1223">
      <c r="A1223" s="125" t="s">
        <v>458</v>
      </c>
      <c r="B1223" s="125" t="s">
        <v>643</v>
      </c>
      <c r="C1223" s="125" t="s">
        <v>514</v>
      </c>
      <c r="D1223" s="125" t="s">
        <v>457</v>
      </c>
      <c r="E1223" s="125" t="s">
        <v>472</v>
      </c>
      <c r="F1223" s="126">
        <v>41050.0</v>
      </c>
      <c r="G1223" s="127">
        <v>1.43E8</v>
      </c>
      <c r="H1223" s="126">
        <v>41063.0</v>
      </c>
      <c r="I1223" s="128">
        <v>8473.0</v>
      </c>
      <c r="J1223" s="128">
        <v>668.27</v>
      </c>
      <c r="K1223" s="128">
        <v>502.54</v>
      </c>
      <c r="L1223" s="128">
        <v>5662252.0</v>
      </c>
      <c r="M1223" s="128">
        <v>4258021.0</v>
      </c>
      <c r="N1223" s="128">
        <v>1404230.0</v>
      </c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</row>
    <row r="1224">
      <c r="A1224" s="125" t="s">
        <v>461</v>
      </c>
      <c r="B1224" s="125" t="s">
        <v>516</v>
      </c>
      <c r="C1224" s="125" t="s">
        <v>506</v>
      </c>
      <c r="D1224" s="125" t="s">
        <v>457</v>
      </c>
      <c r="E1224" s="125" t="s">
        <v>189</v>
      </c>
      <c r="F1224" s="126">
        <v>42001.0</v>
      </c>
      <c r="G1224" s="127">
        <v>7.43E8</v>
      </c>
      <c r="H1224" s="126">
        <v>42034.0</v>
      </c>
      <c r="I1224" s="128">
        <v>9020.0</v>
      </c>
      <c r="J1224" s="128">
        <v>154.06</v>
      </c>
      <c r="K1224" s="128">
        <v>90.93</v>
      </c>
      <c r="L1224" s="128">
        <v>1389621.0</v>
      </c>
      <c r="M1224" s="128">
        <v>820188.6</v>
      </c>
      <c r="N1224" s="128">
        <v>569432.6</v>
      </c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</row>
    <row r="1225">
      <c r="A1225" s="125" t="s">
        <v>451</v>
      </c>
      <c r="B1225" s="125" t="s">
        <v>550</v>
      </c>
      <c r="C1225" s="125" t="s">
        <v>506</v>
      </c>
      <c r="D1225" s="125" t="s">
        <v>457</v>
      </c>
      <c r="E1225" s="125" t="s">
        <v>464</v>
      </c>
      <c r="F1225" s="126">
        <v>42714.0</v>
      </c>
      <c r="G1225" s="127">
        <v>9.14E8</v>
      </c>
      <c r="H1225" s="126">
        <v>42749.0</v>
      </c>
      <c r="I1225" s="128">
        <v>4485.0</v>
      </c>
      <c r="J1225" s="128">
        <v>154.06</v>
      </c>
      <c r="K1225" s="128">
        <v>90.93</v>
      </c>
      <c r="L1225" s="128">
        <v>690959.1</v>
      </c>
      <c r="M1225" s="128">
        <v>407821.1</v>
      </c>
      <c r="N1225" s="128">
        <v>283138.1</v>
      </c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</row>
    <row r="1226">
      <c r="A1226" s="125" t="s">
        <v>458</v>
      </c>
      <c r="B1226" s="125" t="s">
        <v>545</v>
      </c>
      <c r="C1226" s="125" t="s">
        <v>456</v>
      </c>
      <c r="D1226" s="125" t="s">
        <v>457</v>
      </c>
      <c r="E1226" s="125" t="s">
        <v>284</v>
      </c>
      <c r="F1226" s="126">
        <v>40355.0</v>
      </c>
      <c r="G1226" s="127">
        <v>2.72E8</v>
      </c>
      <c r="H1226" s="126">
        <v>40362.0</v>
      </c>
      <c r="I1226" s="128">
        <v>6592.0</v>
      </c>
      <c r="J1226" s="128">
        <v>152.58</v>
      </c>
      <c r="K1226" s="128">
        <v>97.44</v>
      </c>
      <c r="L1226" s="128">
        <v>1005807.0</v>
      </c>
      <c r="M1226" s="128">
        <v>642324.5</v>
      </c>
      <c r="N1226" s="128">
        <v>363482.9</v>
      </c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</row>
    <row r="1227">
      <c r="A1227" s="125" t="s">
        <v>451</v>
      </c>
      <c r="B1227" s="125" t="s">
        <v>482</v>
      </c>
      <c r="C1227" s="125" t="s">
        <v>506</v>
      </c>
      <c r="D1227" s="125" t="s">
        <v>457</v>
      </c>
      <c r="E1227" s="125" t="s">
        <v>284</v>
      </c>
      <c r="F1227" s="126">
        <v>42159.0</v>
      </c>
      <c r="G1227" s="127">
        <v>3.07E8</v>
      </c>
      <c r="H1227" s="126">
        <v>42187.0</v>
      </c>
      <c r="I1227" s="128">
        <v>4095.0</v>
      </c>
      <c r="J1227" s="128">
        <v>154.06</v>
      </c>
      <c r="K1227" s="128">
        <v>90.93</v>
      </c>
      <c r="L1227" s="128">
        <v>630875.7</v>
      </c>
      <c r="M1227" s="128">
        <v>372358.4</v>
      </c>
      <c r="N1227" s="128">
        <v>258517.4</v>
      </c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</row>
    <row r="1228">
      <c r="A1228" s="125" t="s">
        <v>461</v>
      </c>
      <c r="B1228" s="125" t="s">
        <v>595</v>
      </c>
      <c r="C1228" s="125" t="s">
        <v>460</v>
      </c>
      <c r="D1228" s="125" t="s">
        <v>454</v>
      </c>
      <c r="E1228" s="125" t="s">
        <v>284</v>
      </c>
      <c r="F1228" s="126">
        <v>41919.0</v>
      </c>
      <c r="G1228" s="127">
        <v>3.25E8</v>
      </c>
      <c r="H1228" s="126">
        <v>41955.0</v>
      </c>
      <c r="I1228" s="128">
        <v>7780.0</v>
      </c>
      <c r="J1228" s="128">
        <v>47.45</v>
      </c>
      <c r="K1228" s="128">
        <v>31.79</v>
      </c>
      <c r="L1228" s="128">
        <v>369161.0</v>
      </c>
      <c r="M1228" s="128">
        <v>247326.2</v>
      </c>
      <c r="N1228" s="128">
        <v>121834.8</v>
      </c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</row>
    <row r="1229">
      <c r="A1229" s="125" t="s">
        <v>475</v>
      </c>
      <c r="B1229" s="125" t="s">
        <v>552</v>
      </c>
      <c r="C1229" s="125" t="s">
        <v>453</v>
      </c>
      <c r="D1229" s="125" t="s">
        <v>454</v>
      </c>
      <c r="E1229" s="125" t="s">
        <v>464</v>
      </c>
      <c r="F1229" s="126">
        <v>40734.0</v>
      </c>
      <c r="G1229" s="127">
        <v>6.06E8</v>
      </c>
      <c r="H1229" s="126">
        <v>40744.0</v>
      </c>
      <c r="I1229" s="128">
        <v>5465.0</v>
      </c>
      <c r="J1229" s="128">
        <v>255.28</v>
      </c>
      <c r="K1229" s="128">
        <v>159.42</v>
      </c>
      <c r="L1229" s="128">
        <v>1395105.0</v>
      </c>
      <c r="M1229" s="128">
        <v>871230.3</v>
      </c>
      <c r="N1229" s="128">
        <v>523874.9</v>
      </c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</row>
    <row r="1230">
      <c r="A1230" s="125" t="s">
        <v>458</v>
      </c>
      <c r="B1230" s="125" t="s">
        <v>590</v>
      </c>
      <c r="C1230" s="125" t="s">
        <v>506</v>
      </c>
      <c r="D1230" s="125" t="s">
        <v>454</v>
      </c>
      <c r="E1230" s="125" t="s">
        <v>189</v>
      </c>
      <c r="F1230" s="126">
        <v>42856.0</v>
      </c>
      <c r="G1230" s="127">
        <v>1.46E8</v>
      </c>
      <c r="H1230" s="126">
        <v>42899.0</v>
      </c>
      <c r="I1230" s="128">
        <v>6999.0</v>
      </c>
      <c r="J1230" s="128">
        <v>154.06</v>
      </c>
      <c r="K1230" s="128">
        <v>90.93</v>
      </c>
      <c r="L1230" s="128">
        <v>1078266.0</v>
      </c>
      <c r="M1230" s="128">
        <v>636419.1</v>
      </c>
      <c r="N1230" s="128">
        <v>441846.9</v>
      </c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</row>
    <row r="1231">
      <c r="A1231" s="125" t="s">
        <v>461</v>
      </c>
      <c r="B1231" s="125" t="s">
        <v>481</v>
      </c>
      <c r="C1231" s="125" t="s">
        <v>494</v>
      </c>
      <c r="D1231" s="125" t="s">
        <v>454</v>
      </c>
      <c r="E1231" s="125" t="s">
        <v>284</v>
      </c>
      <c r="F1231" s="126">
        <v>40481.0</v>
      </c>
      <c r="G1231" s="127">
        <v>7.16E8</v>
      </c>
      <c r="H1231" s="126">
        <v>40495.0</v>
      </c>
      <c r="I1231" s="128">
        <v>9260.0</v>
      </c>
      <c r="J1231" s="128">
        <v>9.33</v>
      </c>
      <c r="K1231" s="128">
        <v>6.92</v>
      </c>
      <c r="L1231" s="128">
        <v>86395.8</v>
      </c>
      <c r="M1231" s="128">
        <v>64079.2</v>
      </c>
      <c r="N1231" s="128">
        <v>22316.6</v>
      </c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</row>
    <row r="1232">
      <c r="A1232" s="125" t="s">
        <v>458</v>
      </c>
      <c r="B1232" s="125" t="s">
        <v>653</v>
      </c>
      <c r="C1232" s="125" t="s">
        <v>485</v>
      </c>
      <c r="D1232" s="125" t="s">
        <v>457</v>
      </c>
      <c r="E1232" s="125" t="s">
        <v>284</v>
      </c>
      <c r="F1232" s="126">
        <v>42788.0</v>
      </c>
      <c r="G1232" s="127">
        <v>1.04E8</v>
      </c>
      <c r="H1232" s="126">
        <v>42806.0</v>
      </c>
      <c r="I1232" s="128">
        <v>1162.0</v>
      </c>
      <c r="J1232" s="128">
        <v>421.89</v>
      </c>
      <c r="K1232" s="128">
        <v>364.69</v>
      </c>
      <c r="L1232" s="128">
        <v>490236.2</v>
      </c>
      <c r="M1232" s="128">
        <v>423769.8</v>
      </c>
      <c r="N1232" s="128">
        <v>66466.4</v>
      </c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</row>
    <row r="1233">
      <c r="A1233" s="125" t="s">
        <v>461</v>
      </c>
      <c r="B1233" s="125" t="s">
        <v>510</v>
      </c>
      <c r="C1233" s="125" t="s">
        <v>453</v>
      </c>
      <c r="D1233" s="125" t="s">
        <v>457</v>
      </c>
      <c r="E1233" s="125" t="s">
        <v>189</v>
      </c>
      <c r="F1233" s="126">
        <v>41368.0</v>
      </c>
      <c r="G1233" s="127">
        <v>6.7E8</v>
      </c>
      <c r="H1233" s="126">
        <v>41404.0</v>
      </c>
      <c r="I1233" s="128">
        <v>8645.0</v>
      </c>
      <c r="J1233" s="128">
        <v>255.28</v>
      </c>
      <c r="K1233" s="128">
        <v>159.42</v>
      </c>
      <c r="L1233" s="128">
        <v>2206896.0</v>
      </c>
      <c r="M1233" s="128">
        <v>1378186.0</v>
      </c>
      <c r="N1233" s="128">
        <v>828709.7</v>
      </c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</row>
    <row r="1234">
      <c r="A1234" s="125" t="s">
        <v>469</v>
      </c>
      <c r="B1234" s="125" t="s">
        <v>519</v>
      </c>
      <c r="C1234" s="125" t="s">
        <v>478</v>
      </c>
      <c r="D1234" s="125" t="s">
        <v>457</v>
      </c>
      <c r="E1234" s="125" t="s">
        <v>464</v>
      </c>
      <c r="F1234" s="126">
        <v>42030.0</v>
      </c>
      <c r="G1234" s="127">
        <v>7.93E8</v>
      </c>
      <c r="H1234" s="126">
        <v>42042.0</v>
      </c>
      <c r="I1234" s="128">
        <v>9683.0</v>
      </c>
      <c r="J1234" s="128">
        <v>651.21</v>
      </c>
      <c r="K1234" s="128">
        <v>524.96</v>
      </c>
      <c r="L1234" s="128">
        <v>6305666.0</v>
      </c>
      <c r="M1234" s="128">
        <v>5083188.0</v>
      </c>
      <c r="N1234" s="128">
        <v>1222479.0</v>
      </c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</row>
    <row r="1235">
      <c r="A1235" s="125" t="s">
        <v>461</v>
      </c>
      <c r="B1235" s="125" t="s">
        <v>510</v>
      </c>
      <c r="C1235" s="125" t="s">
        <v>514</v>
      </c>
      <c r="D1235" s="125" t="s">
        <v>457</v>
      </c>
      <c r="E1235" s="125" t="s">
        <v>189</v>
      </c>
      <c r="F1235" s="126">
        <v>41289.0</v>
      </c>
      <c r="G1235" s="127">
        <v>7.24E8</v>
      </c>
      <c r="H1235" s="126">
        <v>41320.0</v>
      </c>
      <c r="I1235" s="128">
        <v>9282.0</v>
      </c>
      <c r="J1235" s="128">
        <v>668.27</v>
      </c>
      <c r="K1235" s="128">
        <v>502.54</v>
      </c>
      <c r="L1235" s="128">
        <v>6202882.0</v>
      </c>
      <c r="M1235" s="128">
        <v>4664576.0</v>
      </c>
      <c r="N1235" s="128">
        <v>1538306.0</v>
      </c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</row>
    <row r="1236">
      <c r="A1236" s="125" t="s">
        <v>458</v>
      </c>
      <c r="B1236" s="125" t="s">
        <v>547</v>
      </c>
      <c r="C1236" s="125" t="s">
        <v>463</v>
      </c>
      <c r="D1236" s="125" t="s">
        <v>454</v>
      </c>
      <c r="E1236" s="125" t="s">
        <v>284</v>
      </c>
      <c r="F1236" s="126">
        <v>41584.0</v>
      </c>
      <c r="G1236" s="127">
        <v>3.32E8</v>
      </c>
      <c r="H1236" s="126">
        <v>41622.0</v>
      </c>
      <c r="I1236" s="128">
        <v>4477.0</v>
      </c>
      <c r="J1236" s="128">
        <v>205.7</v>
      </c>
      <c r="K1236" s="128">
        <v>117.11</v>
      </c>
      <c r="L1236" s="128">
        <v>920918.9</v>
      </c>
      <c r="M1236" s="128">
        <v>524301.5</v>
      </c>
      <c r="N1236" s="128">
        <v>396617.4</v>
      </c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</row>
    <row r="1237">
      <c r="A1237" s="125" t="s">
        <v>458</v>
      </c>
      <c r="B1237" s="125" t="s">
        <v>606</v>
      </c>
      <c r="C1237" s="125" t="s">
        <v>485</v>
      </c>
      <c r="D1237" s="125" t="s">
        <v>454</v>
      </c>
      <c r="E1237" s="125" t="s">
        <v>189</v>
      </c>
      <c r="F1237" s="126">
        <v>41593.0</v>
      </c>
      <c r="G1237" s="127">
        <v>4.59E8</v>
      </c>
      <c r="H1237" s="126">
        <v>41612.0</v>
      </c>
      <c r="I1237" s="128">
        <v>9336.0</v>
      </c>
      <c r="J1237" s="128">
        <v>421.89</v>
      </c>
      <c r="K1237" s="128">
        <v>364.69</v>
      </c>
      <c r="L1237" s="128">
        <v>3938765.0</v>
      </c>
      <c r="M1237" s="128">
        <v>3404746.0</v>
      </c>
      <c r="N1237" s="128">
        <v>534019.2</v>
      </c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</row>
    <row r="1238">
      <c r="A1238" s="125" t="s">
        <v>458</v>
      </c>
      <c r="B1238" s="125" t="s">
        <v>652</v>
      </c>
      <c r="C1238" s="125" t="s">
        <v>494</v>
      </c>
      <c r="D1238" s="125" t="s">
        <v>457</v>
      </c>
      <c r="E1238" s="125" t="s">
        <v>464</v>
      </c>
      <c r="F1238" s="126">
        <v>40383.0</v>
      </c>
      <c r="G1238" s="127">
        <v>6.66E8</v>
      </c>
      <c r="H1238" s="126">
        <v>40405.0</v>
      </c>
      <c r="I1238" s="128">
        <v>9958.0</v>
      </c>
      <c r="J1238" s="128">
        <v>9.33</v>
      </c>
      <c r="K1238" s="128">
        <v>6.92</v>
      </c>
      <c r="L1238" s="128">
        <v>92908.14</v>
      </c>
      <c r="M1238" s="128">
        <v>68909.36</v>
      </c>
      <c r="N1238" s="128">
        <v>23998.78</v>
      </c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</row>
    <row r="1239">
      <c r="A1239" s="125" t="s">
        <v>461</v>
      </c>
      <c r="B1239" s="125" t="s">
        <v>611</v>
      </c>
      <c r="C1239" s="125" t="s">
        <v>514</v>
      </c>
      <c r="D1239" s="125" t="s">
        <v>454</v>
      </c>
      <c r="E1239" s="125" t="s">
        <v>189</v>
      </c>
      <c r="F1239" s="126">
        <v>41557.0</v>
      </c>
      <c r="G1239" s="127">
        <v>5.83E8</v>
      </c>
      <c r="H1239" s="126">
        <v>41591.0</v>
      </c>
      <c r="I1239" s="128">
        <v>9472.0</v>
      </c>
      <c r="J1239" s="128">
        <v>668.27</v>
      </c>
      <c r="K1239" s="128">
        <v>502.54</v>
      </c>
      <c r="L1239" s="128">
        <v>6329853.0</v>
      </c>
      <c r="M1239" s="128">
        <v>4760059.0</v>
      </c>
      <c r="N1239" s="128">
        <v>1569795.0</v>
      </c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</row>
    <row r="1240">
      <c r="A1240" s="125" t="s">
        <v>475</v>
      </c>
      <c r="B1240" s="125" t="s">
        <v>635</v>
      </c>
      <c r="C1240" s="125" t="s">
        <v>463</v>
      </c>
      <c r="D1240" s="125" t="s">
        <v>457</v>
      </c>
      <c r="E1240" s="125" t="s">
        <v>189</v>
      </c>
      <c r="F1240" s="126">
        <v>40813.0</v>
      </c>
      <c r="G1240" s="127">
        <v>3.63E8</v>
      </c>
      <c r="H1240" s="126">
        <v>40816.0</v>
      </c>
      <c r="I1240" s="128">
        <v>3039.0</v>
      </c>
      <c r="J1240" s="128">
        <v>205.7</v>
      </c>
      <c r="K1240" s="128">
        <v>117.11</v>
      </c>
      <c r="L1240" s="128">
        <v>625122.3</v>
      </c>
      <c r="M1240" s="128">
        <v>355897.3</v>
      </c>
      <c r="N1240" s="128">
        <v>269225.0</v>
      </c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</row>
    <row r="1241">
      <c r="A1241" s="125" t="s">
        <v>451</v>
      </c>
      <c r="B1241" s="125" t="s">
        <v>543</v>
      </c>
      <c r="C1241" s="125" t="s">
        <v>456</v>
      </c>
      <c r="D1241" s="125" t="s">
        <v>454</v>
      </c>
      <c r="E1241" s="125" t="s">
        <v>284</v>
      </c>
      <c r="F1241" s="126">
        <v>41149.0</v>
      </c>
      <c r="G1241" s="127">
        <v>2.27E8</v>
      </c>
      <c r="H1241" s="126">
        <v>41168.0</v>
      </c>
      <c r="I1241" s="128">
        <v>2853.0</v>
      </c>
      <c r="J1241" s="128">
        <v>152.58</v>
      </c>
      <c r="K1241" s="128">
        <v>97.44</v>
      </c>
      <c r="L1241" s="128">
        <v>435310.7</v>
      </c>
      <c r="M1241" s="128">
        <v>277996.3</v>
      </c>
      <c r="N1241" s="128">
        <v>157314.4</v>
      </c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</row>
    <row r="1242">
      <c r="A1242" s="125" t="s">
        <v>458</v>
      </c>
      <c r="B1242" s="125" t="s">
        <v>540</v>
      </c>
      <c r="C1242" s="125" t="s">
        <v>453</v>
      </c>
      <c r="D1242" s="125" t="s">
        <v>454</v>
      </c>
      <c r="E1242" s="125" t="s">
        <v>464</v>
      </c>
      <c r="F1242" s="126">
        <v>40422.0</v>
      </c>
      <c r="G1242" s="127">
        <v>9.17E8</v>
      </c>
      <c r="H1242" s="126">
        <v>40454.0</v>
      </c>
      <c r="I1242" s="128">
        <v>3136.0</v>
      </c>
      <c r="J1242" s="128">
        <v>255.28</v>
      </c>
      <c r="K1242" s="128">
        <v>159.42</v>
      </c>
      <c r="L1242" s="128">
        <v>800558.1</v>
      </c>
      <c r="M1242" s="128">
        <v>499941.1</v>
      </c>
      <c r="N1242" s="128">
        <v>300617.0</v>
      </c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</row>
    <row r="1243">
      <c r="A1243" s="125" t="s">
        <v>458</v>
      </c>
      <c r="B1243" s="125" t="s">
        <v>643</v>
      </c>
      <c r="C1243" s="125" t="s">
        <v>468</v>
      </c>
      <c r="D1243" s="125" t="s">
        <v>457</v>
      </c>
      <c r="E1243" s="125" t="s">
        <v>464</v>
      </c>
      <c r="F1243" s="126">
        <v>41027.0</v>
      </c>
      <c r="G1243" s="127">
        <v>5.47E8</v>
      </c>
      <c r="H1243" s="126">
        <v>41059.0</v>
      </c>
      <c r="I1243" s="128">
        <v>5143.0</v>
      </c>
      <c r="J1243" s="128">
        <v>81.73</v>
      </c>
      <c r="K1243" s="128">
        <v>56.67</v>
      </c>
      <c r="L1243" s="128">
        <v>420337.4</v>
      </c>
      <c r="M1243" s="128">
        <v>291453.8</v>
      </c>
      <c r="N1243" s="128">
        <v>128883.6</v>
      </c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</row>
    <row r="1244">
      <c r="A1244" s="125" t="s">
        <v>475</v>
      </c>
      <c r="B1244" s="125" t="s">
        <v>619</v>
      </c>
      <c r="C1244" s="125" t="s">
        <v>514</v>
      </c>
      <c r="D1244" s="125" t="s">
        <v>457</v>
      </c>
      <c r="E1244" s="125" t="s">
        <v>189</v>
      </c>
      <c r="F1244" s="126">
        <v>40215.0</v>
      </c>
      <c r="G1244" s="127">
        <v>4.49E8</v>
      </c>
      <c r="H1244" s="126">
        <v>40237.0</v>
      </c>
      <c r="I1244" s="128">
        <v>2161.0</v>
      </c>
      <c r="J1244" s="128">
        <v>668.27</v>
      </c>
      <c r="K1244" s="128">
        <v>502.54</v>
      </c>
      <c r="L1244" s="128">
        <v>1444131.0</v>
      </c>
      <c r="M1244" s="128">
        <v>1085989.0</v>
      </c>
      <c r="N1244" s="128">
        <v>358142.5</v>
      </c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</row>
    <row r="1245">
      <c r="A1245" s="125" t="s">
        <v>475</v>
      </c>
      <c r="B1245" s="125" t="s">
        <v>591</v>
      </c>
      <c r="C1245" s="125" t="s">
        <v>480</v>
      </c>
      <c r="D1245" s="125" t="s">
        <v>454</v>
      </c>
      <c r="E1245" s="125" t="s">
        <v>472</v>
      </c>
      <c r="F1245" s="126">
        <v>42542.0</v>
      </c>
      <c r="G1245" s="127">
        <v>2.26E8</v>
      </c>
      <c r="H1245" s="126">
        <v>42585.0</v>
      </c>
      <c r="I1245" s="128">
        <v>4506.0</v>
      </c>
      <c r="J1245" s="128">
        <v>437.2</v>
      </c>
      <c r="K1245" s="128">
        <v>263.33</v>
      </c>
      <c r="L1245" s="128">
        <v>1970023.0</v>
      </c>
      <c r="M1245" s="128">
        <v>1186565.0</v>
      </c>
      <c r="N1245" s="128">
        <v>783458.2</v>
      </c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</row>
    <row r="1246">
      <c r="A1246" s="125" t="s">
        <v>461</v>
      </c>
      <c r="B1246" s="125" t="s">
        <v>522</v>
      </c>
      <c r="C1246" s="125" t="s">
        <v>460</v>
      </c>
      <c r="D1246" s="125" t="s">
        <v>454</v>
      </c>
      <c r="E1246" s="125" t="s">
        <v>464</v>
      </c>
      <c r="F1246" s="126">
        <v>41888.0</v>
      </c>
      <c r="G1246" s="127">
        <v>9.01E8</v>
      </c>
      <c r="H1246" s="126">
        <v>41937.0</v>
      </c>
      <c r="I1246" s="128">
        <v>4529.0</v>
      </c>
      <c r="J1246" s="128">
        <v>47.45</v>
      </c>
      <c r="K1246" s="128">
        <v>31.79</v>
      </c>
      <c r="L1246" s="128">
        <v>214901.1</v>
      </c>
      <c r="M1246" s="128">
        <v>143976.9</v>
      </c>
      <c r="N1246" s="128">
        <v>70924.14</v>
      </c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</row>
    <row r="1247">
      <c r="A1247" s="125" t="s">
        <v>458</v>
      </c>
      <c r="B1247" s="125" t="s">
        <v>509</v>
      </c>
      <c r="C1247" s="125" t="s">
        <v>514</v>
      </c>
      <c r="D1247" s="125" t="s">
        <v>457</v>
      </c>
      <c r="E1247" s="125" t="s">
        <v>464</v>
      </c>
      <c r="F1247" s="126">
        <v>42204.0</v>
      </c>
      <c r="G1247" s="127">
        <v>8.69E8</v>
      </c>
      <c r="H1247" s="126">
        <v>42237.0</v>
      </c>
      <c r="I1247" s="128">
        <v>1607.0</v>
      </c>
      <c r="J1247" s="128">
        <v>668.27</v>
      </c>
      <c r="K1247" s="128">
        <v>502.54</v>
      </c>
      <c r="L1247" s="128">
        <v>1073910.0</v>
      </c>
      <c r="M1247" s="128">
        <v>807581.8</v>
      </c>
      <c r="N1247" s="128">
        <v>266328.1</v>
      </c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</row>
    <row r="1248">
      <c r="A1248" s="125" t="s">
        <v>451</v>
      </c>
      <c r="B1248" s="125" t="s">
        <v>646</v>
      </c>
      <c r="C1248" s="125" t="s">
        <v>453</v>
      </c>
      <c r="D1248" s="125" t="s">
        <v>457</v>
      </c>
      <c r="E1248" s="125" t="s">
        <v>464</v>
      </c>
      <c r="F1248" s="126">
        <v>42297.0</v>
      </c>
      <c r="G1248" s="127">
        <v>8.44E8</v>
      </c>
      <c r="H1248" s="126">
        <v>42298.0</v>
      </c>
      <c r="I1248" s="128">
        <v>7153.0</v>
      </c>
      <c r="J1248" s="128">
        <v>255.28</v>
      </c>
      <c r="K1248" s="128">
        <v>159.42</v>
      </c>
      <c r="L1248" s="128">
        <v>1826018.0</v>
      </c>
      <c r="M1248" s="128">
        <v>1140331.0</v>
      </c>
      <c r="N1248" s="128">
        <v>685686.6</v>
      </c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</row>
    <row r="1249">
      <c r="A1249" s="125" t="s">
        <v>458</v>
      </c>
      <c r="B1249" s="125" t="s">
        <v>652</v>
      </c>
      <c r="C1249" s="125" t="s">
        <v>471</v>
      </c>
      <c r="D1249" s="125" t="s">
        <v>457</v>
      </c>
      <c r="E1249" s="125" t="s">
        <v>464</v>
      </c>
      <c r="F1249" s="126">
        <v>42747.0</v>
      </c>
      <c r="G1249" s="127">
        <v>7.09E8</v>
      </c>
      <c r="H1249" s="126">
        <v>42795.0</v>
      </c>
      <c r="I1249" s="128">
        <v>9610.0</v>
      </c>
      <c r="J1249" s="128">
        <v>109.28</v>
      </c>
      <c r="K1249" s="128">
        <v>35.84</v>
      </c>
      <c r="L1249" s="128">
        <v>1050181.0</v>
      </c>
      <c r="M1249" s="128">
        <v>344422.4</v>
      </c>
      <c r="N1249" s="128">
        <v>705758.4</v>
      </c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</row>
    <row r="1250">
      <c r="A1250" s="125" t="s">
        <v>461</v>
      </c>
      <c r="B1250" s="125" t="s">
        <v>638</v>
      </c>
      <c r="C1250" s="125" t="s">
        <v>494</v>
      </c>
      <c r="D1250" s="125" t="s">
        <v>454</v>
      </c>
      <c r="E1250" s="125" t="s">
        <v>189</v>
      </c>
      <c r="F1250" s="126">
        <v>41756.0</v>
      </c>
      <c r="G1250" s="127">
        <v>8.7E8</v>
      </c>
      <c r="H1250" s="126">
        <v>41787.0</v>
      </c>
      <c r="I1250" s="128">
        <v>9449.0</v>
      </c>
      <c r="J1250" s="128">
        <v>9.33</v>
      </c>
      <c r="K1250" s="128">
        <v>6.92</v>
      </c>
      <c r="L1250" s="128">
        <v>88159.17</v>
      </c>
      <c r="M1250" s="128">
        <v>65387.08</v>
      </c>
      <c r="N1250" s="128">
        <v>22772.09</v>
      </c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</row>
    <row r="1251">
      <c r="A1251" s="125" t="s">
        <v>475</v>
      </c>
      <c r="B1251" s="125" t="s">
        <v>636</v>
      </c>
      <c r="C1251" s="125" t="s">
        <v>453</v>
      </c>
      <c r="D1251" s="125" t="s">
        <v>454</v>
      </c>
      <c r="E1251" s="125" t="s">
        <v>189</v>
      </c>
      <c r="F1251" s="126">
        <v>42064.0</v>
      </c>
      <c r="G1251" s="127">
        <v>9.02E8</v>
      </c>
      <c r="H1251" s="126">
        <v>42109.0</v>
      </c>
      <c r="I1251" s="128">
        <v>4178.0</v>
      </c>
      <c r="J1251" s="128">
        <v>255.28</v>
      </c>
      <c r="K1251" s="128">
        <v>159.42</v>
      </c>
      <c r="L1251" s="128">
        <v>1066560.0</v>
      </c>
      <c r="M1251" s="128">
        <v>666056.8</v>
      </c>
      <c r="N1251" s="128">
        <v>400503.1</v>
      </c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</row>
    <row r="1252">
      <c r="A1252" s="125" t="s">
        <v>469</v>
      </c>
      <c r="B1252" s="125" t="s">
        <v>519</v>
      </c>
      <c r="C1252" s="125" t="s">
        <v>478</v>
      </c>
      <c r="D1252" s="125" t="s">
        <v>457</v>
      </c>
      <c r="E1252" s="125" t="s">
        <v>189</v>
      </c>
      <c r="F1252" s="126">
        <v>41269.0</v>
      </c>
      <c r="G1252" s="127">
        <v>9.0E8</v>
      </c>
      <c r="H1252" s="126">
        <v>41319.0</v>
      </c>
      <c r="I1252" s="128">
        <v>3330.0</v>
      </c>
      <c r="J1252" s="128">
        <v>651.21</v>
      </c>
      <c r="K1252" s="128">
        <v>524.96</v>
      </c>
      <c r="L1252" s="128">
        <v>2168529.0</v>
      </c>
      <c r="M1252" s="128">
        <v>1748117.0</v>
      </c>
      <c r="N1252" s="128">
        <v>420412.5</v>
      </c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</row>
    <row r="1253">
      <c r="A1253" s="125" t="s">
        <v>461</v>
      </c>
      <c r="B1253" s="125" t="s">
        <v>611</v>
      </c>
      <c r="C1253" s="125" t="s">
        <v>471</v>
      </c>
      <c r="D1253" s="125" t="s">
        <v>454</v>
      </c>
      <c r="E1253" s="125" t="s">
        <v>472</v>
      </c>
      <c r="F1253" s="126">
        <v>41505.0</v>
      </c>
      <c r="G1253" s="127">
        <v>1.3E8</v>
      </c>
      <c r="H1253" s="126">
        <v>41548.0</v>
      </c>
      <c r="I1253" s="128">
        <v>3475.0</v>
      </c>
      <c r="J1253" s="128">
        <v>109.28</v>
      </c>
      <c r="K1253" s="128">
        <v>35.84</v>
      </c>
      <c r="L1253" s="128">
        <v>379748.0</v>
      </c>
      <c r="M1253" s="128">
        <v>124544.0</v>
      </c>
      <c r="N1253" s="128">
        <v>255204.0</v>
      </c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</row>
    <row r="1254">
      <c r="A1254" s="125" t="s">
        <v>475</v>
      </c>
      <c r="B1254" s="125" t="s">
        <v>619</v>
      </c>
      <c r="C1254" s="125" t="s">
        <v>480</v>
      </c>
      <c r="D1254" s="125" t="s">
        <v>457</v>
      </c>
      <c r="E1254" s="125" t="s">
        <v>472</v>
      </c>
      <c r="F1254" s="126">
        <v>42532.0</v>
      </c>
      <c r="G1254" s="127">
        <v>1.78E8</v>
      </c>
      <c r="H1254" s="126">
        <v>42567.0</v>
      </c>
      <c r="I1254" s="128">
        <v>3210.0</v>
      </c>
      <c r="J1254" s="128">
        <v>437.2</v>
      </c>
      <c r="K1254" s="128">
        <v>263.33</v>
      </c>
      <c r="L1254" s="128">
        <v>1403412.0</v>
      </c>
      <c r="M1254" s="128">
        <v>845289.3</v>
      </c>
      <c r="N1254" s="128">
        <v>558122.7</v>
      </c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</row>
    <row r="1255">
      <c r="A1255" s="125" t="s">
        <v>475</v>
      </c>
      <c r="B1255" s="125" t="s">
        <v>561</v>
      </c>
      <c r="C1255" s="125" t="s">
        <v>460</v>
      </c>
      <c r="D1255" s="125" t="s">
        <v>454</v>
      </c>
      <c r="E1255" s="125" t="s">
        <v>464</v>
      </c>
      <c r="F1255" s="126">
        <v>40347.0</v>
      </c>
      <c r="G1255" s="127">
        <v>9.0E8</v>
      </c>
      <c r="H1255" s="126">
        <v>40372.0</v>
      </c>
      <c r="I1255" s="128">
        <v>8166.0</v>
      </c>
      <c r="J1255" s="128">
        <v>47.45</v>
      </c>
      <c r="K1255" s="128">
        <v>31.79</v>
      </c>
      <c r="L1255" s="128">
        <v>387476.7</v>
      </c>
      <c r="M1255" s="128">
        <v>259597.1</v>
      </c>
      <c r="N1255" s="128">
        <v>127879.6</v>
      </c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</row>
    <row r="1256">
      <c r="A1256" s="125" t="s">
        <v>461</v>
      </c>
      <c r="B1256" s="125" t="s">
        <v>578</v>
      </c>
      <c r="C1256" s="125" t="s">
        <v>453</v>
      </c>
      <c r="D1256" s="125" t="s">
        <v>457</v>
      </c>
      <c r="E1256" s="125" t="s">
        <v>284</v>
      </c>
      <c r="F1256" s="126">
        <v>42401.0</v>
      </c>
      <c r="G1256" s="127">
        <v>8.72E8</v>
      </c>
      <c r="H1256" s="126">
        <v>42426.0</v>
      </c>
      <c r="I1256" s="128">
        <v>6004.0</v>
      </c>
      <c r="J1256" s="128">
        <v>255.28</v>
      </c>
      <c r="K1256" s="128">
        <v>159.42</v>
      </c>
      <c r="L1256" s="128">
        <v>1532701.0</v>
      </c>
      <c r="M1256" s="128">
        <v>957157.7</v>
      </c>
      <c r="N1256" s="128">
        <v>575543.4</v>
      </c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</row>
    <row r="1257">
      <c r="A1257" s="125" t="s">
        <v>475</v>
      </c>
      <c r="B1257" s="125" t="s">
        <v>552</v>
      </c>
      <c r="C1257" s="125" t="s">
        <v>478</v>
      </c>
      <c r="D1257" s="125" t="s">
        <v>454</v>
      </c>
      <c r="E1257" s="125" t="s">
        <v>284</v>
      </c>
      <c r="F1257" s="126">
        <v>41323.0</v>
      </c>
      <c r="G1257" s="127">
        <v>5.42E8</v>
      </c>
      <c r="H1257" s="126">
        <v>41359.0</v>
      </c>
      <c r="I1257" s="128">
        <v>1415.0</v>
      </c>
      <c r="J1257" s="128">
        <v>651.21</v>
      </c>
      <c r="K1257" s="128">
        <v>524.96</v>
      </c>
      <c r="L1257" s="128">
        <v>921462.2</v>
      </c>
      <c r="M1257" s="128">
        <v>742818.4</v>
      </c>
      <c r="N1257" s="128">
        <v>178643.8</v>
      </c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</row>
    <row r="1258">
      <c r="A1258" s="125" t="s">
        <v>458</v>
      </c>
      <c r="B1258" s="125" t="s">
        <v>594</v>
      </c>
      <c r="C1258" s="125" t="s">
        <v>460</v>
      </c>
      <c r="D1258" s="125" t="s">
        <v>454</v>
      </c>
      <c r="E1258" s="125" t="s">
        <v>284</v>
      </c>
      <c r="F1258" s="126">
        <v>41191.0</v>
      </c>
      <c r="G1258" s="127">
        <v>8.77E8</v>
      </c>
      <c r="H1258" s="126">
        <v>41211.0</v>
      </c>
      <c r="I1258" s="128">
        <v>1124.0</v>
      </c>
      <c r="J1258" s="128">
        <v>47.45</v>
      </c>
      <c r="K1258" s="128">
        <v>31.79</v>
      </c>
      <c r="L1258" s="128">
        <v>53333.8</v>
      </c>
      <c r="M1258" s="128">
        <v>35731.96</v>
      </c>
      <c r="N1258" s="128">
        <v>17601.84</v>
      </c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</row>
    <row r="1259">
      <c r="A1259" s="125" t="s">
        <v>475</v>
      </c>
      <c r="B1259" s="125" t="s">
        <v>657</v>
      </c>
      <c r="C1259" s="125" t="s">
        <v>468</v>
      </c>
      <c r="D1259" s="125" t="s">
        <v>457</v>
      </c>
      <c r="E1259" s="125" t="s">
        <v>189</v>
      </c>
      <c r="F1259" s="126">
        <v>42326.0</v>
      </c>
      <c r="G1259" s="127">
        <v>2.14E8</v>
      </c>
      <c r="H1259" s="126">
        <v>42358.0</v>
      </c>
      <c r="I1259" s="128">
        <v>8886.0</v>
      </c>
      <c r="J1259" s="128">
        <v>81.73</v>
      </c>
      <c r="K1259" s="128">
        <v>56.67</v>
      </c>
      <c r="L1259" s="128">
        <v>726252.8</v>
      </c>
      <c r="M1259" s="128">
        <v>503569.6</v>
      </c>
      <c r="N1259" s="128">
        <v>222683.2</v>
      </c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</row>
    <row r="1260">
      <c r="A1260" s="125" t="s">
        <v>458</v>
      </c>
      <c r="B1260" s="125" t="s">
        <v>554</v>
      </c>
      <c r="C1260" s="125" t="s">
        <v>453</v>
      </c>
      <c r="D1260" s="125" t="s">
        <v>454</v>
      </c>
      <c r="E1260" s="125" t="s">
        <v>464</v>
      </c>
      <c r="F1260" s="126">
        <v>42671.0</v>
      </c>
      <c r="G1260" s="127">
        <v>1.12E8</v>
      </c>
      <c r="H1260" s="126">
        <v>42706.0</v>
      </c>
      <c r="I1260" s="128">
        <v>486.0</v>
      </c>
      <c r="J1260" s="128">
        <v>255.28</v>
      </c>
      <c r="K1260" s="128">
        <v>159.42</v>
      </c>
      <c r="L1260" s="128">
        <v>124066.1</v>
      </c>
      <c r="M1260" s="128">
        <v>77478.12</v>
      </c>
      <c r="N1260" s="128">
        <v>46587.96</v>
      </c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</row>
    <row r="1261">
      <c r="A1261" s="125" t="s">
        <v>458</v>
      </c>
      <c r="B1261" s="125" t="s">
        <v>633</v>
      </c>
      <c r="C1261" s="125" t="s">
        <v>460</v>
      </c>
      <c r="D1261" s="125" t="s">
        <v>454</v>
      </c>
      <c r="E1261" s="125" t="s">
        <v>189</v>
      </c>
      <c r="F1261" s="126">
        <v>41941.0</v>
      </c>
      <c r="G1261" s="127">
        <v>3.98E8</v>
      </c>
      <c r="H1261" s="126">
        <v>41974.0</v>
      </c>
      <c r="I1261" s="128">
        <v>8743.0</v>
      </c>
      <c r="J1261" s="128">
        <v>47.45</v>
      </c>
      <c r="K1261" s="128">
        <v>31.79</v>
      </c>
      <c r="L1261" s="128">
        <v>414855.4</v>
      </c>
      <c r="M1261" s="128">
        <v>277940.0</v>
      </c>
      <c r="N1261" s="128">
        <v>136915.4</v>
      </c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</row>
    <row r="1262">
      <c r="A1262" s="125" t="s">
        <v>458</v>
      </c>
      <c r="B1262" s="125" t="s">
        <v>487</v>
      </c>
      <c r="C1262" s="125" t="s">
        <v>471</v>
      </c>
      <c r="D1262" s="125" t="s">
        <v>457</v>
      </c>
      <c r="E1262" s="125" t="s">
        <v>284</v>
      </c>
      <c r="F1262" s="126">
        <v>40239.0</v>
      </c>
      <c r="G1262" s="127">
        <v>5.21E8</v>
      </c>
      <c r="H1262" s="126">
        <v>40283.0</v>
      </c>
      <c r="I1262" s="128">
        <v>8504.0</v>
      </c>
      <c r="J1262" s="128">
        <v>109.28</v>
      </c>
      <c r="K1262" s="128">
        <v>35.84</v>
      </c>
      <c r="L1262" s="128">
        <v>929317.1</v>
      </c>
      <c r="M1262" s="128">
        <v>304783.4</v>
      </c>
      <c r="N1262" s="128">
        <v>624533.8</v>
      </c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</row>
    <row r="1263">
      <c r="A1263" s="125" t="s">
        <v>461</v>
      </c>
      <c r="B1263" s="125" t="s">
        <v>629</v>
      </c>
      <c r="C1263" s="125" t="s">
        <v>494</v>
      </c>
      <c r="D1263" s="125" t="s">
        <v>457</v>
      </c>
      <c r="E1263" s="125" t="s">
        <v>284</v>
      </c>
      <c r="F1263" s="126">
        <v>42209.0</v>
      </c>
      <c r="G1263" s="127">
        <v>8.99E8</v>
      </c>
      <c r="H1263" s="126">
        <v>42231.0</v>
      </c>
      <c r="I1263" s="128">
        <v>1649.0</v>
      </c>
      <c r="J1263" s="128">
        <v>9.33</v>
      </c>
      <c r="K1263" s="128">
        <v>6.92</v>
      </c>
      <c r="L1263" s="128">
        <v>15385.17</v>
      </c>
      <c r="M1263" s="128">
        <v>11411.08</v>
      </c>
      <c r="N1263" s="128">
        <v>3974.09</v>
      </c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</row>
    <row r="1264">
      <c r="A1264" s="125" t="s">
        <v>458</v>
      </c>
      <c r="B1264" s="125" t="s">
        <v>641</v>
      </c>
      <c r="C1264" s="125" t="s">
        <v>514</v>
      </c>
      <c r="D1264" s="125" t="s">
        <v>454</v>
      </c>
      <c r="E1264" s="125" t="s">
        <v>284</v>
      </c>
      <c r="F1264" s="126">
        <v>41817.0</v>
      </c>
      <c r="G1264" s="127">
        <v>6.73E8</v>
      </c>
      <c r="H1264" s="126">
        <v>41854.0</v>
      </c>
      <c r="I1264" s="128">
        <v>2091.0</v>
      </c>
      <c r="J1264" s="128">
        <v>668.27</v>
      </c>
      <c r="K1264" s="128">
        <v>502.54</v>
      </c>
      <c r="L1264" s="128">
        <v>1397353.0</v>
      </c>
      <c r="M1264" s="128">
        <v>1050811.0</v>
      </c>
      <c r="N1264" s="128">
        <v>346541.4</v>
      </c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</row>
    <row r="1265">
      <c r="A1265" s="125" t="s">
        <v>466</v>
      </c>
      <c r="B1265" s="125" t="s">
        <v>535</v>
      </c>
      <c r="C1265" s="125" t="s">
        <v>485</v>
      </c>
      <c r="D1265" s="125" t="s">
        <v>457</v>
      </c>
      <c r="E1265" s="125" t="s">
        <v>464</v>
      </c>
      <c r="F1265" s="126">
        <v>40333.0</v>
      </c>
      <c r="G1265" s="127">
        <v>8.51E8</v>
      </c>
      <c r="H1265" s="126">
        <v>40377.0</v>
      </c>
      <c r="I1265" s="128">
        <v>770.0</v>
      </c>
      <c r="J1265" s="128">
        <v>421.89</v>
      </c>
      <c r="K1265" s="128">
        <v>364.69</v>
      </c>
      <c r="L1265" s="128">
        <v>324855.3</v>
      </c>
      <c r="M1265" s="128">
        <v>280811.3</v>
      </c>
      <c r="N1265" s="128">
        <v>44044.0</v>
      </c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</row>
    <row r="1266">
      <c r="A1266" s="125" t="s">
        <v>466</v>
      </c>
      <c r="B1266" s="125" t="s">
        <v>568</v>
      </c>
      <c r="C1266" s="125" t="s">
        <v>456</v>
      </c>
      <c r="D1266" s="125" t="s">
        <v>454</v>
      </c>
      <c r="E1266" s="125" t="s">
        <v>464</v>
      </c>
      <c r="F1266" s="126">
        <v>42184.0</v>
      </c>
      <c r="G1266" s="127">
        <v>2.62E8</v>
      </c>
      <c r="H1266" s="126">
        <v>42197.0</v>
      </c>
      <c r="I1266" s="128">
        <v>661.0</v>
      </c>
      <c r="J1266" s="128">
        <v>152.58</v>
      </c>
      <c r="K1266" s="128">
        <v>97.44</v>
      </c>
      <c r="L1266" s="128">
        <v>100855.4</v>
      </c>
      <c r="M1266" s="128">
        <v>64407.84</v>
      </c>
      <c r="N1266" s="128">
        <v>36447.54</v>
      </c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</row>
    <row r="1267">
      <c r="A1267" s="125" t="s">
        <v>466</v>
      </c>
      <c r="B1267" s="125" t="s">
        <v>637</v>
      </c>
      <c r="C1267" s="125" t="s">
        <v>463</v>
      </c>
      <c r="D1267" s="125" t="s">
        <v>457</v>
      </c>
      <c r="E1267" s="125" t="s">
        <v>472</v>
      </c>
      <c r="F1267" s="126">
        <v>42504.0</v>
      </c>
      <c r="G1267" s="127">
        <v>5.08E8</v>
      </c>
      <c r="H1267" s="126">
        <v>42508.0</v>
      </c>
      <c r="I1267" s="128">
        <v>1769.0</v>
      </c>
      <c r="J1267" s="128">
        <v>205.7</v>
      </c>
      <c r="K1267" s="128">
        <v>117.11</v>
      </c>
      <c r="L1267" s="128">
        <v>363883.3</v>
      </c>
      <c r="M1267" s="128">
        <v>207167.6</v>
      </c>
      <c r="N1267" s="128">
        <v>156715.7</v>
      </c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</row>
    <row r="1268">
      <c r="A1268" s="125" t="s">
        <v>451</v>
      </c>
      <c r="B1268" s="125" t="s">
        <v>543</v>
      </c>
      <c r="C1268" s="125" t="s">
        <v>494</v>
      </c>
      <c r="D1268" s="125" t="s">
        <v>457</v>
      </c>
      <c r="E1268" s="125" t="s">
        <v>284</v>
      </c>
      <c r="F1268" s="126">
        <v>42347.0</v>
      </c>
      <c r="G1268" s="127">
        <v>1.08E8</v>
      </c>
      <c r="H1268" s="126">
        <v>42386.0</v>
      </c>
      <c r="I1268" s="128">
        <v>6129.0</v>
      </c>
      <c r="J1268" s="128">
        <v>9.33</v>
      </c>
      <c r="K1268" s="128">
        <v>6.92</v>
      </c>
      <c r="L1268" s="128">
        <v>57183.57</v>
      </c>
      <c r="M1268" s="128">
        <v>42412.68</v>
      </c>
      <c r="N1268" s="128">
        <v>14770.89</v>
      </c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</row>
    <row r="1269">
      <c r="A1269" s="125" t="s">
        <v>458</v>
      </c>
      <c r="B1269" s="125" t="s">
        <v>582</v>
      </c>
      <c r="C1269" s="125" t="s">
        <v>478</v>
      </c>
      <c r="D1269" s="125" t="s">
        <v>454</v>
      </c>
      <c r="E1269" s="125" t="s">
        <v>464</v>
      </c>
      <c r="F1269" s="126">
        <v>41774.0</v>
      </c>
      <c r="G1269" s="127">
        <v>3.53E8</v>
      </c>
      <c r="H1269" s="126">
        <v>41799.0</v>
      </c>
      <c r="I1269" s="128">
        <v>2809.0</v>
      </c>
      <c r="J1269" s="128">
        <v>651.21</v>
      </c>
      <c r="K1269" s="128">
        <v>524.96</v>
      </c>
      <c r="L1269" s="128">
        <v>1829249.0</v>
      </c>
      <c r="M1269" s="128">
        <v>1474613.0</v>
      </c>
      <c r="N1269" s="128">
        <v>354636.3</v>
      </c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</row>
    <row r="1270">
      <c r="A1270" s="125" t="s">
        <v>458</v>
      </c>
      <c r="B1270" s="125" t="s">
        <v>631</v>
      </c>
      <c r="C1270" s="125" t="s">
        <v>478</v>
      </c>
      <c r="D1270" s="125" t="s">
        <v>457</v>
      </c>
      <c r="E1270" s="125" t="s">
        <v>464</v>
      </c>
      <c r="F1270" s="126">
        <v>41234.0</v>
      </c>
      <c r="G1270" s="127">
        <v>3.55E8</v>
      </c>
      <c r="H1270" s="126">
        <v>41272.0</v>
      </c>
      <c r="I1270" s="128">
        <v>2908.0</v>
      </c>
      <c r="J1270" s="128">
        <v>651.21</v>
      </c>
      <c r="K1270" s="128">
        <v>524.96</v>
      </c>
      <c r="L1270" s="128">
        <v>1893719.0</v>
      </c>
      <c r="M1270" s="128">
        <v>1526584.0</v>
      </c>
      <c r="N1270" s="128">
        <v>367135.0</v>
      </c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</row>
    <row r="1271">
      <c r="A1271" s="125" t="s">
        <v>488</v>
      </c>
      <c r="B1271" s="125" t="s">
        <v>645</v>
      </c>
      <c r="C1271" s="125" t="s">
        <v>506</v>
      </c>
      <c r="D1271" s="125" t="s">
        <v>457</v>
      </c>
      <c r="E1271" s="125" t="s">
        <v>284</v>
      </c>
      <c r="F1271" s="126">
        <v>40185.0</v>
      </c>
      <c r="G1271" s="127">
        <v>1.93E8</v>
      </c>
      <c r="H1271" s="126">
        <v>40222.0</v>
      </c>
      <c r="I1271" s="128">
        <v>4556.0</v>
      </c>
      <c r="J1271" s="128">
        <v>154.06</v>
      </c>
      <c r="K1271" s="128">
        <v>90.93</v>
      </c>
      <c r="L1271" s="128">
        <v>701897.4</v>
      </c>
      <c r="M1271" s="128">
        <v>414277.1</v>
      </c>
      <c r="N1271" s="128">
        <v>287620.3</v>
      </c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</row>
    <row r="1272">
      <c r="A1272" s="125" t="s">
        <v>461</v>
      </c>
      <c r="B1272" s="125" t="s">
        <v>564</v>
      </c>
      <c r="C1272" s="125" t="s">
        <v>460</v>
      </c>
      <c r="D1272" s="125" t="s">
        <v>454</v>
      </c>
      <c r="E1272" s="125" t="s">
        <v>189</v>
      </c>
      <c r="F1272" s="126">
        <v>41235.0</v>
      </c>
      <c r="G1272" s="127">
        <v>4.71E8</v>
      </c>
      <c r="H1272" s="126">
        <v>41284.0</v>
      </c>
      <c r="I1272" s="128">
        <v>7914.0</v>
      </c>
      <c r="J1272" s="128">
        <v>47.45</v>
      </c>
      <c r="K1272" s="128">
        <v>31.79</v>
      </c>
      <c r="L1272" s="128">
        <v>375519.3</v>
      </c>
      <c r="M1272" s="128">
        <v>251586.1</v>
      </c>
      <c r="N1272" s="128">
        <v>123933.2</v>
      </c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</row>
    <row r="1273">
      <c r="A1273" s="125" t="s">
        <v>488</v>
      </c>
      <c r="B1273" s="125" t="s">
        <v>654</v>
      </c>
      <c r="C1273" s="125" t="s">
        <v>456</v>
      </c>
      <c r="D1273" s="125" t="s">
        <v>457</v>
      </c>
      <c r="E1273" s="125" t="s">
        <v>189</v>
      </c>
      <c r="F1273" s="126">
        <v>40470.0</v>
      </c>
      <c r="G1273" s="127">
        <v>9.59E8</v>
      </c>
      <c r="H1273" s="126">
        <v>40505.0</v>
      </c>
      <c r="I1273" s="128">
        <v>173.0</v>
      </c>
      <c r="J1273" s="128">
        <v>152.58</v>
      </c>
      <c r="K1273" s="128">
        <v>97.44</v>
      </c>
      <c r="L1273" s="128">
        <v>26396.34</v>
      </c>
      <c r="M1273" s="128">
        <v>16857.12</v>
      </c>
      <c r="N1273" s="128">
        <v>9539.22</v>
      </c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</row>
    <row r="1274">
      <c r="A1274" s="125" t="s">
        <v>461</v>
      </c>
      <c r="B1274" s="125" t="s">
        <v>638</v>
      </c>
      <c r="C1274" s="125" t="s">
        <v>471</v>
      </c>
      <c r="D1274" s="125" t="s">
        <v>454</v>
      </c>
      <c r="E1274" s="125" t="s">
        <v>284</v>
      </c>
      <c r="F1274" s="126">
        <v>42662.0</v>
      </c>
      <c r="G1274" s="127">
        <v>1.51E8</v>
      </c>
      <c r="H1274" s="126">
        <v>42685.0</v>
      </c>
      <c r="I1274" s="128">
        <v>559.0</v>
      </c>
      <c r="J1274" s="128">
        <v>109.28</v>
      </c>
      <c r="K1274" s="128">
        <v>35.84</v>
      </c>
      <c r="L1274" s="128">
        <v>61087.52</v>
      </c>
      <c r="M1274" s="128">
        <v>20034.56</v>
      </c>
      <c r="N1274" s="128">
        <v>41052.96</v>
      </c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</row>
    <row r="1275">
      <c r="A1275" s="125" t="s">
        <v>488</v>
      </c>
      <c r="B1275" s="125" t="s">
        <v>489</v>
      </c>
      <c r="C1275" s="125" t="s">
        <v>494</v>
      </c>
      <c r="D1275" s="125" t="s">
        <v>454</v>
      </c>
      <c r="E1275" s="125" t="s">
        <v>464</v>
      </c>
      <c r="F1275" s="126">
        <v>40524.0</v>
      </c>
      <c r="G1275" s="127">
        <v>2.08E8</v>
      </c>
      <c r="H1275" s="126">
        <v>40551.0</v>
      </c>
      <c r="I1275" s="128">
        <v>5325.0</v>
      </c>
      <c r="J1275" s="128">
        <v>9.33</v>
      </c>
      <c r="K1275" s="128">
        <v>6.92</v>
      </c>
      <c r="L1275" s="128">
        <v>49682.25</v>
      </c>
      <c r="M1275" s="128">
        <v>36849.0</v>
      </c>
      <c r="N1275" s="128">
        <v>12833.25</v>
      </c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</row>
    <row r="1276">
      <c r="A1276" s="125" t="s">
        <v>458</v>
      </c>
      <c r="B1276" s="125" t="s">
        <v>509</v>
      </c>
      <c r="C1276" s="125" t="s">
        <v>456</v>
      </c>
      <c r="D1276" s="125" t="s">
        <v>454</v>
      </c>
      <c r="E1276" s="125" t="s">
        <v>464</v>
      </c>
      <c r="F1276" s="126">
        <v>40988.0</v>
      </c>
      <c r="G1276" s="127">
        <v>2.14E8</v>
      </c>
      <c r="H1276" s="126">
        <v>41012.0</v>
      </c>
      <c r="I1276" s="128">
        <v>2758.0</v>
      </c>
      <c r="J1276" s="128">
        <v>152.58</v>
      </c>
      <c r="K1276" s="128">
        <v>97.44</v>
      </c>
      <c r="L1276" s="128">
        <v>420815.6</v>
      </c>
      <c r="M1276" s="128">
        <v>268739.5</v>
      </c>
      <c r="N1276" s="128">
        <v>152076.1</v>
      </c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</row>
    <row r="1277">
      <c r="A1277" s="125" t="s">
        <v>461</v>
      </c>
      <c r="B1277" s="125" t="s">
        <v>644</v>
      </c>
      <c r="C1277" s="125" t="s">
        <v>453</v>
      </c>
      <c r="D1277" s="125" t="s">
        <v>454</v>
      </c>
      <c r="E1277" s="125" t="s">
        <v>464</v>
      </c>
      <c r="F1277" s="126">
        <v>41696.0</v>
      </c>
      <c r="G1277" s="127">
        <v>2.22E8</v>
      </c>
      <c r="H1277" s="126">
        <v>41728.0</v>
      </c>
      <c r="I1277" s="128">
        <v>8175.0</v>
      </c>
      <c r="J1277" s="128">
        <v>255.28</v>
      </c>
      <c r="K1277" s="128">
        <v>159.42</v>
      </c>
      <c r="L1277" s="128">
        <v>2086914.0</v>
      </c>
      <c r="M1277" s="128">
        <v>1303259.0</v>
      </c>
      <c r="N1277" s="128">
        <v>783655.5</v>
      </c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</row>
    <row r="1278">
      <c r="A1278" s="125" t="s">
        <v>469</v>
      </c>
      <c r="B1278" s="125" t="s">
        <v>589</v>
      </c>
      <c r="C1278" s="125" t="s">
        <v>460</v>
      </c>
      <c r="D1278" s="125" t="s">
        <v>454</v>
      </c>
      <c r="E1278" s="125" t="s">
        <v>472</v>
      </c>
      <c r="F1278" s="126">
        <v>40676.0</v>
      </c>
      <c r="G1278" s="127">
        <v>8.05E8</v>
      </c>
      <c r="H1278" s="126">
        <v>40704.0</v>
      </c>
      <c r="I1278" s="128">
        <v>8924.0</v>
      </c>
      <c r="J1278" s="128">
        <v>47.45</v>
      </c>
      <c r="K1278" s="128">
        <v>31.79</v>
      </c>
      <c r="L1278" s="128">
        <v>423443.8</v>
      </c>
      <c r="M1278" s="128">
        <v>283694.0</v>
      </c>
      <c r="N1278" s="128">
        <v>139749.8</v>
      </c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</row>
    <row r="1279">
      <c r="A1279" s="125" t="s">
        <v>451</v>
      </c>
      <c r="B1279" s="125" t="s">
        <v>497</v>
      </c>
      <c r="C1279" s="125" t="s">
        <v>463</v>
      </c>
      <c r="D1279" s="125" t="s">
        <v>454</v>
      </c>
      <c r="E1279" s="125" t="s">
        <v>472</v>
      </c>
      <c r="F1279" s="126">
        <v>40496.0</v>
      </c>
      <c r="G1279" s="127">
        <v>8.06E8</v>
      </c>
      <c r="H1279" s="126">
        <v>40528.0</v>
      </c>
      <c r="I1279" s="128">
        <v>9387.0</v>
      </c>
      <c r="J1279" s="128">
        <v>205.7</v>
      </c>
      <c r="K1279" s="128">
        <v>117.11</v>
      </c>
      <c r="L1279" s="128">
        <v>1930906.0</v>
      </c>
      <c r="M1279" s="128">
        <v>1099312.0</v>
      </c>
      <c r="N1279" s="128">
        <v>831594.3</v>
      </c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</row>
    <row r="1280">
      <c r="A1280" s="125" t="s">
        <v>466</v>
      </c>
      <c r="B1280" s="125" t="s">
        <v>492</v>
      </c>
      <c r="C1280" s="125" t="s">
        <v>506</v>
      </c>
      <c r="D1280" s="125" t="s">
        <v>457</v>
      </c>
      <c r="E1280" s="125" t="s">
        <v>189</v>
      </c>
      <c r="F1280" s="126">
        <v>41347.0</v>
      </c>
      <c r="G1280" s="127">
        <v>4.91E8</v>
      </c>
      <c r="H1280" s="126">
        <v>41370.0</v>
      </c>
      <c r="I1280" s="128">
        <v>5973.0</v>
      </c>
      <c r="J1280" s="128">
        <v>154.06</v>
      </c>
      <c r="K1280" s="128">
        <v>90.93</v>
      </c>
      <c r="L1280" s="128">
        <v>920200.4</v>
      </c>
      <c r="M1280" s="128">
        <v>543124.9</v>
      </c>
      <c r="N1280" s="128">
        <v>377075.5</v>
      </c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</row>
    <row r="1281">
      <c r="A1281" s="125" t="s">
        <v>466</v>
      </c>
      <c r="B1281" s="125" t="s">
        <v>467</v>
      </c>
      <c r="C1281" s="125" t="s">
        <v>480</v>
      </c>
      <c r="D1281" s="125" t="s">
        <v>454</v>
      </c>
      <c r="E1281" s="125" t="s">
        <v>284</v>
      </c>
      <c r="F1281" s="126">
        <v>42425.0</v>
      </c>
      <c r="G1281" s="127">
        <v>1.94E8</v>
      </c>
      <c r="H1281" s="126">
        <v>42447.0</v>
      </c>
      <c r="I1281" s="128">
        <v>2126.0</v>
      </c>
      <c r="J1281" s="128">
        <v>437.2</v>
      </c>
      <c r="K1281" s="128">
        <v>263.33</v>
      </c>
      <c r="L1281" s="128">
        <v>929487.2</v>
      </c>
      <c r="M1281" s="128">
        <v>559839.6</v>
      </c>
      <c r="N1281" s="128">
        <v>369647.6</v>
      </c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</row>
    <row r="1282">
      <c r="A1282" s="125" t="s">
        <v>466</v>
      </c>
      <c r="B1282" s="125" t="s">
        <v>524</v>
      </c>
      <c r="C1282" s="125" t="s">
        <v>506</v>
      </c>
      <c r="D1282" s="125" t="s">
        <v>457</v>
      </c>
      <c r="E1282" s="125" t="s">
        <v>464</v>
      </c>
      <c r="F1282" s="126">
        <v>40549.0</v>
      </c>
      <c r="G1282" s="127">
        <v>7.69E8</v>
      </c>
      <c r="H1282" s="126">
        <v>40560.0</v>
      </c>
      <c r="I1282" s="128">
        <v>3318.0</v>
      </c>
      <c r="J1282" s="128">
        <v>154.06</v>
      </c>
      <c r="K1282" s="128">
        <v>90.93</v>
      </c>
      <c r="L1282" s="128">
        <v>511171.1</v>
      </c>
      <c r="M1282" s="128">
        <v>301705.7</v>
      </c>
      <c r="N1282" s="128">
        <v>209465.3</v>
      </c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</row>
    <row r="1283">
      <c r="A1283" s="125" t="s">
        <v>461</v>
      </c>
      <c r="B1283" s="125" t="s">
        <v>511</v>
      </c>
      <c r="C1283" s="125" t="s">
        <v>460</v>
      </c>
      <c r="D1283" s="125" t="s">
        <v>454</v>
      </c>
      <c r="E1283" s="125" t="s">
        <v>189</v>
      </c>
      <c r="F1283" s="126">
        <v>42609.0</v>
      </c>
      <c r="G1283" s="127">
        <v>4.41E8</v>
      </c>
      <c r="H1283" s="126">
        <v>42619.0</v>
      </c>
      <c r="I1283" s="128">
        <v>2055.0</v>
      </c>
      <c r="J1283" s="128">
        <v>47.45</v>
      </c>
      <c r="K1283" s="128">
        <v>31.79</v>
      </c>
      <c r="L1283" s="128">
        <v>97509.75</v>
      </c>
      <c r="M1283" s="128">
        <v>65328.45</v>
      </c>
      <c r="N1283" s="128">
        <v>32181.3</v>
      </c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</row>
    <row r="1284">
      <c r="A1284" s="125" t="s">
        <v>458</v>
      </c>
      <c r="B1284" s="125" t="s">
        <v>545</v>
      </c>
      <c r="C1284" s="125" t="s">
        <v>514</v>
      </c>
      <c r="D1284" s="125" t="s">
        <v>457</v>
      </c>
      <c r="E1284" s="125" t="s">
        <v>472</v>
      </c>
      <c r="F1284" s="126">
        <v>42053.0</v>
      </c>
      <c r="G1284" s="127">
        <v>6.55E8</v>
      </c>
      <c r="H1284" s="126">
        <v>42057.0</v>
      </c>
      <c r="I1284" s="128">
        <v>2873.0</v>
      </c>
      <c r="J1284" s="128">
        <v>668.27</v>
      </c>
      <c r="K1284" s="128">
        <v>502.54</v>
      </c>
      <c r="L1284" s="128">
        <v>1919940.0</v>
      </c>
      <c r="M1284" s="128">
        <v>1443797.0</v>
      </c>
      <c r="N1284" s="128">
        <v>476142.3</v>
      </c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</row>
    <row r="1285">
      <c r="A1285" s="125" t="s">
        <v>451</v>
      </c>
      <c r="B1285" s="125" t="s">
        <v>546</v>
      </c>
      <c r="C1285" s="125" t="s">
        <v>485</v>
      </c>
      <c r="D1285" s="125" t="s">
        <v>454</v>
      </c>
      <c r="E1285" s="125" t="s">
        <v>472</v>
      </c>
      <c r="F1285" s="126">
        <v>42399.0</v>
      </c>
      <c r="G1285" s="127">
        <v>2.28E8</v>
      </c>
      <c r="H1285" s="126">
        <v>42414.0</v>
      </c>
      <c r="I1285" s="128">
        <v>7339.0</v>
      </c>
      <c r="J1285" s="128">
        <v>421.89</v>
      </c>
      <c r="K1285" s="128">
        <v>364.69</v>
      </c>
      <c r="L1285" s="128">
        <v>3096251.0</v>
      </c>
      <c r="M1285" s="128">
        <v>2676460.0</v>
      </c>
      <c r="N1285" s="128">
        <v>419790.8</v>
      </c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</row>
    <row r="1286">
      <c r="A1286" s="125" t="s">
        <v>458</v>
      </c>
      <c r="B1286" s="125" t="s">
        <v>551</v>
      </c>
      <c r="C1286" s="125" t="s">
        <v>453</v>
      </c>
      <c r="D1286" s="125" t="s">
        <v>454</v>
      </c>
      <c r="E1286" s="125" t="s">
        <v>472</v>
      </c>
      <c r="F1286" s="126">
        <v>42022.0</v>
      </c>
      <c r="G1286" s="127">
        <v>2.96E8</v>
      </c>
      <c r="H1286" s="126">
        <v>42051.0</v>
      </c>
      <c r="I1286" s="128">
        <v>9052.0</v>
      </c>
      <c r="J1286" s="128">
        <v>255.28</v>
      </c>
      <c r="K1286" s="128">
        <v>159.42</v>
      </c>
      <c r="L1286" s="128">
        <v>2310795.0</v>
      </c>
      <c r="M1286" s="128">
        <v>1443070.0</v>
      </c>
      <c r="N1286" s="128">
        <v>867724.7</v>
      </c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</row>
    <row r="1287">
      <c r="A1287" s="125" t="s">
        <v>458</v>
      </c>
      <c r="B1287" s="125" t="s">
        <v>582</v>
      </c>
      <c r="C1287" s="125" t="s">
        <v>453</v>
      </c>
      <c r="D1287" s="125" t="s">
        <v>457</v>
      </c>
      <c r="E1287" s="125" t="s">
        <v>464</v>
      </c>
      <c r="F1287" s="126">
        <v>41070.0</v>
      </c>
      <c r="G1287" s="127">
        <v>2.64E8</v>
      </c>
      <c r="H1287" s="126">
        <v>41089.0</v>
      </c>
      <c r="I1287" s="128">
        <v>8641.0</v>
      </c>
      <c r="J1287" s="128">
        <v>255.28</v>
      </c>
      <c r="K1287" s="128">
        <v>159.42</v>
      </c>
      <c r="L1287" s="128">
        <v>2205874.0</v>
      </c>
      <c r="M1287" s="128">
        <v>1377548.0</v>
      </c>
      <c r="N1287" s="128">
        <v>828326.3</v>
      </c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</row>
    <row r="1288">
      <c r="A1288" s="125" t="s">
        <v>475</v>
      </c>
      <c r="B1288" s="125" t="s">
        <v>604</v>
      </c>
      <c r="C1288" s="125" t="s">
        <v>460</v>
      </c>
      <c r="D1288" s="125" t="s">
        <v>457</v>
      </c>
      <c r="E1288" s="125" t="s">
        <v>189</v>
      </c>
      <c r="F1288" s="126">
        <v>42845.0</v>
      </c>
      <c r="G1288" s="127">
        <v>9.59E8</v>
      </c>
      <c r="H1288" s="126">
        <v>42869.0</v>
      </c>
      <c r="I1288" s="128">
        <v>8769.0</v>
      </c>
      <c r="J1288" s="128">
        <v>47.45</v>
      </c>
      <c r="K1288" s="128">
        <v>31.79</v>
      </c>
      <c r="L1288" s="128">
        <v>416089.1</v>
      </c>
      <c r="M1288" s="128">
        <v>278766.5</v>
      </c>
      <c r="N1288" s="128">
        <v>137322.5</v>
      </c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</row>
    <row r="1289">
      <c r="A1289" s="125" t="s">
        <v>458</v>
      </c>
      <c r="B1289" s="125" t="s">
        <v>533</v>
      </c>
      <c r="C1289" s="125" t="s">
        <v>494</v>
      </c>
      <c r="D1289" s="125" t="s">
        <v>457</v>
      </c>
      <c r="E1289" s="125" t="s">
        <v>472</v>
      </c>
      <c r="F1289" s="126">
        <v>41357.0</v>
      </c>
      <c r="G1289" s="127">
        <v>5.79E8</v>
      </c>
      <c r="H1289" s="126">
        <v>41375.0</v>
      </c>
      <c r="I1289" s="128">
        <v>9127.0</v>
      </c>
      <c r="J1289" s="128">
        <v>9.33</v>
      </c>
      <c r="K1289" s="128">
        <v>6.92</v>
      </c>
      <c r="L1289" s="128">
        <v>85154.91</v>
      </c>
      <c r="M1289" s="128">
        <v>63158.84</v>
      </c>
      <c r="N1289" s="128">
        <v>21996.07</v>
      </c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</row>
    <row r="1290">
      <c r="A1290" s="125" t="s">
        <v>475</v>
      </c>
      <c r="B1290" s="125" t="s">
        <v>628</v>
      </c>
      <c r="C1290" s="125" t="s">
        <v>506</v>
      </c>
      <c r="D1290" s="125" t="s">
        <v>454</v>
      </c>
      <c r="E1290" s="125" t="s">
        <v>472</v>
      </c>
      <c r="F1290" s="126">
        <v>42070.0</v>
      </c>
      <c r="G1290" s="127">
        <v>5.4E8</v>
      </c>
      <c r="H1290" s="126">
        <v>42110.0</v>
      </c>
      <c r="I1290" s="128">
        <v>1438.0</v>
      </c>
      <c r="J1290" s="128">
        <v>154.06</v>
      </c>
      <c r="K1290" s="128">
        <v>90.93</v>
      </c>
      <c r="L1290" s="128">
        <v>221538.3</v>
      </c>
      <c r="M1290" s="128">
        <v>130757.3</v>
      </c>
      <c r="N1290" s="128">
        <v>90780.94</v>
      </c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</row>
    <row r="1291">
      <c r="A1291" s="125" t="s">
        <v>469</v>
      </c>
      <c r="B1291" s="125" t="s">
        <v>520</v>
      </c>
      <c r="C1291" s="125" t="s">
        <v>514</v>
      </c>
      <c r="D1291" s="125" t="s">
        <v>457</v>
      </c>
      <c r="E1291" s="125" t="s">
        <v>464</v>
      </c>
      <c r="F1291" s="126">
        <v>41153.0</v>
      </c>
      <c r="G1291" s="127">
        <v>5.29E8</v>
      </c>
      <c r="H1291" s="126">
        <v>41170.0</v>
      </c>
      <c r="I1291" s="128">
        <v>4459.0</v>
      </c>
      <c r="J1291" s="128">
        <v>668.27</v>
      </c>
      <c r="K1291" s="128">
        <v>502.54</v>
      </c>
      <c r="L1291" s="128">
        <v>2979816.0</v>
      </c>
      <c r="M1291" s="128">
        <v>2240826.0</v>
      </c>
      <c r="N1291" s="128">
        <v>738990.1</v>
      </c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</row>
    <row r="1292">
      <c r="A1292" s="125" t="s">
        <v>475</v>
      </c>
      <c r="B1292" s="125" t="s">
        <v>601</v>
      </c>
      <c r="C1292" s="125" t="s">
        <v>506</v>
      </c>
      <c r="D1292" s="125" t="s">
        <v>454</v>
      </c>
      <c r="E1292" s="125" t="s">
        <v>464</v>
      </c>
      <c r="F1292" s="126">
        <v>40700.0</v>
      </c>
      <c r="G1292" s="127">
        <v>7.56E8</v>
      </c>
      <c r="H1292" s="126">
        <v>40741.0</v>
      </c>
      <c r="I1292" s="128">
        <v>8974.0</v>
      </c>
      <c r="J1292" s="128">
        <v>154.06</v>
      </c>
      <c r="K1292" s="128">
        <v>90.93</v>
      </c>
      <c r="L1292" s="128">
        <v>1382534.0</v>
      </c>
      <c r="M1292" s="128">
        <v>816005.8</v>
      </c>
      <c r="N1292" s="128">
        <v>566528.6</v>
      </c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</row>
    <row r="1293">
      <c r="A1293" s="125" t="s">
        <v>458</v>
      </c>
      <c r="B1293" s="125" t="s">
        <v>573</v>
      </c>
      <c r="C1293" s="125" t="s">
        <v>468</v>
      </c>
      <c r="D1293" s="125" t="s">
        <v>457</v>
      </c>
      <c r="E1293" s="125" t="s">
        <v>284</v>
      </c>
      <c r="F1293" s="126">
        <v>41808.0</v>
      </c>
      <c r="G1293" s="127">
        <v>5.98E8</v>
      </c>
      <c r="H1293" s="126">
        <v>41846.0</v>
      </c>
      <c r="I1293" s="128">
        <v>2802.0</v>
      </c>
      <c r="J1293" s="128">
        <v>81.73</v>
      </c>
      <c r="K1293" s="128">
        <v>56.67</v>
      </c>
      <c r="L1293" s="128">
        <v>229007.5</v>
      </c>
      <c r="M1293" s="128">
        <v>158789.3</v>
      </c>
      <c r="N1293" s="128">
        <v>70218.12</v>
      </c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</row>
    <row r="1294">
      <c r="A1294" s="125" t="s">
        <v>469</v>
      </c>
      <c r="B1294" s="125" t="s">
        <v>569</v>
      </c>
      <c r="C1294" s="125" t="s">
        <v>478</v>
      </c>
      <c r="D1294" s="125" t="s">
        <v>457</v>
      </c>
      <c r="E1294" s="125" t="s">
        <v>189</v>
      </c>
      <c r="F1294" s="126">
        <v>40432.0</v>
      </c>
      <c r="G1294" s="127">
        <v>8.53E8</v>
      </c>
      <c r="H1294" s="126">
        <v>40433.0</v>
      </c>
      <c r="I1294" s="128">
        <v>5790.0</v>
      </c>
      <c r="J1294" s="128">
        <v>651.21</v>
      </c>
      <c r="K1294" s="128">
        <v>524.96</v>
      </c>
      <c r="L1294" s="128">
        <v>3770506.0</v>
      </c>
      <c r="M1294" s="128">
        <v>3039518.0</v>
      </c>
      <c r="N1294" s="128">
        <v>730987.5</v>
      </c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</row>
    <row r="1295">
      <c r="A1295" s="125" t="s">
        <v>466</v>
      </c>
      <c r="B1295" s="125" t="s">
        <v>479</v>
      </c>
      <c r="C1295" s="125" t="s">
        <v>453</v>
      </c>
      <c r="D1295" s="125" t="s">
        <v>457</v>
      </c>
      <c r="E1295" s="125" t="s">
        <v>464</v>
      </c>
      <c r="F1295" s="126">
        <v>42598.0</v>
      </c>
      <c r="G1295" s="127">
        <v>5.9E8</v>
      </c>
      <c r="H1295" s="126">
        <v>42610.0</v>
      </c>
      <c r="I1295" s="128">
        <v>4820.0</v>
      </c>
      <c r="J1295" s="128">
        <v>255.28</v>
      </c>
      <c r="K1295" s="128">
        <v>159.42</v>
      </c>
      <c r="L1295" s="128">
        <v>1230450.0</v>
      </c>
      <c r="M1295" s="128">
        <v>768404.4</v>
      </c>
      <c r="N1295" s="128">
        <v>462045.2</v>
      </c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</row>
    <row r="1296">
      <c r="A1296" s="125" t="s">
        <v>458</v>
      </c>
      <c r="B1296" s="125" t="s">
        <v>652</v>
      </c>
      <c r="C1296" s="125" t="s">
        <v>480</v>
      </c>
      <c r="D1296" s="125" t="s">
        <v>457</v>
      </c>
      <c r="E1296" s="125" t="s">
        <v>189</v>
      </c>
      <c r="F1296" s="126">
        <v>40889.0</v>
      </c>
      <c r="G1296" s="127">
        <v>2.99E8</v>
      </c>
      <c r="H1296" s="126">
        <v>40901.0</v>
      </c>
      <c r="I1296" s="128">
        <v>8801.0</v>
      </c>
      <c r="J1296" s="128">
        <v>437.2</v>
      </c>
      <c r="K1296" s="128">
        <v>263.33</v>
      </c>
      <c r="L1296" s="128">
        <v>3847797.0</v>
      </c>
      <c r="M1296" s="128">
        <v>2317567.0</v>
      </c>
      <c r="N1296" s="128">
        <v>1530230.0</v>
      </c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</row>
    <row r="1297">
      <c r="A1297" s="125" t="s">
        <v>451</v>
      </c>
      <c r="B1297" s="125" t="s">
        <v>596</v>
      </c>
      <c r="C1297" s="125" t="s">
        <v>471</v>
      </c>
      <c r="D1297" s="125" t="s">
        <v>454</v>
      </c>
      <c r="E1297" s="125" t="s">
        <v>284</v>
      </c>
      <c r="F1297" s="126">
        <v>40725.0</v>
      </c>
      <c r="G1297" s="127">
        <v>5.39E8</v>
      </c>
      <c r="H1297" s="126">
        <v>40759.0</v>
      </c>
      <c r="I1297" s="128">
        <v>3677.0</v>
      </c>
      <c r="J1297" s="128">
        <v>109.28</v>
      </c>
      <c r="K1297" s="128">
        <v>35.84</v>
      </c>
      <c r="L1297" s="128">
        <v>401822.6</v>
      </c>
      <c r="M1297" s="128">
        <v>131783.7</v>
      </c>
      <c r="N1297" s="128">
        <v>270038.9</v>
      </c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</row>
    <row r="1298">
      <c r="A1298" s="125" t="s">
        <v>466</v>
      </c>
      <c r="B1298" s="125" t="s">
        <v>491</v>
      </c>
      <c r="C1298" s="125" t="s">
        <v>468</v>
      </c>
      <c r="D1298" s="125" t="s">
        <v>454</v>
      </c>
      <c r="E1298" s="125" t="s">
        <v>472</v>
      </c>
      <c r="F1298" s="126">
        <v>42382.0</v>
      </c>
      <c r="G1298" s="127">
        <v>5.89E8</v>
      </c>
      <c r="H1298" s="126">
        <v>42404.0</v>
      </c>
      <c r="I1298" s="128">
        <v>7420.0</v>
      </c>
      <c r="J1298" s="128">
        <v>81.73</v>
      </c>
      <c r="K1298" s="128">
        <v>56.67</v>
      </c>
      <c r="L1298" s="128">
        <v>606436.6</v>
      </c>
      <c r="M1298" s="128">
        <v>420491.4</v>
      </c>
      <c r="N1298" s="128">
        <v>185945.2</v>
      </c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</row>
    <row r="1299">
      <c r="A1299" s="125" t="s">
        <v>458</v>
      </c>
      <c r="B1299" s="125" t="s">
        <v>641</v>
      </c>
      <c r="C1299" s="125" t="s">
        <v>506</v>
      </c>
      <c r="D1299" s="125" t="s">
        <v>457</v>
      </c>
      <c r="E1299" s="125" t="s">
        <v>464</v>
      </c>
      <c r="F1299" s="126">
        <v>42379.0</v>
      </c>
      <c r="G1299" s="127">
        <v>7.0E8</v>
      </c>
      <c r="H1299" s="126">
        <v>42390.0</v>
      </c>
      <c r="I1299" s="128">
        <v>5037.0</v>
      </c>
      <c r="J1299" s="128">
        <v>154.06</v>
      </c>
      <c r="K1299" s="128">
        <v>90.93</v>
      </c>
      <c r="L1299" s="128">
        <v>776000.2</v>
      </c>
      <c r="M1299" s="128">
        <v>458014.4</v>
      </c>
      <c r="N1299" s="128">
        <v>317985.8</v>
      </c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</row>
    <row r="1300">
      <c r="A1300" s="125" t="s">
        <v>458</v>
      </c>
      <c r="B1300" s="125" t="s">
        <v>538</v>
      </c>
      <c r="C1300" s="125" t="s">
        <v>514</v>
      </c>
      <c r="D1300" s="125" t="s">
        <v>454</v>
      </c>
      <c r="E1300" s="125" t="s">
        <v>472</v>
      </c>
      <c r="F1300" s="126">
        <v>40387.0</v>
      </c>
      <c r="G1300" s="127">
        <v>7.42E8</v>
      </c>
      <c r="H1300" s="126">
        <v>40434.0</v>
      </c>
      <c r="I1300" s="128">
        <v>3562.0</v>
      </c>
      <c r="J1300" s="128">
        <v>668.27</v>
      </c>
      <c r="K1300" s="128">
        <v>502.54</v>
      </c>
      <c r="L1300" s="128">
        <v>2380378.0</v>
      </c>
      <c r="M1300" s="128">
        <v>1790047.0</v>
      </c>
      <c r="N1300" s="128">
        <v>590330.3</v>
      </c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</row>
    <row r="1301">
      <c r="A1301" s="125" t="s">
        <v>451</v>
      </c>
      <c r="B1301" s="125" t="s">
        <v>452</v>
      </c>
      <c r="C1301" s="125" t="s">
        <v>463</v>
      </c>
      <c r="D1301" s="125" t="s">
        <v>457</v>
      </c>
      <c r="E1301" s="125" t="s">
        <v>464</v>
      </c>
      <c r="F1301" s="126">
        <v>40614.0</v>
      </c>
      <c r="G1301" s="127">
        <v>6.55E8</v>
      </c>
      <c r="H1301" s="126">
        <v>40627.0</v>
      </c>
      <c r="I1301" s="128">
        <v>7064.0</v>
      </c>
      <c r="J1301" s="128">
        <v>205.7</v>
      </c>
      <c r="K1301" s="128">
        <v>117.11</v>
      </c>
      <c r="L1301" s="128">
        <v>1453065.0</v>
      </c>
      <c r="M1301" s="128">
        <v>827265.0</v>
      </c>
      <c r="N1301" s="128">
        <v>625799.8</v>
      </c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</row>
    <row r="1302">
      <c r="A1302" s="125" t="s">
        <v>469</v>
      </c>
      <c r="B1302" s="125" t="s">
        <v>650</v>
      </c>
      <c r="C1302" s="125" t="s">
        <v>460</v>
      </c>
      <c r="D1302" s="125" t="s">
        <v>454</v>
      </c>
      <c r="E1302" s="125" t="s">
        <v>284</v>
      </c>
      <c r="F1302" s="126">
        <v>42129.0</v>
      </c>
      <c r="G1302" s="127">
        <v>9.01E8</v>
      </c>
      <c r="H1302" s="126">
        <v>42138.0</v>
      </c>
      <c r="I1302" s="128">
        <v>1640.0</v>
      </c>
      <c r="J1302" s="128">
        <v>47.45</v>
      </c>
      <c r="K1302" s="128">
        <v>31.79</v>
      </c>
      <c r="L1302" s="128">
        <v>77818.0</v>
      </c>
      <c r="M1302" s="128">
        <v>52135.6</v>
      </c>
      <c r="N1302" s="128">
        <v>25682.4</v>
      </c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</row>
    <row r="1303">
      <c r="A1303" s="125" t="s">
        <v>458</v>
      </c>
      <c r="B1303" s="125" t="s">
        <v>487</v>
      </c>
      <c r="C1303" s="125" t="s">
        <v>456</v>
      </c>
      <c r="D1303" s="125" t="s">
        <v>457</v>
      </c>
      <c r="E1303" s="125" t="s">
        <v>464</v>
      </c>
      <c r="F1303" s="126">
        <v>40238.0</v>
      </c>
      <c r="G1303" s="127">
        <v>2.11E8</v>
      </c>
      <c r="H1303" s="126">
        <v>40260.0</v>
      </c>
      <c r="I1303" s="128">
        <v>422.0</v>
      </c>
      <c r="J1303" s="128">
        <v>152.58</v>
      </c>
      <c r="K1303" s="128">
        <v>97.44</v>
      </c>
      <c r="L1303" s="128">
        <v>64388.76</v>
      </c>
      <c r="M1303" s="128">
        <v>41119.68</v>
      </c>
      <c r="N1303" s="128">
        <v>23269.08</v>
      </c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</row>
    <row r="1304">
      <c r="A1304" s="125" t="s">
        <v>466</v>
      </c>
      <c r="B1304" s="125" t="s">
        <v>477</v>
      </c>
      <c r="C1304" s="125" t="s">
        <v>460</v>
      </c>
      <c r="D1304" s="125" t="s">
        <v>454</v>
      </c>
      <c r="E1304" s="125" t="s">
        <v>464</v>
      </c>
      <c r="F1304" s="126">
        <v>41700.0</v>
      </c>
      <c r="G1304" s="127">
        <v>5.37E8</v>
      </c>
      <c r="H1304" s="126">
        <v>41700.0</v>
      </c>
      <c r="I1304" s="128">
        <v>8569.0</v>
      </c>
      <c r="J1304" s="128">
        <v>47.45</v>
      </c>
      <c r="K1304" s="128">
        <v>31.79</v>
      </c>
      <c r="L1304" s="128">
        <v>406599.1</v>
      </c>
      <c r="M1304" s="128">
        <v>272408.5</v>
      </c>
      <c r="N1304" s="128">
        <v>134190.5</v>
      </c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</row>
    <row r="1305">
      <c r="A1305" s="125" t="s">
        <v>475</v>
      </c>
      <c r="B1305" s="125" t="s">
        <v>605</v>
      </c>
      <c r="C1305" s="125" t="s">
        <v>468</v>
      </c>
      <c r="D1305" s="125" t="s">
        <v>454</v>
      </c>
      <c r="E1305" s="125" t="s">
        <v>189</v>
      </c>
      <c r="F1305" s="126">
        <v>41218.0</v>
      </c>
      <c r="G1305" s="127">
        <v>3.0E8</v>
      </c>
      <c r="H1305" s="126">
        <v>41251.0</v>
      </c>
      <c r="I1305" s="128">
        <v>8275.0</v>
      </c>
      <c r="J1305" s="128">
        <v>81.73</v>
      </c>
      <c r="K1305" s="128">
        <v>56.67</v>
      </c>
      <c r="L1305" s="128">
        <v>676315.8</v>
      </c>
      <c r="M1305" s="128">
        <v>468944.3</v>
      </c>
      <c r="N1305" s="128">
        <v>207371.5</v>
      </c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</row>
    <row r="1306">
      <c r="A1306" s="125" t="s">
        <v>451</v>
      </c>
      <c r="B1306" s="125" t="s">
        <v>452</v>
      </c>
      <c r="C1306" s="125" t="s">
        <v>471</v>
      </c>
      <c r="D1306" s="125" t="s">
        <v>457</v>
      </c>
      <c r="E1306" s="125" t="s">
        <v>472</v>
      </c>
      <c r="F1306" s="126">
        <v>42179.0</v>
      </c>
      <c r="G1306" s="127">
        <v>2.43E8</v>
      </c>
      <c r="H1306" s="126">
        <v>42200.0</v>
      </c>
      <c r="I1306" s="128">
        <v>3763.0</v>
      </c>
      <c r="J1306" s="128">
        <v>109.28</v>
      </c>
      <c r="K1306" s="128">
        <v>35.84</v>
      </c>
      <c r="L1306" s="128">
        <v>411220.6</v>
      </c>
      <c r="M1306" s="128">
        <v>134865.9</v>
      </c>
      <c r="N1306" s="128">
        <v>276354.7</v>
      </c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</row>
    <row r="1307">
      <c r="A1307" s="125" t="s">
        <v>469</v>
      </c>
      <c r="B1307" s="125" t="s">
        <v>520</v>
      </c>
      <c r="C1307" s="125" t="s">
        <v>471</v>
      </c>
      <c r="D1307" s="125" t="s">
        <v>454</v>
      </c>
      <c r="E1307" s="125" t="s">
        <v>189</v>
      </c>
      <c r="F1307" s="126">
        <v>41447.0</v>
      </c>
      <c r="G1307" s="127">
        <v>2.77E8</v>
      </c>
      <c r="H1307" s="126">
        <v>41450.0</v>
      </c>
      <c r="I1307" s="128">
        <v>6288.0</v>
      </c>
      <c r="J1307" s="128">
        <v>109.28</v>
      </c>
      <c r="K1307" s="128">
        <v>35.84</v>
      </c>
      <c r="L1307" s="128">
        <v>687152.6</v>
      </c>
      <c r="M1307" s="128">
        <v>225361.9</v>
      </c>
      <c r="N1307" s="128">
        <v>461790.7</v>
      </c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</row>
    <row r="1308">
      <c r="A1308" s="125" t="s">
        <v>461</v>
      </c>
      <c r="B1308" s="125" t="s">
        <v>465</v>
      </c>
      <c r="C1308" s="125" t="s">
        <v>506</v>
      </c>
      <c r="D1308" s="125" t="s">
        <v>457</v>
      </c>
      <c r="E1308" s="125" t="s">
        <v>472</v>
      </c>
      <c r="F1308" s="126">
        <v>41805.0</v>
      </c>
      <c r="G1308" s="127">
        <v>8.37E8</v>
      </c>
      <c r="H1308" s="126">
        <v>41839.0</v>
      </c>
      <c r="I1308" s="128">
        <v>9136.0</v>
      </c>
      <c r="J1308" s="128">
        <v>154.06</v>
      </c>
      <c r="K1308" s="128">
        <v>90.93</v>
      </c>
      <c r="L1308" s="128">
        <v>1407492.0</v>
      </c>
      <c r="M1308" s="128">
        <v>830736.5</v>
      </c>
      <c r="N1308" s="128">
        <v>576755.7</v>
      </c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</row>
    <row r="1309">
      <c r="A1309" s="125" t="s">
        <v>458</v>
      </c>
      <c r="B1309" s="125" t="s">
        <v>518</v>
      </c>
      <c r="C1309" s="125" t="s">
        <v>468</v>
      </c>
      <c r="D1309" s="125" t="s">
        <v>457</v>
      </c>
      <c r="E1309" s="125" t="s">
        <v>472</v>
      </c>
      <c r="F1309" s="126">
        <v>42276.0</v>
      </c>
      <c r="G1309" s="127">
        <v>6.26E8</v>
      </c>
      <c r="H1309" s="126">
        <v>42278.0</v>
      </c>
      <c r="I1309" s="128">
        <v>2624.0</v>
      </c>
      <c r="J1309" s="128">
        <v>81.73</v>
      </c>
      <c r="K1309" s="128">
        <v>56.67</v>
      </c>
      <c r="L1309" s="128">
        <v>214459.5</v>
      </c>
      <c r="M1309" s="128">
        <v>148702.1</v>
      </c>
      <c r="N1309" s="128">
        <v>65757.44</v>
      </c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</row>
    <row r="1310">
      <c r="A1310" s="125" t="s">
        <v>458</v>
      </c>
      <c r="B1310" s="125" t="s">
        <v>541</v>
      </c>
      <c r="C1310" s="125" t="s">
        <v>494</v>
      </c>
      <c r="D1310" s="125" t="s">
        <v>454</v>
      </c>
      <c r="E1310" s="125" t="s">
        <v>284</v>
      </c>
      <c r="F1310" s="126">
        <v>42273.0</v>
      </c>
      <c r="G1310" s="127">
        <v>6.66E8</v>
      </c>
      <c r="H1310" s="126">
        <v>42287.0</v>
      </c>
      <c r="I1310" s="128">
        <v>9102.0</v>
      </c>
      <c r="J1310" s="128">
        <v>9.33</v>
      </c>
      <c r="K1310" s="128">
        <v>6.92</v>
      </c>
      <c r="L1310" s="128">
        <v>84921.66</v>
      </c>
      <c r="M1310" s="128">
        <v>62985.84</v>
      </c>
      <c r="N1310" s="128">
        <v>21935.82</v>
      </c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</row>
    <row r="1311">
      <c r="A1311" s="125" t="s">
        <v>469</v>
      </c>
      <c r="B1311" s="125" t="s">
        <v>503</v>
      </c>
      <c r="C1311" s="125" t="s">
        <v>494</v>
      </c>
      <c r="D1311" s="125" t="s">
        <v>454</v>
      </c>
      <c r="E1311" s="125" t="s">
        <v>189</v>
      </c>
      <c r="F1311" s="126">
        <v>40215.0</v>
      </c>
      <c r="G1311" s="127">
        <v>2.51E8</v>
      </c>
      <c r="H1311" s="126">
        <v>40227.0</v>
      </c>
      <c r="I1311" s="128">
        <v>7948.0</v>
      </c>
      <c r="J1311" s="128">
        <v>9.33</v>
      </c>
      <c r="K1311" s="128">
        <v>6.92</v>
      </c>
      <c r="L1311" s="128">
        <v>74154.84</v>
      </c>
      <c r="M1311" s="128">
        <v>55000.16</v>
      </c>
      <c r="N1311" s="128">
        <v>19154.68</v>
      </c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</row>
    <row r="1312">
      <c r="A1312" s="125" t="s">
        <v>458</v>
      </c>
      <c r="B1312" s="125" t="s">
        <v>533</v>
      </c>
      <c r="C1312" s="125" t="s">
        <v>453</v>
      </c>
      <c r="D1312" s="125" t="s">
        <v>457</v>
      </c>
      <c r="E1312" s="125" t="s">
        <v>464</v>
      </c>
      <c r="F1312" s="126">
        <v>40441.0</v>
      </c>
      <c r="G1312" s="127">
        <v>9.97E8</v>
      </c>
      <c r="H1312" s="126">
        <v>40443.0</v>
      </c>
      <c r="I1312" s="128">
        <v>574.0</v>
      </c>
      <c r="J1312" s="128">
        <v>255.28</v>
      </c>
      <c r="K1312" s="128">
        <v>159.42</v>
      </c>
      <c r="L1312" s="128">
        <v>146530.7</v>
      </c>
      <c r="M1312" s="128">
        <v>91507.08</v>
      </c>
      <c r="N1312" s="128">
        <v>55023.64</v>
      </c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</row>
    <row r="1313">
      <c r="A1313" s="125" t="s">
        <v>466</v>
      </c>
      <c r="B1313" s="125" t="s">
        <v>584</v>
      </c>
      <c r="C1313" s="125" t="s">
        <v>506</v>
      </c>
      <c r="D1313" s="125" t="s">
        <v>457</v>
      </c>
      <c r="E1313" s="125" t="s">
        <v>472</v>
      </c>
      <c r="F1313" s="126">
        <v>40763.0</v>
      </c>
      <c r="G1313" s="127">
        <v>9.86E8</v>
      </c>
      <c r="H1313" s="126">
        <v>40792.0</v>
      </c>
      <c r="I1313" s="128">
        <v>5423.0</v>
      </c>
      <c r="J1313" s="128">
        <v>154.06</v>
      </c>
      <c r="K1313" s="128">
        <v>90.93</v>
      </c>
      <c r="L1313" s="128">
        <v>835467.4</v>
      </c>
      <c r="M1313" s="128">
        <v>493113.4</v>
      </c>
      <c r="N1313" s="128">
        <v>342354.0</v>
      </c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</row>
    <row r="1314">
      <c r="A1314" s="125" t="s">
        <v>461</v>
      </c>
      <c r="B1314" s="125" t="s">
        <v>581</v>
      </c>
      <c r="C1314" s="125" t="s">
        <v>514</v>
      </c>
      <c r="D1314" s="125" t="s">
        <v>457</v>
      </c>
      <c r="E1314" s="125" t="s">
        <v>472</v>
      </c>
      <c r="F1314" s="126">
        <v>42152.0</v>
      </c>
      <c r="G1314" s="127">
        <v>6.24E8</v>
      </c>
      <c r="H1314" s="126">
        <v>42201.0</v>
      </c>
      <c r="I1314" s="128">
        <v>2968.0</v>
      </c>
      <c r="J1314" s="128">
        <v>668.27</v>
      </c>
      <c r="K1314" s="128">
        <v>502.54</v>
      </c>
      <c r="L1314" s="128">
        <v>1983425.0</v>
      </c>
      <c r="M1314" s="128">
        <v>1491539.0</v>
      </c>
      <c r="N1314" s="128">
        <v>491886.6</v>
      </c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</row>
    <row r="1315">
      <c r="A1315" s="125" t="s">
        <v>451</v>
      </c>
      <c r="B1315" s="125" t="s">
        <v>596</v>
      </c>
      <c r="C1315" s="125" t="s">
        <v>468</v>
      </c>
      <c r="D1315" s="125" t="s">
        <v>457</v>
      </c>
      <c r="E1315" s="125" t="s">
        <v>189</v>
      </c>
      <c r="F1315" s="126">
        <v>41814.0</v>
      </c>
      <c r="G1315" s="127">
        <v>3.87E8</v>
      </c>
      <c r="H1315" s="126">
        <v>41821.0</v>
      </c>
      <c r="I1315" s="128">
        <v>713.0</v>
      </c>
      <c r="J1315" s="128">
        <v>81.73</v>
      </c>
      <c r="K1315" s="128">
        <v>56.67</v>
      </c>
      <c r="L1315" s="128">
        <v>58273.49</v>
      </c>
      <c r="M1315" s="128">
        <v>40405.71</v>
      </c>
      <c r="N1315" s="128">
        <v>17867.78</v>
      </c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</row>
    <row r="1316">
      <c r="A1316" s="125" t="s">
        <v>475</v>
      </c>
      <c r="B1316" s="125" t="s">
        <v>561</v>
      </c>
      <c r="C1316" s="125" t="s">
        <v>480</v>
      </c>
      <c r="D1316" s="125" t="s">
        <v>454</v>
      </c>
      <c r="E1316" s="125" t="s">
        <v>472</v>
      </c>
      <c r="F1316" s="126">
        <v>42880.0</v>
      </c>
      <c r="G1316" s="127">
        <v>3.68E8</v>
      </c>
      <c r="H1316" s="126">
        <v>42895.0</v>
      </c>
      <c r="I1316" s="128">
        <v>8196.0</v>
      </c>
      <c r="J1316" s="128">
        <v>437.2</v>
      </c>
      <c r="K1316" s="128">
        <v>263.33</v>
      </c>
      <c r="L1316" s="128">
        <v>3583291.0</v>
      </c>
      <c r="M1316" s="128">
        <v>2158253.0</v>
      </c>
      <c r="N1316" s="128">
        <v>1425039.0</v>
      </c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</row>
    <row r="1317">
      <c r="A1317" s="125" t="s">
        <v>458</v>
      </c>
      <c r="B1317" s="125" t="s">
        <v>622</v>
      </c>
      <c r="C1317" s="125" t="s">
        <v>463</v>
      </c>
      <c r="D1317" s="125" t="s">
        <v>454</v>
      </c>
      <c r="E1317" s="125" t="s">
        <v>472</v>
      </c>
      <c r="F1317" s="126">
        <v>41953.0</v>
      </c>
      <c r="G1317" s="127">
        <v>7.34E8</v>
      </c>
      <c r="H1317" s="126">
        <v>41972.0</v>
      </c>
      <c r="I1317" s="128">
        <v>1984.0</v>
      </c>
      <c r="J1317" s="128">
        <v>205.7</v>
      </c>
      <c r="K1317" s="128">
        <v>117.11</v>
      </c>
      <c r="L1317" s="128">
        <v>408108.8</v>
      </c>
      <c r="M1317" s="128">
        <v>232346.2</v>
      </c>
      <c r="N1317" s="128">
        <v>175762.6</v>
      </c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</row>
    <row r="1318">
      <c r="A1318" s="125" t="s">
        <v>475</v>
      </c>
      <c r="B1318" s="125" t="s">
        <v>623</v>
      </c>
      <c r="C1318" s="125" t="s">
        <v>480</v>
      </c>
      <c r="D1318" s="125" t="s">
        <v>457</v>
      </c>
      <c r="E1318" s="125" t="s">
        <v>464</v>
      </c>
      <c r="F1318" s="126">
        <v>41556.0</v>
      </c>
      <c r="G1318" s="127">
        <v>3.71E8</v>
      </c>
      <c r="H1318" s="126">
        <v>41586.0</v>
      </c>
      <c r="I1318" s="128">
        <v>674.0</v>
      </c>
      <c r="J1318" s="128">
        <v>437.2</v>
      </c>
      <c r="K1318" s="128">
        <v>263.33</v>
      </c>
      <c r="L1318" s="128">
        <v>294672.8</v>
      </c>
      <c r="M1318" s="128">
        <v>177484.4</v>
      </c>
      <c r="N1318" s="128">
        <v>117188.4</v>
      </c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</row>
    <row r="1319">
      <c r="A1319" s="125" t="s">
        <v>458</v>
      </c>
      <c r="B1319" s="125" t="s">
        <v>642</v>
      </c>
      <c r="C1319" s="125" t="s">
        <v>460</v>
      </c>
      <c r="D1319" s="125" t="s">
        <v>454</v>
      </c>
      <c r="E1319" s="125" t="s">
        <v>464</v>
      </c>
      <c r="F1319" s="126">
        <v>40454.0</v>
      </c>
      <c r="G1319" s="127">
        <v>9.36E8</v>
      </c>
      <c r="H1319" s="126">
        <v>40500.0</v>
      </c>
      <c r="I1319" s="128">
        <v>9898.0</v>
      </c>
      <c r="J1319" s="128">
        <v>47.45</v>
      </c>
      <c r="K1319" s="128">
        <v>31.79</v>
      </c>
      <c r="L1319" s="128">
        <v>469660.1</v>
      </c>
      <c r="M1319" s="128">
        <v>314657.4</v>
      </c>
      <c r="N1319" s="128">
        <v>155002.7</v>
      </c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</row>
    <row r="1320">
      <c r="A1320" s="125" t="s">
        <v>458</v>
      </c>
      <c r="B1320" s="125" t="s">
        <v>622</v>
      </c>
      <c r="C1320" s="125" t="s">
        <v>463</v>
      </c>
      <c r="D1320" s="125" t="s">
        <v>454</v>
      </c>
      <c r="E1320" s="125" t="s">
        <v>189</v>
      </c>
      <c r="F1320" s="126">
        <v>40566.0</v>
      </c>
      <c r="G1320" s="127">
        <v>1.04E8</v>
      </c>
      <c r="H1320" s="126">
        <v>40596.0</v>
      </c>
      <c r="I1320" s="128">
        <v>7315.0</v>
      </c>
      <c r="J1320" s="128">
        <v>205.7</v>
      </c>
      <c r="K1320" s="128">
        <v>117.11</v>
      </c>
      <c r="L1320" s="128">
        <v>1504696.0</v>
      </c>
      <c r="M1320" s="128">
        <v>856659.7</v>
      </c>
      <c r="N1320" s="128">
        <v>648035.9</v>
      </c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</row>
    <row r="1321">
      <c r="A1321" s="125" t="s">
        <v>458</v>
      </c>
      <c r="B1321" s="125" t="s">
        <v>642</v>
      </c>
      <c r="C1321" s="125" t="s">
        <v>460</v>
      </c>
      <c r="D1321" s="125" t="s">
        <v>454</v>
      </c>
      <c r="E1321" s="125" t="s">
        <v>472</v>
      </c>
      <c r="F1321" s="126">
        <v>42818.0</v>
      </c>
      <c r="G1321" s="127">
        <v>1.23E8</v>
      </c>
      <c r="H1321" s="126">
        <v>42850.0</v>
      </c>
      <c r="I1321" s="128">
        <v>7619.0</v>
      </c>
      <c r="J1321" s="128">
        <v>47.45</v>
      </c>
      <c r="K1321" s="128">
        <v>31.79</v>
      </c>
      <c r="L1321" s="128">
        <v>361521.6</v>
      </c>
      <c r="M1321" s="128">
        <v>242208.0</v>
      </c>
      <c r="N1321" s="128">
        <v>119313.5</v>
      </c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</row>
    <row r="1322">
      <c r="A1322" s="125" t="s">
        <v>466</v>
      </c>
      <c r="B1322" s="125" t="s">
        <v>580</v>
      </c>
      <c r="C1322" s="125" t="s">
        <v>453</v>
      </c>
      <c r="D1322" s="125" t="s">
        <v>454</v>
      </c>
      <c r="E1322" s="125" t="s">
        <v>284</v>
      </c>
      <c r="F1322" s="126">
        <v>40226.0</v>
      </c>
      <c r="G1322" s="127">
        <v>1.6E8</v>
      </c>
      <c r="H1322" s="126">
        <v>40242.0</v>
      </c>
      <c r="I1322" s="128">
        <v>7533.0</v>
      </c>
      <c r="J1322" s="128">
        <v>255.28</v>
      </c>
      <c r="K1322" s="128">
        <v>159.42</v>
      </c>
      <c r="L1322" s="128">
        <v>1923024.0</v>
      </c>
      <c r="M1322" s="128">
        <v>1200911.0</v>
      </c>
      <c r="N1322" s="128">
        <v>722113.4</v>
      </c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</row>
    <row r="1323">
      <c r="A1323" s="125" t="s">
        <v>488</v>
      </c>
      <c r="B1323" s="125" t="s">
        <v>645</v>
      </c>
      <c r="C1323" s="125" t="s">
        <v>485</v>
      </c>
      <c r="D1323" s="125" t="s">
        <v>457</v>
      </c>
      <c r="E1323" s="125" t="s">
        <v>284</v>
      </c>
      <c r="F1323" s="126">
        <v>41406.0</v>
      </c>
      <c r="G1323" s="127">
        <v>3.52E8</v>
      </c>
      <c r="H1323" s="126">
        <v>41441.0</v>
      </c>
      <c r="I1323" s="128">
        <v>813.0</v>
      </c>
      <c r="J1323" s="128">
        <v>421.89</v>
      </c>
      <c r="K1323" s="128">
        <v>364.69</v>
      </c>
      <c r="L1323" s="128">
        <v>342996.6</v>
      </c>
      <c r="M1323" s="128">
        <v>296493.0</v>
      </c>
      <c r="N1323" s="128">
        <v>46503.6</v>
      </c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</row>
    <row r="1324">
      <c r="A1324" s="125" t="s">
        <v>475</v>
      </c>
      <c r="B1324" s="125" t="s">
        <v>521</v>
      </c>
      <c r="C1324" s="125" t="s">
        <v>460</v>
      </c>
      <c r="D1324" s="125" t="s">
        <v>454</v>
      </c>
      <c r="E1324" s="125" t="s">
        <v>284</v>
      </c>
      <c r="F1324" s="126">
        <v>41538.0</v>
      </c>
      <c r="G1324" s="127">
        <v>4.58E8</v>
      </c>
      <c r="H1324" s="126">
        <v>41541.0</v>
      </c>
      <c r="I1324" s="128">
        <v>3243.0</v>
      </c>
      <c r="J1324" s="128">
        <v>47.45</v>
      </c>
      <c r="K1324" s="128">
        <v>31.79</v>
      </c>
      <c r="L1324" s="128">
        <v>153880.4</v>
      </c>
      <c r="M1324" s="128">
        <v>103095.0</v>
      </c>
      <c r="N1324" s="128">
        <v>50785.38</v>
      </c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</row>
    <row r="1325">
      <c r="A1325" s="125" t="s">
        <v>458</v>
      </c>
      <c r="B1325" s="125" t="s">
        <v>498</v>
      </c>
      <c r="C1325" s="125" t="s">
        <v>463</v>
      </c>
      <c r="D1325" s="125" t="s">
        <v>457</v>
      </c>
      <c r="E1325" s="125" t="s">
        <v>189</v>
      </c>
      <c r="F1325" s="126">
        <v>40335.0</v>
      </c>
      <c r="G1325" s="127">
        <v>3.06E8</v>
      </c>
      <c r="H1325" s="126">
        <v>40360.0</v>
      </c>
      <c r="I1325" s="128">
        <v>7642.0</v>
      </c>
      <c r="J1325" s="128">
        <v>205.7</v>
      </c>
      <c r="K1325" s="128">
        <v>117.11</v>
      </c>
      <c r="L1325" s="128">
        <v>1571959.0</v>
      </c>
      <c r="M1325" s="128">
        <v>894954.6</v>
      </c>
      <c r="N1325" s="128">
        <v>677004.8</v>
      </c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</row>
    <row r="1326">
      <c r="A1326" s="125" t="s">
        <v>458</v>
      </c>
      <c r="B1326" s="125" t="s">
        <v>555</v>
      </c>
      <c r="C1326" s="125" t="s">
        <v>478</v>
      </c>
      <c r="D1326" s="125" t="s">
        <v>457</v>
      </c>
      <c r="E1326" s="125" t="s">
        <v>189</v>
      </c>
      <c r="F1326" s="126">
        <v>40668.0</v>
      </c>
      <c r="G1326" s="127">
        <v>2.43E8</v>
      </c>
      <c r="H1326" s="126">
        <v>40685.0</v>
      </c>
      <c r="I1326" s="128">
        <v>8858.0</v>
      </c>
      <c r="J1326" s="128">
        <v>651.21</v>
      </c>
      <c r="K1326" s="128">
        <v>524.96</v>
      </c>
      <c r="L1326" s="128">
        <v>5768418.0</v>
      </c>
      <c r="M1326" s="128">
        <v>4650096.0</v>
      </c>
      <c r="N1326" s="128">
        <v>1118323.0</v>
      </c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</row>
    <row r="1327">
      <c r="A1327" s="125" t="s">
        <v>475</v>
      </c>
      <c r="B1327" s="125" t="s">
        <v>558</v>
      </c>
      <c r="C1327" s="125" t="s">
        <v>468</v>
      </c>
      <c r="D1327" s="125" t="s">
        <v>457</v>
      </c>
      <c r="E1327" s="125" t="s">
        <v>189</v>
      </c>
      <c r="F1327" s="126">
        <v>41646.0</v>
      </c>
      <c r="G1327" s="127">
        <v>6.89E8</v>
      </c>
      <c r="H1327" s="126">
        <v>41680.0</v>
      </c>
      <c r="I1327" s="128">
        <v>8771.0</v>
      </c>
      <c r="J1327" s="128">
        <v>81.73</v>
      </c>
      <c r="K1327" s="128">
        <v>56.67</v>
      </c>
      <c r="L1327" s="128">
        <v>716853.8</v>
      </c>
      <c r="M1327" s="128">
        <v>497052.6</v>
      </c>
      <c r="N1327" s="128">
        <v>219801.3</v>
      </c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</row>
    <row r="1328">
      <c r="A1328" s="125" t="s">
        <v>466</v>
      </c>
      <c r="B1328" s="125" t="s">
        <v>598</v>
      </c>
      <c r="C1328" s="125" t="s">
        <v>460</v>
      </c>
      <c r="D1328" s="125" t="s">
        <v>457</v>
      </c>
      <c r="E1328" s="125" t="s">
        <v>472</v>
      </c>
      <c r="F1328" s="126">
        <v>42769.0</v>
      </c>
      <c r="G1328" s="127">
        <v>7.84E8</v>
      </c>
      <c r="H1328" s="126">
        <v>42814.0</v>
      </c>
      <c r="I1328" s="128">
        <v>1293.0</v>
      </c>
      <c r="J1328" s="128">
        <v>47.45</v>
      </c>
      <c r="K1328" s="128">
        <v>31.79</v>
      </c>
      <c r="L1328" s="128">
        <v>61352.85</v>
      </c>
      <c r="M1328" s="128">
        <v>41104.47</v>
      </c>
      <c r="N1328" s="128">
        <v>20248.38</v>
      </c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</row>
    <row r="1329">
      <c r="A1329" s="125" t="s">
        <v>466</v>
      </c>
      <c r="B1329" s="125" t="s">
        <v>484</v>
      </c>
      <c r="C1329" s="125" t="s">
        <v>460</v>
      </c>
      <c r="D1329" s="125" t="s">
        <v>457</v>
      </c>
      <c r="E1329" s="125" t="s">
        <v>284</v>
      </c>
      <c r="F1329" s="126">
        <v>42542.0</v>
      </c>
      <c r="G1329" s="127">
        <v>6.35E8</v>
      </c>
      <c r="H1329" s="126">
        <v>42548.0</v>
      </c>
      <c r="I1329" s="128">
        <v>7364.0</v>
      </c>
      <c r="J1329" s="128">
        <v>47.45</v>
      </c>
      <c r="K1329" s="128">
        <v>31.79</v>
      </c>
      <c r="L1329" s="128">
        <v>349421.8</v>
      </c>
      <c r="M1329" s="128">
        <v>234101.6</v>
      </c>
      <c r="N1329" s="128">
        <v>115320.2</v>
      </c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</row>
    <row r="1330">
      <c r="A1330" s="125" t="s">
        <v>469</v>
      </c>
      <c r="B1330" s="125" t="s">
        <v>495</v>
      </c>
      <c r="C1330" s="125" t="s">
        <v>468</v>
      </c>
      <c r="D1330" s="125" t="s">
        <v>457</v>
      </c>
      <c r="E1330" s="125" t="s">
        <v>464</v>
      </c>
      <c r="F1330" s="126">
        <v>42624.0</v>
      </c>
      <c r="G1330" s="127">
        <v>8.74E8</v>
      </c>
      <c r="H1330" s="126">
        <v>42662.0</v>
      </c>
      <c r="I1330" s="128">
        <v>9961.0</v>
      </c>
      <c r="J1330" s="128">
        <v>81.73</v>
      </c>
      <c r="K1330" s="128">
        <v>56.67</v>
      </c>
      <c r="L1330" s="128">
        <v>814112.5</v>
      </c>
      <c r="M1330" s="128">
        <v>564489.9</v>
      </c>
      <c r="N1330" s="128">
        <v>249622.7</v>
      </c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</row>
    <row r="1331">
      <c r="A1331" s="125" t="s">
        <v>466</v>
      </c>
      <c r="B1331" s="125" t="s">
        <v>534</v>
      </c>
      <c r="C1331" s="125" t="s">
        <v>478</v>
      </c>
      <c r="D1331" s="125" t="s">
        <v>454</v>
      </c>
      <c r="E1331" s="125" t="s">
        <v>472</v>
      </c>
      <c r="F1331" s="126">
        <v>40915.0</v>
      </c>
      <c r="G1331" s="127">
        <v>4.0E8</v>
      </c>
      <c r="H1331" s="126">
        <v>40965.0</v>
      </c>
      <c r="I1331" s="128">
        <v>9086.0</v>
      </c>
      <c r="J1331" s="128">
        <v>651.21</v>
      </c>
      <c r="K1331" s="128">
        <v>524.96</v>
      </c>
      <c r="L1331" s="128">
        <v>5916894.0</v>
      </c>
      <c r="M1331" s="128">
        <v>4769787.0</v>
      </c>
      <c r="N1331" s="128">
        <v>1147108.0</v>
      </c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</row>
    <row r="1332">
      <c r="A1332" s="125" t="s">
        <v>466</v>
      </c>
      <c r="B1332" s="125" t="s">
        <v>568</v>
      </c>
      <c r="C1332" s="125" t="s">
        <v>506</v>
      </c>
      <c r="D1332" s="125" t="s">
        <v>454</v>
      </c>
      <c r="E1332" s="125" t="s">
        <v>284</v>
      </c>
      <c r="F1332" s="126">
        <v>41236.0</v>
      </c>
      <c r="G1332" s="127">
        <v>4.33E8</v>
      </c>
      <c r="H1332" s="126">
        <v>41247.0</v>
      </c>
      <c r="I1332" s="128">
        <v>6776.0</v>
      </c>
      <c r="J1332" s="128">
        <v>154.06</v>
      </c>
      <c r="K1332" s="128">
        <v>90.93</v>
      </c>
      <c r="L1332" s="128">
        <v>1043911.0</v>
      </c>
      <c r="M1332" s="128">
        <v>616141.7</v>
      </c>
      <c r="N1332" s="128">
        <v>427768.9</v>
      </c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</row>
    <row r="1333">
      <c r="A1333" s="125" t="s">
        <v>469</v>
      </c>
      <c r="B1333" s="125" t="s">
        <v>530</v>
      </c>
      <c r="C1333" s="125" t="s">
        <v>485</v>
      </c>
      <c r="D1333" s="125" t="s">
        <v>457</v>
      </c>
      <c r="E1333" s="125" t="s">
        <v>189</v>
      </c>
      <c r="F1333" s="126">
        <v>40881.0</v>
      </c>
      <c r="G1333" s="127">
        <v>4.65E8</v>
      </c>
      <c r="H1333" s="126">
        <v>40914.0</v>
      </c>
      <c r="I1333" s="128">
        <v>2099.0</v>
      </c>
      <c r="J1333" s="128">
        <v>421.89</v>
      </c>
      <c r="K1333" s="128">
        <v>364.69</v>
      </c>
      <c r="L1333" s="128">
        <v>885547.1</v>
      </c>
      <c r="M1333" s="128">
        <v>765484.3</v>
      </c>
      <c r="N1333" s="128">
        <v>120062.8</v>
      </c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</row>
    <row r="1334">
      <c r="A1334" s="125" t="s">
        <v>458</v>
      </c>
      <c r="B1334" s="125" t="s">
        <v>487</v>
      </c>
      <c r="C1334" s="125" t="s">
        <v>471</v>
      </c>
      <c r="D1334" s="125" t="s">
        <v>457</v>
      </c>
      <c r="E1334" s="125" t="s">
        <v>464</v>
      </c>
      <c r="F1334" s="126">
        <v>40302.0</v>
      </c>
      <c r="G1334" s="127">
        <v>5.06E8</v>
      </c>
      <c r="H1334" s="126">
        <v>40341.0</v>
      </c>
      <c r="I1334" s="128">
        <v>6153.0</v>
      </c>
      <c r="J1334" s="128">
        <v>109.28</v>
      </c>
      <c r="K1334" s="128">
        <v>35.84</v>
      </c>
      <c r="L1334" s="128">
        <v>672399.8</v>
      </c>
      <c r="M1334" s="128">
        <v>220523.5</v>
      </c>
      <c r="N1334" s="128">
        <v>451876.3</v>
      </c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</row>
    <row r="1335">
      <c r="A1335" s="125" t="s">
        <v>458</v>
      </c>
      <c r="B1335" s="125" t="s">
        <v>603</v>
      </c>
      <c r="C1335" s="125" t="s">
        <v>480</v>
      </c>
      <c r="D1335" s="125" t="s">
        <v>454</v>
      </c>
      <c r="E1335" s="125" t="s">
        <v>284</v>
      </c>
      <c r="F1335" s="126">
        <v>41718.0</v>
      </c>
      <c r="G1335" s="127">
        <v>6.37E8</v>
      </c>
      <c r="H1335" s="126">
        <v>41758.0</v>
      </c>
      <c r="I1335" s="128">
        <v>7069.0</v>
      </c>
      <c r="J1335" s="128">
        <v>437.2</v>
      </c>
      <c r="K1335" s="128">
        <v>263.33</v>
      </c>
      <c r="L1335" s="128">
        <v>3090567.0</v>
      </c>
      <c r="M1335" s="128">
        <v>1861480.0</v>
      </c>
      <c r="N1335" s="128">
        <v>1229087.0</v>
      </c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</row>
    <row r="1336">
      <c r="A1336" s="125" t="s">
        <v>466</v>
      </c>
      <c r="B1336" s="125" t="s">
        <v>492</v>
      </c>
      <c r="C1336" s="125" t="s">
        <v>506</v>
      </c>
      <c r="D1336" s="125" t="s">
        <v>454</v>
      </c>
      <c r="E1336" s="125" t="s">
        <v>189</v>
      </c>
      <c r="F1336" s="126">
        <v>42209.0</v>
      </c>
      <c r="G1336" s="127">
        <v>5.61E8</v>
      </c>
      <c r="H1336" s="126">
        <v>42219.0</v>
      </c>
      <c r="I1336" s="128">
        <v>5006.0</v>
      </c>
      <c r="J1336" s="128">
        <v>154.06</v>
      </c>
      <c r="K1336" s="128">
        <v>90.93</v>
      </c>
      <c r="L1336" s="128">
        <v>771224.4</v>
      </c>
      <c r="M1336" s="128">
        <v>455195.6</v>
      </c>
      <c r="N1336" s="128">
        <v>316028.8</v>
      </c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</row>
    <row r="1337">
      <c r="A1337" s="125" t="s">
        <v>466</v>
      </c>
      <c r="B1337" s="125" t="s">
        <v>607</v>
      </c>
      <c r="C1337" s="125" t="s">
        <v>480</v>
      </c>
      <c r="D1337" s="125" t="s">
        <v>457</v>
      </c>
      <c r="E1337" s="125" t="s">
        <v>189</v>
      </c>
      <c r="F1337" s="126">
        <v>40626.0</v>
      </c>
      <c r="G1337" s="127">
        <v>9.48E8</v>
      </c>
      <c r="H1337" s="126">
        <v>40639.0</v>
      </c>
      <c r="I1337" s="128">
        <v>7159.0</v>
      </c>
      <c r="J1337" s="128">
        <v>437.2</v>
      </c>
      <c r="K1337" s="128">
        <v>263.33</v>
      </c>
      <c r="L1337" s="128">
        <v>3129915.0</v>
      </c>
      <c r="M1337" s="128">
        <v>1885179.0</v>
      </c>
      <c r="N1337" s="128">
        <v>1244735.0</v>
      </c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</row>
    <row r="1338">
      <c r="A1338" s="125" t="s">
        <v>475</v>
      </c>
      <c r="B1338" s="125" t="s">
        <v>640</v>
      </c>
      <c r="C1338" s="125" t="s">
        <v>480</v>
      </c>
      <c r="D1338" s="125" t="s">
        <v>457</v>
      </c>
      <c r="E1338" s="125" t="s">
        <v>284</v>
      </c>
      <c r="F1338" s="126">
        <v>41740.0</v>
      </c>
      <c r="G1338" s="127">
        <v>2.92E8</v>
      </c>
      <c r="H1338" s="126">
        <v>41766.0</v>
      </c>
      <c r="I1338" s="128">
        <v>2749.0</v>
      </c>
      <c r="J1338" s="128">
        <v>437.2</v>
      </c>
      <c r="K1338" s="128">
        <v>263.33</v>
      </c>
      <c r="L1338" s="128">
        <v>1201863.0</v>
      </c>
      <c r="M1338" s="128">
        <v>723894.2</v>
      </c>
      <c r="N1338" s="128">
        <v>477968.6</v>
      </c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</row>
    <row r="1339">
      <c r="A1339" s="125" t="s">
        <v>475</v>
      </c>
      <c r="B1339" s="125" t="s">
        <v>507</v>
      </c>
      <c r="C1339" s="125" t="s">
        <v>453</v>
      </c>
      <c r="D1339" s="125" t="s">
        <v>454</v>
      </c>
      <c r="E1339" s="125" t="s">
        <v>472</v>
      </c>
      <c r="F1339" s="126">
        <v>41031.0</v>
      </c>
      <c r="G1339" s="127">
        <v>7.54E8</v>
      </c>
      <c r="H1339" s="126">
        <v>41043.0</v>
      </c>
      <c r="I1339" s="128">
        <v>8033.0</v>
      </c>
      <c r="J1339" s="128">
        <v>255.28</v>
      </c>
      <c r="K1339" s="128">
        <v>159.42</v>
      </c>
      <c r="L1339" s="128">
        <v>2050664.0</v>
      </c>
      <c r="M1339" s="128">
        <v>1280621.0</v>
      </c>
      <c r="N1339" s="128">
        <v>770043.4</v>
      </c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</row>
    <row r="1340">
      <c r="A1340" s="125" t="s">
        <v>458</v>
      </c>
      <c r="B1340" s="125" t="s">
        <v>518</v>
      </c>
      <c r="C1340" s="125" t="s">
        <v>463</v>
      </c>
      <c r="D1340" s="125" t="s">
        <v>454</v>
      </c>
      <c r="E1340" s="125" t="s">
        <v>472</v>
      </c>
      <c r="F1340" s="126">
        <v>42665.0</v>
      </c>
      <c r="G1340" s="127">
        <v>5.18E8</v>
      </c>
      <c r="H1340" s="126">
        <v>42665.0</v>
      </c>
      <c r="I1340" s="128">
        <v>1296.0</v>
      </c>
      <c r="J1340" s="128">
        <v>205.7</v>
      </c>
      <c r="K1340" s="128">
        <v>117.11</v>
      </c>
      <c r="L1340" s="128">
        <v>266587.2</v>
      </c>
      <c r="M1340" s="128">
        <v>151774.6</v>
      </c>
      <c r="N1340" s="128">
        <v>114812.6</v>
      </c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</row>
    <row r="1341">
      <c r="A1341" s="125" t="s">
        <v>466</v>
      </c>
      <c r="B1341" s="125" t="s">
        <v>584</v>
      </c>
      <c r="C1341" s="125" t="s">
        <v>453</v>
      </c>
      <c r="D1341" s="125" t="s">
        <v>454</v>
      </c>
      <c r="E1341" s="125" t="s">
        <v>464</v>
      </c>
      <c r="F1341" s="126">
        <v>41517.0</v>
      </c>
      <c r="G1341" s="127">
        <v>5.37E8</v>
      </c>
      <c r="H1341" s="126">
        <v>41522.0</v>
      </c>
      <c r="I1341" s="128">
        <v>7855.0</v>
      </c>
      <c r="J1341" s="128">
        <v>255.28</v>
      </c>
      <c r="K1341" s="128">
        <v>159.42</v>
      </c>
      <c r="L1341" s="128">
        <v>2005224.0</v>
      </c>
      <c r="M1341" s="128">
        <v>1252244.0</v>
      </c>
      <c r="N1341" s="128">
        <v>752980.3</v>
      </c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</row>
    <row r="1342">
      <c r="A1342" s="125" t="s">
        <v>475</v>
      </c>
      <c r="B1342" s="125" t="s">
        <v>570</v>
      </c>
      <c r="C1342" s="125" t="s">
        <v>460</v>
      </c>
      <c r="D1342" s="125" t="s">
        <v>454</v>
      </c>
      <c r="E1342" s="125" t="s">
        <v>472</v>
      </c>
      <c r="F1342" s="126">
        <v>41148.0</v>
      </c>
      <c r="G1342" s="127">
        <v>4.85E8</v>
      </c>
      <c r="H1342" s="126">
        <v>41156.0</v>
      </c>
      <c r="I1342" s="128">
        <v>5060.0</v>
      </c>
      <c r="J1342" s="128">
        <v>47.45</v>
      </c>
      <c r="K1342" s="128">
        <v>31.79</v>
      </c>
      <c r="L1342" s="128">
        <v>240097.0</v>
      </c>
      <c r="M1342" s="128">
        <v>160857.4</v>
      </c>
      <c r="N1342" s="128">
        <v>79239.6</v>
      </c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</row>
    <row r="1343">
      <c r="A1343" s="125" t="s">
        <v>458</v>
      </c>
      <c r="B1343" s="125" t="s">
        <v>553</v>
      </c>
      <c r="C1343" s="125" t="s">
        <v>494</v>
      </c>
      <c r="D1343" s="125" t="s">
        <v>457</v>
      </c>
      <c r="E1343" s="125" t="s">
        <v>189</v>
      </c>
      <c r="F1343" s="126">
        <v>41360.0</v>
      </c>
      <c r="G1343" s="127">
        <v>1.04E8</v>
      </c>
      <c r="H1343" s="126">
        <v>41385.0</v>
      </c>
      <c r="I1343" s="128">
        <v>7290.0</v>
      </c>
      <c r="J1343" s="128">
        <v>9.33</v>
      </c>
      <c r="K1343" s="128">
        <v>6.92</v>
      </c>
      <c r="L1343" s="128">
        <v>68015.7</v>
      </c>
      <c r="M1343" s="128">
        <v>50446.8</v>
      </c>
      <c r="N1343" s="128">
        <v>17568.9</v>
      </c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</row>
    <row r="1344">
      <c r="A1344" s="125" t="s">
        <v>451</v>
      </c>
      <c r="B1344" s="125" t="s">
        <v>596</v>
      </c>
      <c r="C1344" s="125" t="s">
        <v>460</v>
      </c>
      <c r="D1344" s="125" t="s">
        <v>457</v>
      </c>
      <c r="E1344" s="125" t="s">
        <v>472</v>
      </c>
      <c r="F1344" s="126">
        <v>42343.0</v>
      </c>
      <c r="G1344" s="127">
        <v>5.6E8</v>
      </c>
      <c r="H1344" s="126">
        <v>42382.0</v>
      </c>
      <c r="I1344" s="128">
        <v>956.0</v>
      </c>
      <c r="J1344" s="128">
        <v>47.45</v>
      </c>
      <c r="K1344" s="128">
        <v>31.79</v>
      </c>
      <c r="L1344" s="128">
        <v>45362.2</v>
      </c>
      <c r="M1344" s="128">
        <v>30391.24</v>
      </c>
      <c r="N1344" s="128">
        <v>14970.96</v>
      </c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</row>
    <row r="1345">
      <c r="A1345" s="125" t="s">
        <v>458</v>
      </c>
      <c r="B1345" s="125" t="s">
        <v>606</v>
      </c>
      <c r="C1345" s="125" t="s">
        <v>506</v>
      </c>
      <c r="D1345" s="125" t="s">
        <v>454</v>
      </c>
      <c r="E1345" s="125" t="s">
        <v>284</v>
      </c>
      <c r="F1345" s="126">
        <v>40528.0</v>
      </c>
      <c r="G1345" s="127">
        <v>3.86E8</v>
      </c>
      <c r="H1345" s="126">
        <v>40545.0</v>
      </c>
      <c r="I1345" s="128">
        <v>9501.0</v>
      </c>
      <c r="J1345" s="128">
        <v>154.06</v>
      </c>
      <c r="K1345" s="128">
        <v>90.93</v>
      </c>
      <c r="L1345" s="128">
        <v>1463724.0</v>
      </c>
      <c r="M1345" s="128">
        <v>863925.9</v>
      </c>
      <c r="N1345" s="128">
        <v>599798.1</v>
      </c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</row>
    <row r="1346">
      <c r="A1346" s="125" t="s">
        <v>475</v>
      </c>
      <c r="B1346" s="125" t="s">
        <v>575</v>
      </c>
      <c r="C1346" s="125" t="s">
        <v>506</v>
      </c>
      <c r="D1346" s="125" t="s">
        <v>457</v>
      </c>
      <c r="E1346" s="125" t="s">
        <v>284</v>
      </c>
      <c r="F1346" s="126">
        <v>41032.0</v>
      </c>
      <c r="G1346" s="127">
        <v>4.38E8</v>
      </c>
      <c r="H1346" s="126">
        <v>41075.0</v>
      </c>
      <c r="I1346" s="128">
        <v>8399.0</v>
      </c>
      <c r="J1346" s="128">
        <v>154.06</v>
      </c>
      <c r="K1346" s="128">
        <v>90.93</v>
      </c>
      <c r="L1346" s="128">
        <v>1293950.0</v>
      </c>
      <c r="M1346" s="128">
        <v>763721.1</v>
      </c>
      <c r="N1346" s="128">
        <v>530228.9</v>
      </c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</row>
    <row r="1347">
      <c r="A1347" s="125" t="s">
        <v>458</v>
      </c>
      <c r="B1347" s="125" t="s">
        <v>559</v>
      </c>
      <c r="C1347" s="125" t="s">
        <v>453</v>
      </c>
      <c r="D1347" s="125" t="s">
        <v>454</v>
      </c>
      <c r="E1347" s="125" t="s">
        <v>189</v>
      </c>
      <c r="F1347" s="126">
        <v>42446.0</v>
      </c>
      <c r="G1347" s="127">
        <v>7.4E8</v>
      </c>
      <c r="H1347" s="126">
        <v>42483.0</v>
      </c>
      <c r="I1347" s="128">
        <v>153.0</v>
      </c>
      <c r="J1347" s="128">
        <v>255.28</v>
      </c>
      <c r="K1347" s="128">
        <v>159.42</v>
      </c>
      <c r="L1347" s="128">
        <v>39057.84</v>
      </c>
      <c r="M1347" s="128">
        <v>24391.26</v>
      </c>
      <c r="N1347" s="128">
        <v>14666.58</v>
      </c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</row>
    <row r="1348">
      <c r="A1348" s="125" t="s">
        <v>475</v>
      </c>
      <c r="B1348" s="125" t="s">
        <v>513</v>
      </c>
      <c r="C1348" s="125" t="s">
        <v>453</v>
      </c>
      <c r="D1348" s="125" t="s">
        <v>457</v>
      </c>
      <c r="E1348" s="125" t="s">
        <v>189</v>
      </c>
      <c r="F1348" s="126">
        <v>40985.0</v>
      </c>
      <c r="G1348" s="127">
        <v>9.38E8</v>
      </c>
      <c r="H1348" s="126">
        <v>41019.0</v>
      </c>
      <c r="I1348" s="128">
        <v>9301.0</v>
      </c>
      <c r="J1348" s="128">
        <v>255.28</v>
      </c>
      <c r="K1348" s="128">
        <v>159.42</v>
      </c>
      <c r="L1348" s="128">
        <v>2374359.0</v>
      </c>
      <c r="M1348" s="128">
        <v>1482765.0</v>
      </c>
      <c r="N1348" s="128">
        <v>891593.9</v>
      </c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</row>
    <row r="1349">
      <c r="A1349" s="125" t="s">
        <v>458</v>
      </c>
      <c r="B1349" s="125" t="s">
        <v>613</v>
      </c>
      <c r="C1349" s="125" t="s">
        <v>478</v>
      </c>
      <c r="D1349" s="125" t="s">
        <v>457</v>
      </c>
      <c r="E1349" s="125" t="s">
        <v>284</v>
      </c>
      <c r="F1349" s="126">
        <v>42933.0</v>
      </c>
      <c r="G1349" s="127">
        <v>7.48E8</v>
      </c>
      <c r="H1349" s="126">
        <v>42938.0</v>
      </c>
      <c r="I1349" s="128">
        <v>7410.0</v>
      </c>
      <c r="J1349" s="128">
        <v>651.21</v>
      </c>
      <c r="K1349" s="128">
        <v>524.96</v>
      </c>
      <c r="L1349" s="128">
        <v>4825466.0</v>
      </c>
      <c r="M1349" s="128">
        <v>3889954.0</v>
      </c>
      <c r="N1349" s="128">
        <v>935512.5</v>
      </c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</row>
    <row r="1350">
      <c r="A1350" s="125" t="s">
        <v>466</v>
      </c>
      <c r="B1350" s="125" t="s">
        <v>534</v>
      </c>
      <c r="C1350" s="125" t="s">
        <v>514</v>
      </c>
      <c r="D1350" s="125" t="s">
        <v>454</v>
      </c>
      <c r="E1350" s="125" t="s">
        <v>189</v>
      </c>
      <c r="F1350" s="126">
        <v>41133.0</v>
      </c>
      <c r="G1350" s="127">
        <v>4.05E8</v>
      </c>
      <c r="H1350" s="126">
        <v>41170.0</v>
      </c>
      <c r="I1350" s="128">
        <v>8078.0</v>
      </c>
      <c r="J1350" s="128">
        <v>668.27</v>
      </c>
      <c r="K1350" s="128">
        <v>502.54</v>
      </c>
      <c r="L1350" s="128">
        <v>5398285.0</v>
      </c>
      <c r="M1350" s="128">
        <v>4059518.0</v>
      </c>
      <c r="N1350" s="128">
        <v>1338767.0</v>
      </c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</row>
    <row r="1351">
      <c r="A1351" s="125" t="s">
        <v>458</v>
      </c>
      <c r="B1351" s="125" t="s">
        <v>652</v>
      </c>
      <c r="C1351" s="125" t="s">
        <v>468</v>
      </c>
      <c r="D1351" s="125" t="s">
        <v>457</v>
      </c>
      <c r="E1351" s="125" t="s">
        <v>189</v>
      </c>
      <c r="F1351" s="126">
        <v>41264.0</v>
      </c>
      <c r="G1351" s="127">
        <v>2.16E8</v>
      </c>
      <c r="H1351" s="126">
        <v>41267.0</v>
      </c>
      <c r="I1351" s="128">
        <v>1935.0</v>
      </c>
      <c r="J1351" s="128">
        <v>81.73</v>
      </c>
      <c r="K1351" s="128">
        <v>56.67</v>
      </c>
      <c r="L1351" s="128">
        <v>158147.6</v>
      </c>
      <c r="M1351" s="128">
        <v>109656.5</v>
      </c>
      <c r="N1351" s="128">
        <v>48491.1</v>
      </c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</row>
    <row r="1352">
      <c r="A1352" s="125" t="s">
        <v>451</v>
      </c>
      <c r="B1352" s="125" t="s">
        <v>592</v>
      </c>
      <c r="C1352" s="125" t="s">
        <v>468</v>
      </c>
      <c r="D1352" s="125" t="s">
        <v>457</v>
      </c>
      <c r="E1352" s="125" t="s">
        <v>464</v>
      </c>
      <c r="F1352" s="126">
        <v>41097.0</v>
      </c>
      <c r="G1352" s="127">
        <v>1.07E8</v>
      </c>
      <c r="H1352" s="126">
        <v>41140.0</v>
      </c>
      <c r="I1352" s="128">
        <v>1643.0</v>
      </c>
      <c r="J1352" s="128">
        <v>81.73</v>
      </c>
      <c r="K1352" s="128">
        <v>56.67</v>
      </c>
      <c r="L1352" s="128">
        <v>134282.4</v>
      </c>
      <c r="M1352" s="128">
        <v>93108.81</v>
      </c>
      <c r="N1352" s="128">
        <v>41173.58</v>
      </c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</row>
    <row r="1353">
      <c r="A1353" s="125" t="s">
        <v>458</v>
      </c>
      <c r="B1353" s="125" t="s">
        <v>582</v>
      </c>
      <c r="C1353" s="125" t="s">
        <v>506</v>
      </c>
      <c r="D1353" s="125" t="s">
        <v>457</v>
      </c>
      <c r="E1353" s="125" t="s">
        <v>284</v>
      </c>
      <c r="F1353" s="126">
        <v>42939.0</v>
      </c>
      <c r="G1353" s="127">
        <v>9.75E8</v>
      </c>
      <c r="H1353" s="126">
        <v>42967.0</v>
      </c>
      <c r="I1353" s="128">
        <v>6893.0</v>
      </c>
      <c r="J1353" s="128">
        <v>154.06</v>
      </c>
      <c r="K1353" s="128">
        <v>90.93</v>
      </c>
      <c r="L1353" s="128">
        <v>1061936.0</v>
      </c>
      <c r="M1353" s="128">
        <v>626780.5</v>
      </c>
      <c r="N1353" s="128">
        <v>435155.1</v>
      </c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</row>
    <row r="1354">
      <c r="A1354" s="125" t="s">
        <v>458</v>
      </c>
      <c r="B1354" s="125" t="s">
        <v>473</v>
      </c>
      <c r="C1354" s="125" t="s">
        <v>453</v>
      </c>
      <c r="D1354" s="125" t="s">
        <v>454</v>
      </c>
      <c r="E1354" s="125" t="s">
        <v>464</v>
      </c>
      <c r="F1354" s="126">
        <v>41191.0</v>
      </c>
      <c r="G1354" s="127">
        <v>6.38E8</v>
      </c>
      <c r="H1354" s="126">
        <v>41241.0</v>
      </c>
      <c r="I1354" s="128">
        <v>9410.0</v>
      </c>
      <c r="J1354" s="128">
        <v>255.28</v>
      </c>
      <c r="K1354" s="128">
        <v>159.42</v>
      </c>
      <c r="L1354" s="128">
        <v>2402185.0</v>
      </c>
      <c r="M1354" s="128">
        <v>1500142.0</v>
      </c>
      <c r="N1354" s="128">
        <v>902042.6</v>
      </c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</row>
    <row r="1355">
      <c r="A1355" s="125" t="s">
        <v>458</v>
      </c>
      <c r="B1355" s="125" t="s">
        <v>614</v>
      </c>
      <c r="C1355" s="125" t="s">
        <v>480</v>
      </c>
      <c r="D1355" s="125" t="s">
        <v>454</v>
      </c>
      <c r="E1355" s="125" t="s">
        <v>284</v>
      </c>
      <c r="F1355" s="126">
        <v>40320.0</v>
      </c>
      <c r="G1355" s="127">
        <v>5.83E8</v>
      </c>
      <c r="H1355" s="126">
        <v>40355.0</v>
      </c>
      <c r="I1355" s="128">
        <v>7948.0</v>
      </c>
      <c r="J1355" s="128">
        <v>437.2</v>
      </c>
      <c r="K1355" s="128">
        <v>263.33</v>
      </c>
      <c r="L1355" s="128">
        <v>3474866.0</v>
      </c>
      <c r="M1355" s="128">
        <v>2092947.0</v>
      </c>
      <c r="N1355" s="128">
        <v>1381919.0</v>
      </c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</row>
    <row r="1356">
      <c r="A1356" s="125" t="s">
        <v>458</v>
      </c>
      <c r="B1356" s="125" t="s">
        <v>563</v>
      </c>
      <c r="C1356" s="125" t="s">
        <v>456</v>
      </c>
      <c r="D1356" s="125" t="s">
        <v>454</v>
      </c>
      <c r="E1356" s="125" t="s">
        <v>189</v>
      </c>
      <c r="F1356" s="126">
        <v>42419.0</v>
      </c>
      <c r="G1356" s="127">
        <v>1.18E8</v>
      </c>
      <c r="H1356" s="126">
        <v>42442.0</v>
      </c>
      <c r="I1356" s="128">
        <v>3293.0</v>
      </c>
      <c r="J1356" s="128">
        <v>152.58</v>
      </c>
      <c r="K1356" s="128">
        <v>97.44</v>
      </c>
      <c r="L1356" s="128">
        <v>502445.9</v>
      </c>
      <c r="M1356" s="128">
        <v>320869.9</v>
      </c>
      <c r="N1356" s="128">
        <v>181576.0</v>
      </c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</row>
    <row r="1357">
      <c r="A1357" s="125" t="s">
        <v>475</v>
      </c>
      <c r="B1357" s="125" t="s">
        <v>536</v>
      </c>
      <c r="C1357" s="125" t="s">
        <v>478</v>
      </c>
      <c r="D1357" s="125" t="s">
        <v>454</v>
      </c>
      <c r="E1357" s="125" t="s">
        <v>464</v>
      </c>
      <c r="F1357" s="126">
        <v>40289.0</v>
      </c>
      <c r="G1357" s="127">
        <v>4.21E8</v>
      </c>
      <c r="H1357" s="126">
        <v>40333.0</v>
      </c>
      <c r="I1357" s="128">
        <v>3264.0</v>
      </c>
      <c r="J1357" s="128">
        <v>651.21</v>
      </c>
      <c r="K1357" s="128">
        <v>524.96</v>
      </c>
      <c r="L1357" s="128">
        <v>2125549.0</v>
      </c>
      <c r="M1357" s="128">
        <v>1713469.0</v>
      </c>
      <c r="N1357" s="128">
        <v>412080.0</v>
      </c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</row>
    <row r="1358">
      <c r="A1358" s="125" t="s">
        <v>451</v>
      </c>
      <c r="B1358" s="125" t="s">
        <v>587</v>
      </c>
      <c r="C1358" s="125" t="s">
        <v>471</v>
      </c>
      <c r="D1358" s="125" t="s">
        <v>457</v>
      </c>
      <c r="E1358" s="125" t="s">
        <v>284</v>
      </c>
      <c r="F1358" s="126">
        <v>40947.0</v>
      </c>
      <c r="G1358" s="127">
        <v>4.91E8</v>
      </c>
      <c r="H1358" s="126">
        <v>40986.0</v>
      </c>
      <c r="I1358" s="128">
        <v>7707.0</v>
      </c>
      <c r="J1358" s="128">
        <v>109.28</v>
      </c>
      <c r="K1358" s="128">
        <v>35.84</v>
      </c>
      <c r="L1358" s="128">
        <v>842221.0</v>
      </c>
      <c r="M1358" s="128">
        <v>276218.9</v>
      </c>
      <c r="N1358" s="128">
        <v>566002.1</v>
      </c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</row>
    <row r="1359">
      <c r="A1359" s="125" t="s">
        <v>458</v>
      </c>
      <c r="B1359" s="125" t="s">
        <v>555</v>
      </c>
      <c r="C1359" s="125" t="s">
        <v>453</v>
      </c>
      <c r="D1359" s="125" t="s">
        <v>457</v>
      </c>
      <c r="E1359" s="125" t="s">
        <v>284</v>
      </c>
      <c r="F1359" s="126">
        <v>42121.0</v>
      </c>
      <c r="G1359" s="127">
        <v>2.96E8</v>
      </c>
      <c r="H1359" s="126">
        <v>42159.0</v>
      </c>
      <c r="I1359" s="128">
        <v>3504.0</v>
      </c>
      <c r="J1359" s="128">
        <v>255.28</v>
      </c>
      <c r="K1359" s="128">
        <v>159.42</v>
      </c>
      <c r="L1359" s="128">
        <v>894501.1</v>
      </c>
      <c r="M1359" s="128">
        <v>558607.7</v>
      </c>
      <c r="N1359" s="128">
        <v>335893.4</v>
      </c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</row>
    <row r="1360">
      <c r="A1360" s="125" t="s">
        <v>451</v>
      </c>
      <c r="B1360" s="125" t="s">
        <v>482</v>
      </c>
      <c r="C1360" s="125" t="s">
        <v>453</v>
      </c>
      <c r="D1360" s="125" t="s">
        <v>454</v>
      </c>
      <c r="E1360" s="125" t="s">
        <v>189</v>
      </c>
      <c r="F1360" s="126">
        <v>41928.0</v>
      </c>
      <c r="G1360" s="127">
        <v>3.26E8</v>
      </c>
      <c r="H1360" s="126">
        <v>41962.0</v>
      </c>
      <c r="I1360" s="128">
        <v>9565.0</v>
      </c>
      <c r="J1360" s="128">
        <v>255.28</v>
      </c>
      <c r="K1360" s="128">
        <v>159.42</v>
      </c>
      <c r="L1360" s="128">
        <v>2441753.0</v>
      </c>
      <c r="M1360" s="128">
        <v>1524852.0</v>
      </c>
      <c r="N1360" s="128">
        <v>916900.9</v>
      </c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</row>
    <row r="1361">
      <c r="A1361" s="125" t="s">
        <v>461</v>
      </c>
      <c r="B1361" s="125" t="s">
        <v>465</v>
      </c>
      <c r="C1361" s="125" t="s">
        <v>471</v>
      </c>
      <c r="D1361" s="125" t="s">
        <v>454</v>
      </c>
      <c r="E1361" s="125" t="s">
        <v>464</v>
      </c>
      <c r="F1361" s="126">
        <v>40254.0</v>
      </c>
      <c r="G1361" s="127">
        <v>2.39E8</v>
      </c>
      <c r="H1361" s="126">
        <v>40264.0</v>
      </c>
      <c r="I1361" s="128">
        <v>1834.0</v>
      </c>
      <c r="J1361" s="128">
        <v>109.28</v>
      </c>
      <c r="K1361" s="128">
        <v>35.84</v>
      </c>
      <c r="L1361" s="128">
        <v>200419.5</v>
      </c>
      <c r="M1361" s="128">
        <v>65730.56</v>
      </c>
      <c r="N1361" s="128">
        <v>134689.0</v>
      </c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</row>
    <row r="1362">
      <c r="A1362" s="125" t="s">
        <v>488</v>
      </c>
      <c r="B1362" s="125" t="s">
        <v>489</v>
      </c>
      <c r="C1362" s="125" t="s">
        <v>460</v>
      </c>
      <c r="D1362" s="125" t="s">
        <v>457</v>
      </c>
      <c r="E1362" s="125" t="s">
        <v>464</v>
      </c>
      <c r="F1362" s="126">
        <v>42908.0</v>
      </c>
      <c r="G1362" s="127">
        <v>2.17E8</v>
      </c>
      <c r="H1362" s="126">
        <v>42919.0</v>
      </c>
      <c r="I1362" s="128">
        <v>8282.0</v>
      </c>
      <c r="J1362" s="128">
        <v>47.45</v>
      </c>
      <c r="K1362" s="128">
        <v>31.79</v>
      </c>
      <c r="L1362" s="128">
        <v>392980.9</v>
      </c>
      <c r="M1362" s="128">
        <v>263284.8</v>
      </c>
      <c r="N1362" s="128">
        <v>129696.1</v>
      </c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</row>
    <row r="1363">
      <c r="A1363" s="125" t="s">
        <v>461</v>
      </c>
      <c r="B1363" s="125" t="s">
        <v>462</v>
      </c>
      <c r="C1363" s="125" t="s">
        <v>494</v>
      </c>
      <c r="D1363" s="125" t="s">
        <v>457</v>
      </c>
      <c r="E1363" s="125" t="s">
        <v>472</v>
      </c>
      <c r="F1363" s="126">
        <v>40876.0</v>
      </c>
      <c r="G1363" s="127">
        <v>5.08E8</v>
      </c>
      <c r="H1363" s="126">
        <v>40895.0</v>
      </c>
      <c r="I1363" s="128">
        <v>3916.0</v>
      </c>
      <c r="J1363" s="128">
        <v>9.33</v>
      </c>
      <c r="K1363" s="128">
        <v>6.92</v>
      </c>
      <c r="L1363" s="128">
        <v>36536.28</v>
      </c>
      <c r="M1363" s="128">
        <v>27098.72</v>
      </c>
      <c r="N1363" s="128">
        <v>9437.56</v>
      </c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</row>
    <row r="1364">
      <c r="A1364" s="125" t="s">
        <v>451</v>
      </c>
      <c r="B1364" s="125" t="s">
        <v>587</v>
      </c>
      <c r="C1364" s="125" t="s">
        <v>506</v>
      </c>
      <c r="D1364" s="125" t="s">
        <v>454</v>
      </c>
      <c r="E1364" s="125" t="s">
        <v>464</v>
      </c>
      <c r="F1364" s="126">
        <v>42128.0</v>
      </c>
      <c r="G1364" s="127">
        <v>9.83E8</v>
      </c>
      <c r="H1364" s="126">
        <v>42161.0</v>
      </c>
      <c r="I1364" s="128">
        <v>5772.0</v>
      </c>
      <c r="J1364" s="128">
        <v>154.06</v>
      </c>
      <c r="K1364" s="128">
        <v>90.93</v>
      </c>
      <c r="L1364" s="128">
        <v>889234.3</v>
      </c>
      <c r="M1364" s="128">
        <v>524848.0</v>
      </c>
      <c r="N1364" s="128">
        <v>364386.4</v>
      </c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</row>
    <row r="1365">
      <c r="A1365" s="125" t="s">
        <v>475</v>
      </c>
      <c r="B1365" s="125" t="s">
        <v>619</v>
      </c>
      <c r="C1365" s="125" t="s">
        <v>471</v>
      </c>
      <c r="D1365" s="125" t="s">
        <v>457</v>
      </c>
      <c r="E1365" s="125" t="s">
        <v>472</v>
      </c>
      <c r="F1365" s="126">
        <v>42575.0</v>
      </c>
      <c r="G1365" s="127">
        <v>6.83E8</v>
      </c>
      <c r="H1365" s="126">
        <v>42610.0</v>
      </c>
      <c r="I1365" s="128">
        <v>7916.0</v>
      </c>
      <c r="J1365" s="128">
        <v>109.28</v>
      </c>
      <c r="K1365" s="128">
        <v>35.84</v>
      </c>
      <c r="L1365" s="128">
        <v>865060.5</v>
      </c>
      <c r="M1365" s="128">
        <v>283709.4</v>
      </c>
      <c r="N1365" s="128">
        <v>581351.0</v>
      </c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</row>
    <row r="1366">
      <c r="A1366" s="125" t="s">
        <v>458</v>
      </c>
      <c r="B1366" s="125" t="s">
        <v>547</v>
      </c>
      <c r="C1366" s="125" t="s">
        <v>456</v>
      </c>
      <c r="D1366" s="125" t="s">
        <v>454</v>
      </c>
      <c r="E1366" s="125" t="s">
        <v>189</v>
      </c>
      <c r="F1366" s="126">
        <v>41283.0</v>
      </c>
      <c r="G1366" s="127">
        <v>9.68E8</v>
      </c>
      <c r="H1366" s="126">
        <v>41308.0</v>
      </c>
      <c r="I1366" s="128">
        <v>6448.0</v>
      </c>
      <c r="J1366" s="128">
        <v>152.58</v>
      </c>
      <c r="K1366" s="128">
        <v>97.44</v>
      </c>
      <c r="L1366" s="128">
        <v>983835.8</v>
      </c>
      <c r="M1366" s="128">
        <v>628293.1</v>
      </c>
      <c r="N1366" s="128">
        <v>355542.7</v>
      </c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</row>
    <row r="1367">
      <c r="A1367" s="125" t="s">
        <v>451</v>
      </c>
      <c r="B1367" s="125" t="s">
        <v>483</v>
      </c>
      <c r="C1367" s="125" t="s">
        <v>494</v>
      </c>
      <c r="D1367" s="125" t="s">
        <v>457</v>
      </c>
      <c r="E1367" s="125" t="s">
        <v>472</v>
      </c>
      <c r="F1367" s="126">
        <v>41858.0</v>
      </c>
      <c r="G1367" s="127">
        <v>5.71E8</v>
      </c>
      <c r="H1367" s="126">
        <v>41897.0</v>
      </c>
      <c r="I1367" s="128">
        <v>4497.0</v>
      </c>
      <c r="J1367" s="128">
        <v>9.33</v>
      </c>
      <c r="K1367" s="128">
        <v>6.92</v>
      </c>
      <c r="L1367" s="128">
        <v>41957.01</v>
      </c>
      <c r="M1367" s="128">
        <v>31119.24</v>
      </c>
      <c r="N1367" s="128">
        <v>10837.77</v>
      </c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</row>
    <row r="1368">
      <c r="A1368" s="125" t="s">
        <v>475</v>
      </c>
      <c r="B1368" s="125" t="s">
        <v>536</v>
      </c>
      <c r="C1368" s="125" t="s">
        <v>453</v>
      </c>
      <c r="D1368" s="125" t="s">
        <v>454</v>
      </c>
      <c r="E1368" s="125" t="s">
        <v>189</v>
      </c>
      <c r="F1368" s="126">
        <v>42761.0</v>
      </c>
      <c r="G1368" s="127">
        <v>5.42E8</v>
      </c>
      <c r="H1368" s="126">
        <v>42787.0</v>
      </c>
      <c r="I1368" s="128">
        <v>7224.0</v>
      </c>
      <c r="J1368" s="128">
        <v>255.28</v>
      </c>
      <c r="K1368" s="128">
        <v>159.42</v>
      </c>
      <c r="L1368" s="128">
        <v>1844143.0</v>
      </c>
      <c r="M1368" s="128">
        <v>1151650.0</v>
      </c>
      <c r="N1368" s="128">
        <v>692492.6</v>
      </c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</row>
    <row r="1369">
      <c r="A1369" s="125" t="s">
        <v>475</v>
      </c>
      <c r="B1369" s="125" t="s">
        <v>552</v>
      </c>
      <c r="C1369" s="125" t="s">
        <v>485</v>
      </c>
      <c r="D1369" s="125" t="s">
        <v>454</v>
      </c>
      <c r="E1369" s="125" t="s">
        <v>472</v>
      </c>
      <c r="F1369" s="126">
        <v>41460.0</v>
      </c>
      <c r="G1369" s="127">
        <v>2.04E8</v>
      </c>
      <c r="H1369" s="126">
        <v>41486.0</v>
      </c>
      <c r="I1369" s="128">
        <v>6823.0</v>
      </c>
      <c r="J1369" s="128">
        <v>421.89</v>
      </c>
      <c r="K1369" s="128">
        <v>364.69</v>
      </c>
      <c r="L1369" s="128">
        <v>2878555.0</v>
      </c>
      <c r="M1369" s="128">
        <v>2488280.0</v>
      </c>
      <c r="N1369" s="128">
        <v>390275.6</v>
      </c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</row>
    <row r="1370">
      <c r="A1370" s="125" t="s">
        <v>475</v>
      </c>
      <c r="B1370" s="125" t="s">
        <v>500</v>
      </c>
      <c r="C1370" s="125" t="s">
        <v>471</v>
      </c>
      <c r="D1370" s="125" t="s">
        <v>457</v>
      </c>
      <c r="E1370" s="125" t="s">
        <v>472</v>
      </c>
      <c r="F1370" s="126">
        <v>41344.0</v>
      </c>
      <c r="G1370" s="127">
        <v>2.99E8</v>
      </c>
      <c r="H1370" s="126">
        <v>41382.0</v>
      </c>
      <c r="I1370" s="128">
        <v>7516.0</v>
      </c>
      <c r="J1370" s="128">
        <v>109.28</v>
      </c>
      <c r="K1370" s="128">
        <v>35.84</v>
      </c>
      <c r="L1370" s="128">
        <v>821348.5</v>
      </c>
      <c r="M1370" s="128">
        <v>269373.4</v>
      </c>
      <c r="N1370" s="128">
        <v>551975.0</v>
      </c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</row>
    <row r="1371">
      <c r="A1371" s="125" t="s">
        <v>451</v>
      </c>
      <c r="B1371" s="125" t="s">
        <v>587</v>
      </c>
      <c r="C1371" s="125" t="s">
        <v>463</v>
      </c>
      <c r="D1371" s="125" t="s">
        <v>454</v>
      </c>
      <c r="E1371" s="125" t="s">
        <v>189</v>
      </c>
      <c r="F1371" s="126">
        <v>42041.0</v>
      </c>
      <c r="G1371" s="127">
        <v>7.39E8</v>
      </c>
      <c r="H1371" s="126">
        <v>42044.0</v>
      </c>
      <c r="I1371" s="128">
        <v>558.0</v>
      </c>
      <c r="J1371" s="128">
        <v>205.7</v>
      </c>
      <c r="K1371" s="128">
        <v>117.11</v>
      </c>
      <c r="L1371" s="128">
        <v>114780.6</v>
      </c>
      <c r="M1371" s="128">
        <v>65347.38</v>
      </c>
      <c r="N1371" s="128">
        <v>49433.22</v>
      </c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</row>
    <row r="1372">
      <c r="A1372" s="125" t="s">
        <v>451</v>
      </c>
      <c r="B1372" s="125" t="s">
        <v>550</v>
      </c>
      <c r="C1372" s="125" t="s">
        <v>480</v>
      </c>
      <c r="D1372" s="125" t="s">
        <v>454</v>
      </c>
      <c r="E1372" s="125" t="s">
        <v>189</v>
      </c>
      <c r="F1372" s="126">
        <v>40802.0</v>
      </c>
      <c r="G1372" s="127">
        <v>1.57E8</v>
      </c>
      <c r="H1372" s="126">
        <v>40825.0</v>
      </c>
      <c r="I1372" s="128">
        <v>9236.0</v>
      </c>
      <c r="J1372" s="128">
        <v>437.2</v>
      </c>
      <c r="K1372" s="128">
        <v>263.33</v>
      </c>
      <c r="L1372" s="128">
        <v>4037979.0</v>
      </c>
      <c r="M1372" s="128">
        <v>2432116.0</v>
      </c>
      <c r="N1372" s="128">
        <v>1605863.0</v>
      </c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</row>
    <row r="1373">
      <c r="A1373" s="125" t="s">
        <v>466</v>
      </c>
      <c r="B1373" s="125" t="s">
        <v>524</v>
      </c>
      <c r="C1373" s="125" t="s">
        <v>494</v>
      </c>
      <c r="D1373" s="125" t="s">
        <v>457</v>
      </c>
      <c r="E1373" s="125" t="s">
        <v>464</v>
      </c>
      <c r="F1373" s="126">
        <v>42183.0</v>
      </c>
      <c r="G1373" s="127">
        <v>8.57E8</v>
      </c>
      <c r="H1373" s="126">
        <v>42224.0</v>
      </c>
      <c r="I1373" s="128">
        <v>3867.0</v>
      </c>
      <c r="J1373" s="128">
        <v>9.33</v>
      </c>
      <c r="K1373" s="128">
        <v>6.92</v>
      </c>
      <c r="L1373" s="128">
        <v>36079.11</v>
      </c>
      <c r="M1373" s="128">
        <v>26759.64</v>
      </c>
      <c r="N1373" s="128">
        <v>9319.47</v>
      </c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</row>
    <row r="1374">
      <c r="A1374" s="125" t="s">
        <v>475</v>
      </c>
      <c r="B1374" s="125" t="s">
        <v>571</v>
      </c>
      <c r="C1374" s="125" t="s">
        <v>456</v>
      </c>
      <c r="D1374" s="125" t="s">
        <v>457</v>
      </c>
      <c r="E1374" s="125" t="s">
        <v>464</v>
      </c>
      <c r="F1374" s="126">
        <v>42832.0</v>
      </c>
      <c r="G1374" s="127">
        <v>2.62E8</v>
      </c>
      <c r="H1374" s="126">
        <v>42840.0</v>
      </c>
      <c r="I1374" s="128">
        <v>6800.0</v>
      </c>
      <c r="J1374" s="128">
        <v>152.58</v>
      </c>
      <c r="K1374" s="128">
        <v>97.44</v>
      </c>
      <c r="L1374" s="128">
        <v>1037544.0</v>
      </c>
      <c r="M1374" s="128">
        <v>662592.0</v>
      </c>
      <c r="N1374" s="128">
        <v>374952.0</v>
      </c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</row>
    <row r="1375">
      <c r="A1375" s="125" t="s">
        <v>458</v>
      </c>
      <c r="B1375" s="125" t="s">
        <v>582</v>
      </c>
      <c r="C1375" s="125" t="s">
        <v>453</v>
      </c>
      <c r="D1375" s="125" t="s">
        <v>457</v>
      </c>
      <c r="E1375" s="125" t="s">
        <v>189</v>
      </c>
      <c r="F1375" s="126">
        <v>41165.0</v>
      </c>
      <c r="G1375" s="127">
        <v>3.65E8</v>
      </c>
      <c r="H1375" s="126">
        <v>41185.0</v>
      </c>
      <c r="I1375" s="128">
        <v>7413.0</v>
      </c>
      <c r="J1375" s="128">
        <v>255.28</v>
      </c>
      <c r="K1375" s="128">
        <v>159.42</v>
      </c>
      <c r="L1375" s="128">
        <v>1892391.0</v>
      </c>
      <c r="M1375" s="128">
        <v>1181780.0</v>
      </c>
      <c r="N1375" s="128">
        <v>710610.2</v>
      </c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</row>
    <row r="1376">
      <c r="A1376" s="125" t="s">
        <v>458</v>
      </c>
      <c r="B1376" s="125" t="s">
        <v>505</v>
      </c>
      <c r="C1376" s="125" t="s">
        <v>480</v>
      </c>
      <c r="D1376" s="125" t="s">
        <v>454</v>
      </c>
      <c r="E1376" s="125" t="s">
        <v>284</v>
      </c>
      <c r="F1376" s="126">
        <v>41523.0</v>
      </c>
      <c r="G1376" s="127">
        <v>9.81E8</v>
      </c>
      <c r="H1376" s="126">
        <v>41555.0</v>
      </c>
      <c r="I1376" s="128">
        <v>7120.0</v>
      </c>
      <c r="J1376" s="128">
        <v>437.2</v>
      </c>
      <c r="K1376" s="128">
        <v>263.33</v>
      </c>
      <c r="L1376" s="128">
        <v>3112864.0</v>
      </c>
      <c r="M1376" s="128">
        <v>1874910.0</v>
      </c>
      <c r="N1376" s="128">
        <v>1237954.0</v>
      </c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</row>
    <row r="1377">
      <c r="A1377" s="125" t="s">
        <v>461</v>
      </c>
      <c r="B1377" s="125" t="s">
        <v>595</v>
      </c>
      <c r="C1377" s="125" t="s">
        <v>480</v>
      </c>
      <c r="D1377" s="125" t="s">
        <v>457</v>
      </c>
      <c r="E1377" s="125" t="s">
        <v>464</v>
      </c>
      <c r="F1377" s="126">
        <v>41719.0</v>
      </c>
      <c r="G1377" s="127">
        <v>1.94E8</v>
      </c>
      <c r="H1377" s="126">
        <v>41756.0</v>
      </c>
      <c r="I1377" s="128">
        <v>4361.0</v>
      </c>
      <c r="J1377" s="128">
        <v>437.2</v>
      </c>
      <c r="K1377" s="128">
        <v>263.33</v>
      </c>
      <c r="L1377" s="128">
        <v>1906629.0</v>
      </c>
      <c r="M1377" s="128">
        <v>1148382.0</v>
      </c>
      <c r="N1377" s="128">
        <v>758247.1</v>
      </c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</row>
    <row r="1378">
      <c r="A1378" s="125" t="s">
        <v>466</v>
      </c>
      <c r="B1378" s="125" t="s">
        <v>524</v>
      </c>
      <c r="C1378" s="125" t="s">
        <v>506</v>
      </c>
      <c r="D1378" s="125" t="s">
        <v>457</v>
      </c>
      <c r="E1378" s="125" t="s">
        <v>472</v>
      </c>
      <c r="F1378" s="126">
        <v>42721.0</v>
      </c>
      <c r="G1378" s="127">
        <v>2.1E8</v>
      </c>
      <c r="H1378" s="126">
        <v>42765.0</v>
      </c>
      <c r="I1378" s="128">
        <v>9611.0</v>
      </c>
      <c r="J1378" s="128">
        <v>154.06</v>
      </c>
      <c r="K1378" s="128">
        <v>90.93</v>
      </c>
      <c r="L1378" s="128">
        <v>1480671.0</v>
      </c>
      <c r="M1378" s="128">
        <v>873928.2</v>
      </c>
      <c r="N1378" s="128">
        <v>606742.4</v>
      </c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</row>
    <row r="1379">
      <c r="A1379" s="125" t="s">
        <v>458</v>
      </c>
      <c r="B1379" s="125" t="s">
        <v>603</v>
      </c>
      <c r="C1379" s="125" t="s">
        <v>494</v>
      </c>
      <c r="D1379" s="125" t="s">
        <v>457</v>
      </c>
      <c r="E1379" s="125" t="s">
        <v>284</v>
      </c>
      <c r="F1379" s="126">
        <v>41738.0</v>
      </c>
      <c r="G1379" s="127">
        <v>6.02E8</v>
      </c>
      <c r="H1379" s="126">
        <v>41786.0</v>
      </c>
      <c r="I1379" s="128">
        <v>374.0</v>
      </c>
      <c r="J1379" s="128">
        <v>9.33</v>
      </c>
      <c r="K1379" s="128">
        <v>6.92</v>
      </c>
      <c r="L1379" s="128">
        <v>3489.42</v>
      </c>
      <c r="M1379" s="128">
        <v>2588.08</v>
      </c>
      <c r="N1379" s="128">
        <v>901.34</v>
      </c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</row>
    <row r="1380">
      <c r="A1380" s="125" t="s">
        <v>451</v>
      </c>
      <c r="B1380" s="125" t="s">
        <v>592</v>
      </c>
      <c r="C1380" s="125" t="s">
        <v>480</v>
      </c>
      <c r="D1380" s="125" t="s">
        <v>454</v>
      </c>
      <c r="E1380" s="125" t="s">
        <v>284</v>
      </c>
      <c r="F1380" s="126">
        <v>41899.0</v>
      </c>
      <c r="G1380" s="127">
        <v>5.67E8</v>
      </c>
      <c r="H1380" s="126">
        <v>41907.0</v>
      </c>
      <c r="I1380" s="128">
        <v>6187.0</v>
      </c>
      <c r="J1380" s="128">
        <v>437.2</v>
      </c>
      <c r="K1380" s="128">
        <v>263.33</v>
      </c>
      <c r="L1380" s="128">
        <v>2704956.0</v>
      </c>
      <c r="M1380" s="128">
        <v>1629223.0</v>
      </c>
      <c r="N1380" s="128">
        <v>1075734.0</v>
      </c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</row>
    <row r="1381">
      <c r="A1381" s="125" t="s">
        <v>475</v>
      </c>
      <c r="B1381" s="125" t="s">
        <v>537</v>
      </c>
      <c r="C1381" s="125" t="s">
        <v>468</v>
      </c>
      <c r="D1381" s="125" t="s">
        <v>457</v>
      </c>
      <c r="E1381" s="125" t="s">
        <v>189</v>
      </c>
      <c r="F1381" s="126">
        <v>42573.0</v>
      </c>
      <c r="G1381" s="127">
        <v>2.69E8</v>
      </c>
      <c r="H1381" s="126">
        <v>42596.0</v>
      </c>
      <c r="I1381" s="128">
        <v>3617.0</v>
      </c>
      <c r="J1381" s="128">
        <v>81.73</v>
      </c>
      <c r="K1381" s="128">
        <v>56.67</v>
      </c>
      <c r="L1381" s="128">
        <v>295617.4</v>
      </c>
      <c r="M1381" s="128">
        <v>204975.4</v>
      </c>
      <c r="N1381" s="128">
        <v>90642.02</v>
      </c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</row>
    <row r="1382">
      <c r="A1382" s="125" t="s">
        <v>466</v>
      </c>
      <c r="B1382" s="125" t="s">
        <v>568</v>
      </c>
      <c r="C1382" s="125" t="s">
        <v>478</v>
      </c>
      <c r="D1382" s="125" t="s">
        <v>457</v>
      </c>
      <c r="E1382" s="125" t="s">
        <v>464</v>
      </c>
      <c r="F1382" s="126">
        <v>40753.0</v>
      </c>
      <c r="G1382" s="127">
        <v>3.96E8</v>
      </c>
      <c r="H1382" s="126">
        <v>40754.0</v>
      </c>
      <c r="I1382" s="128">
        <v>1263.0</v>
      </c>
      <c r="J1382" s="128">
        <v>651.21</v>
      </c>
      <c r="K1382" s="128">
        <v>524.96</v>
      </c>
      <c r="L1382" s="128">
        <v>822478.2</v>
      </c>
      <c r="M1382" s="128">
        <v>663024.5</v>
      </c>
      <c r="N1382" s="128">
        <v>159453.8</v>
      </c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</row>
    <row r="1383">
      <c r="A1383" s="125" t="s">
        <v>475</v>
      </c>
      <c r="B1383" s="125" t="s">
        <v>623</v>
      </c>
      <c r="C1383" s="125" t="s">
        <v>463</v>
      </c>
      <c r="D1383" s="125" t="s">
        <v>457</v>
      </c>
      <c r="E1383" s="125" t="s">
        <v>284</v>
      </c>
      <c r="F1383" s="126">
        <v>40734.0</v>
      </c>
      <c r="G1383" s="127">
        <v>8.03E8</v>
      </c>
      <c r="H1383" s="126">
        <v>40779.0</v>
      </c>
      <c r="I1383" s="128">
        <v>4754.0</v>
      </c>
      <c r="J1383" s="128">
        <v>205.7</v>
      </c>
      <c r="K1383" s="128">
        <v>117.11</v>
      </c>
      <c r="L1383" s="128">
        <v>977897.8</v>
      </c>
      <c r="M1383" s="128">
        <v>556740.9</v>
      </c>
      <c r="N1383" s="128">
        <v>421156.9</v>
      </c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</row>
    <row r="1384">
      <c r="A1384" s="125" t="s">
        <v>475</v>
      </c>
      <c r="B1384" s="125" t="s">
        <v>549</v>
      </c>
      <c r="C1384" s="125" t="s">
        <v>478</v>
      </c>
      <c r="D1384" s="125" t="s">
        <v>454</v>
      </c>
      <c r="E1384" s="125" t="s">
        <v>189</v>
      </c>
      <c r="F1384" s="126">
        <v>41670.0</v>
      </c>
      <c r="G1384" s="127">
        <v>9.67E8</v>
      </c>
      <c r="H1384" s="126">
        <v>41682.0</v>
      </c>
      <c r="I1384" s="128">
        <v>1752.0</v>
      </c>
      <c r="J1384" s="128">
        <v>651.21</v>
      </c>
      <c r="K1384" s="128">
        <v>524.96</v>
      </c>
      <c r="L1384" s="128">
        <v>1140920.0</v>
      </c>
      <c r="M1384" s="128">
        <v>919729.9</v>
      </c>
      <c r="N1384" s="128">
        <v>221190.0</v>
      </c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</row>
    <row r="1385">
      <c r="A1385" s="125" t="s">
        <v>475</v>
      </c>
      <c r="B1385" s="125" t="s">
        <v>476</v>
      </c>
      <c r="C1385" s="125" t="s">
        <v>468</v>
      </c>
      <c r="D1385" s="125" t="s">
        <v>454</v>
      </c>
      <c r="E1385" s="125" t="s">
        <v>464</v>
      </c>
      <c r="F1385" s="126">
        <v>41721.0</v>
      </c>
      <c r="G1385" s="127">
        <v>4.35E8</v>
      </c>
      <c r="H1385" s="126">
        <v>41727.0</v>
      </c>
      <c r="I1385" s="128">
        <v>6948.0</v>
      </c>
      <c r="J1385" s="128">
        <v>81.73</v>
      </c>
      <c r="K1385" s="128">
        <v>56.67</v>
      </c>
      <c r="L1385" s="128">
        <v>567860.0</v>
      </c>
      <c r="M1385" s="128">
        <v>393743.2</v>
      </c>
      <c r="N1385" s="128">
        <v>174116.9</v>
      </c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</row>
    <row r="1386">
      <c r="A1386" s="125" t="s">
        <v>466</v>
      </c>
      <c r="B1386" s="125" t="s">
        <v>531</v>
      </c>
      <c r="C1386" s="125" t="s">
        <v>506</v>
      </c>
      <c r="D1386" s="125" t="s">
        <v>454</v>
      </c>
      <c r="E1386" s="125" t="s">
        <v>284</v>
      </c>
      <c r="F1386" s="126">
        <v>42199.0</v>
      </c>
      <c r="G1386" s="127">
        <v>1.74E8</v>
      </c>
      <c r="H1386" s="126">
        <v>42240.0</v>
      </c>
      <c r="I1386" s="128">
        <v>7067.0</v>
      </c>
      <c r="J1386" s="128">
        <v>154.06</v>
      </c>
      <c r="K1386" s="128">
        <v>90.93</v>
      </c>
      <c r="L1386" s="128">
        <v>1088742.0</v>
      </c>
      <c r="M1386" s="128">
        <v>642602.3</v>
      </c>
      <c r="N1386" s="128">
        <v>446139.7</v>
      </c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</row>
    <row r="1387">
      <c r="A1387" s="125" t="s">
        <v>458</v>
      </c>
      <c r="B1387" s="125" t="s">
        <v>547</v>
      </c>
      <c r="C1387" s="125" t="s">
        <v>514</v>
      </c>
      <c r="D1387" s="125" t="s">
        <v>454</v>
      </c>
      <c r="E1387" s="125" t="s">
        <v>464</v>
      </c>
      <c r="F1387" s="126">
        <v>40660.0</v>
      </c>
      <c r="G1387" s="127">
        <v>3.22E8</v>
      </c>
      <c r="H1387" s="126">
        <v>40677.0</v>
      </c>
      <c r="I1387" s="128">
        <v>5864.0</v>
      </c>
      <c r="J1387" s="128">
        <v>668.27</v>
      </c>
      <c r="K1387" s="128">
        <v>502.54</v>
      </c>
      <c r="L1387" s="128">
        <v>3918735.0</v>
      </c>
      <c r="M1387" s="128">
        <v>2946895.0</v>
      </c>
      <c r="N1387" s="128">
        <v>971840.7</v>
      </c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</row>
    <row r="1388">
      <c r="A1388" s="125" t="s">
        <v>469</v>
      </c>
      <c r="B1388" s="125" t="s">
        <v>647</v>
      </c>
      <c r="C1388" s="125" t="s">
        <v>463</v>
      </c>
      <c r="D1388" s="125" t="s">
        <v>457</v>
      </c>
      <c r="E1388" s="125" t="s">
        <v>189</v>
      </c>
      <c r="F1388" s="126">
        <v>40578.0</v>
      </c>
      <c r="G1388" s="127">
        <v>6.36E8</v>
      </c>
      <c r="H1388" s="126">
        <v>40578.0</v>
      </c>
      <c r="I1388" s="128">
        <v>9125.0</v>
      </c>
      <c r="J1388" s="128">
        <v>205.7</v>
      </c>
      <c r="K1388" s="128">
        <v>117.11</v>
      </c>
      <c r="L1388" s="128">
        <v>1877013.0</v>
      </c>
      <c r="M1388" s="128">
        <v>1068629.0</v>
      </c>
      <c r="N1388" s="128">
        <v>808383.8</v>
      </c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</row>
    <row r="1389">
      <c r="A1389" s="125" t="s">
        <v>458</v>
      </c>
      <c r="B1389" s="125" t="s">
        <v>545</v>
      </c>
      <c r="C1389" s="125" t="s">
        <v>485</v>
      </c>
      <c r="D1389" s="125" t="s">
        <v>454</v>
      </c>
      <c r="E1389" s="125" t="s">
        <v>464</v>
      </c>
      <c r="F1389" s="126">
        <v>41669.0</v>
      </c>
      <c r="G1389" s="127">
        <v>9.45E8</v>
      </c>
      <c r="H1389" s="126">
        <v>41714.0</v>
      </c>
      <c r="I1389" s="128">
        <v>9666.0</v>
      </c>
      <c r="J1389" s="128">
        <v>421.89</v>
      </c>
      <c r="K1389" s="128">
        <v>364.69</v>
      </c>
      <c r="L1389" s="128">
        <v>4077989.0</v>
      </c>
      <c r="M1389" s="128">
        <v>3525094.0</v>
      </c>
      <c r="N1389" s="128">
        <v>552895.2</v>
      </c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</row>
    <row r="1390">
      <c r="A1390" s="125" t="s">
        <v>451</v>
      </c>
      <c r="B1390" s="125" t="s">
        <v>646</v>
      </c>
      <c r="C1390" s="125" t="s">
        <v>506</v>
      </c>
      <c r="D1390" s="125" t="s">
        <v>454</v>
      </c>
      <c r="E1390" s="125" t="s">
        <v>189</v>
      </c>
      <c r="F1390" s="126">
        <v>41269.0</v>
      </c>
      <c r="G1390" s="127">
        <v>6.97E8</v>
      </c>
      <c r="H1390" s="126">
        <v>41287.0</v>
      </c>
      <c r="I1390" s="128">
        <v>2337.0</v>
      </c>
      <c r="J1390" s="128">
        <v>154.06</v>
      </c>
      <c r="K1390" s="128">
        <v>90.93</v>
      </c>
      <c r="L1390" s="128">
        <v>360038.2</v>
      </c>
      <c r="M1390" s="128">
        <v>212503.4</v>
      </c>
      <c r="N1390" s="128">
        <v>147534.8</v>
      </c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</row>
    <row r="1391">
      <c r="A1391" s="125" t="s">
        <v>458</v>
      </c>
      <c r="B1391" s="125" t="s">
        <v>555</v>
      </c>
      <c r="C1391" s="125" t="s">
        <v>480</v>
      </c>
      <c r="D1391" s="125" t="s">
        <v>457</v>
      </c>
      <c r="E1391" s="125" t="s">
        <v>472</v>
      </c>
      <c r="F1391" s="126">
        <v>41257.0</v>
      </c>
      <c r="G1391" s="127">
        <v>3.11E8</v>
      </c>
      <c r="H1391" s="126">
        <v>41280.0</v>
      </c>
      <c r="I1391" s="128">
        <v>9018.0</v>
      </c>
      <c r="J1391" s="128">
        <v>437.2</v>
      </c>
      <c r="K1391" s="128">
        <v>263.33</v>
      </c>
      <c r="L1391" s="128">
        <v>3942670.0</v>
      </c>
      <c r="M1391" s="128">
        <v>2374710.0</v>
      </c>
      <c r="N1391" s="128">
        <v>1567960.0</v>
      </c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</row>
    <row r="1392">
      <c r="A1392" s="125" t="s">
        <v>475</v>
      </c>
      <c r="B1392" s="125" t="s">
        <v>579</v>
      </c>
      <c r="C1392" s="125" t="s">
        <v>478</v>
      </c>
      <c r="D1392" s="125" t="s">
        <v>454</v>
      </c>
      <c r="E1392" s="125" t="s">
        <v>284</v>
      </c>
      <c r="F1392" s="126">
        <v>41129.0</v>
      </c>
      <c r="G1392" s="127">
        <v>7.26E8</v>
      </c>
      <c r="H1392" s="126">
        <v>41160.0</v>
      </c>
      <c r="I1392" s="128">
        <v>3620.0</v>
      </c>
      <c r="J1392" s="128">
        <v>651.21</v>
      </c>
      <c r="K1392" s="128">
        <v>524.96</v>
      </c>
      <c r="L1392" s="128">
        <v>2357380.0</v>
      </c>
      <c r="M1392" s="128">
        <v>1900355.0</v>
      </c>
      <c r="N1392" s="128">
        <v>457025.0</v>
      </c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</row>
    <row r="1393">
      <c r="A1393" s="125" t="s">
        <v>458</v>
      </c>
      <c r="B1393" s="125" t="s">
        <v>567</v>
      </c>
      <c r="C1393" s="125" t="s">
        <v>485</v>
      </c>
      <c r="D1393" s="125" t="s">
        <v>457</v>
      </c>
      <c r="E1393" s="125" t="s">
        <v>189</v>
      </c>
      <c r="F1393" s="126">
        <v>42157.0</v>
      </c>
      <c r="G1393" s="127">
        <v>2.51E8</v>
      </c>
      <c r="H1393" s="126">
        <v>42204.0</v>
      </c>
      <c r="I1393" s="128">
        <v>7084.0</v>
      </c>
      <c r="J1393" s="128">
        <v>421.89</v>
      </c>
      <c r="K1393" s="128">
        <v>364.69</v>
      </c>
      <c r="L1393" s="128">
        <v>2988669.0</v>
      </c>
      <c r="M1393" s="128">
        <v>2583464.0</v>
      </c>
      <c r="N1393" s="128">
        <v>405204.8</v>
      </c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</row>
    <row r="1394">
      <c r="A1394" s="125" t="s">
        <v>475</v>
      </c>
      <c r="B1394" s="125" t="s">
        <v>548</v>
      </c>
      <c r="C1394" s="125" t="s">
        <v>468</v>
      </c>
      <c r="D1394" s="125" t="s">
        <v>454</v>
      </c>
      <c r="E1394" s="125" t="s">
        <v>472</v>
      </c>
      <c r="F1394" s="126">
        <v>40470.0</v>
      </c>
      <c r="G1394" s="127">
        <v>4.17E8</v>
      </c>
      <c r="H1394" s="126">
        <v>40511.0</v>
      </c>
      <c r="I1394" s="128">
        <v>2385.0</v>
      </c>
      <c r="J1394" s="128">
        <v>81.73</v>
      </c>
      <c r="K1394" s="128">
        <v>56.67</v>
      </c>
      <c r="L1394" s="128">
        <v>194926.1</v>
      </c>
      <c r="M1394" s="128">
        <v>135158.0</v>
      </c>
      <c r="N1394" s="128">
        <v>59768.1</v>
      </c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</row>
    <row r="1395">
      <c r="A1395" s="125" t="s">
        <v>466</v>
      </c>
      <c r="B1395" s="125" t="s">
        <v>467</v>
      </c>
      <c r="C1395" s="125" t="s">
        <v>460</v>
      </c>
      <c r="D1395" s="125" t="s">
        <v>454</v>
      </c>
      <c r="E1395" s="125" t="s">
        <v>189</v>
      </c>
      <c r="F1395" s="126">
        <v>42264.0</v>
      </c>
      <c r="G1395" s="127">
        <v>1.23E8</v>
      </c>
      <c r="H1395" s="126">
        <v>42286.0</v>
      </c>
      <c r="I1395" s="128">
        <v>9528.0</v>
      </c>
      <c r="J1395" s="128">
        <v>47.45</v>
      </c>
      <c r="K1395" s="128">
        <v>31.79</v>
      </c>
      <c r="L1395" s="128">
        <v>452103.6</v>
      </c>
      <c r="M1395" s="128">
        <v>302895.1</v>
      </c>
      <c r="N1395" s="128">
        <v>149208.5</v>
      </c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</row>
    <row r="1396">
      <c r="A1396" s="125" t="s">
        <v>475</v>
      </c>
      <c r="B1396" s="125" t="s">
        <v>526</v>
      </c>
      <c r="C1396" s="125" t="s">
        <v>468</v>
      </c>
      <c r="D1396" s="125" t="s">
        <v>454</v>
      </c>
      <c r="E1396" s="125" t="s">
        <v>284</v>
      </c>
      <c r="F1396" s="126">
        <v>40297.0</v>
      </c>
      <c r="G1396" s="127">
        <v>5.9E8</v>
      </c>
      <c r="H1396" s="126">
        <v>40308.0</v>
      </c>
      <c r="I1396" s="128">
        <v>548.0</v>
      </c>
      <c r="J1396" s="128">
        <v>81.73</v>
      </c>
      <c r="K1396" s="128">
        <v>56.67</v>
      </c>
      <c r="L1396" s="128">
        <v>44788.04</v>
      </c>
      <c r="M1396" s="128">
        <v>31055.16</v>
      </c>
      <c r="N1396" s="128">
        <v>13732.88</v>
      </c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</row>
    <row r="1397">
      <c r="A1397" s="125" t="s">
        <v>451</v>
      </c>
      <c r="B1397" s="125" t="s">
        <v>587</v>
      </c>
      <c r="C1397" s="125" t="s">
        <v>471</v>
      </c>
      <c r="D1397" s="125" t="s">
        <v>454</v>
      </c>
      <c r="E1397" s="125" t="s">
        <v>464</v>
      </c>
      <c r="F1397" s="126">
        <v>42928.0</v>
      </c>
      <c r="G1397" s="127">
        <v>4.08E8</v>
      </c>
      <c r="H1397" s="126">
        <v>42947.0</v>
      </c>
      <c r="I1397" s="128">
        <v>4514.0</v>
      </c>
      <c r="J1397" s="128">
        <v>109.28</v>
      </c>
      <c r="K1397" s="128">
        <v>35.84</v>
      </c>
      <c r="L1397" s="128">
        <v>493289.9</v>
      </c>
      <c r="M1397" s="128">
        <v>161781.8</v>
      </c>
      <c r="N1397" s="128">
        <v>331508.2</v>
      </c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</row>
    <row r="1398">
      <c r="A1398" s="125" t="s">
        <v>458</v>
      </c>
      <c r="B1398" s="125" t="s">
        <v>614</v>
      </c>
      <c r="C1398" s="125" t="s">
        <v>494</v>
      </c>
      <c r="D1398" s="125" t="s">
        <v>454</v>
      </c>
      <c r="E1398" s="125" t="s">
        <v>464</v>
      </c>
      <c r="F1398" s="126">
        <v>42308.0</v>
      </c>
      <c r="G1398" s="127">
        <v>4.88E8</v>
      </c>
      <c r="H1398" s="126">
        <v>42326.0</v>
      </c>
      <c r="I1398" s="128">
        <v>2523.0</v>
      </c>
      <c r="J1398" s="128">
        <v>9.33</v>
      </c>
      <c r="K1398" s="128">
        <v>6.92</v>
      </c>
      <c r="L1398" s="128">
        <v>23539.59</v>
      </c>
      <c r="M1398" s="128">
        <v>17459.16</v>
      </c>
      <c r="N1398" s="128">
        <v>6080.43</v>
      </c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</row>
    <row r="1399">
      <c r="A1399" s="125" t="s">
        <v>466</v>
      </c>
      <c r="B1399" s="125" t="s">
        <v>479</v>
      </c>
      <c r="C1399" s="125" t="s">
        <v>463</v>
      </c>
      <c r="D1399" s="125" t="s">
        <v>457</v>
      </c>
      <c r="E1399" s="125" t="s">
        <v>472</v>
      </c>
      <c r="F1399" s="126">
        <v>40658.0</v>
      </c>
      <c r="G1399" s="127">
        <v>9.12E8</v>
      </c>
      <c r="H1399" s="126">
        <v>40678.0</v>
      </c>
      <c r="I1399" s="128">
        <v>2706.0</v>
      </c>
      <c r="J1399" s="128">
        <v>205.7</v>
      </c>
      <c r="K1399" s="128">
        <v>117.11</v>
      </c>
      <c r="L1399" s="128">
        <v>556624.2</v>
      </c>
      <c r="M1399" s="128">
        <v>316899.7</v>
      </c>
      <c r="N1399" s="128">
        <v>239724.5</v>
      </c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</row>
    <row r="1400">
      <c r="A1400" s="125" t="s">
        <v>466</v>
      </c>
      <c r="B1400" s="125" t="s">
        <v>658</v>
      </c>
      <c r="C1400" s="125" t="s">
        <v>460</v>
      </c>
      <c r="D1400" s="125" t="s">
        <v>454</v>
      </c>
      <c r="E1400" s="125" t="s">
        <v>464</v>
      </c>
      <c r="F1400" s="126">
        <v>40590.0</v>
      </c>
      <c r="G1400" s="127">
        <v>4.82E8</v>
      </c>
      <c r="H1400" s="126">
        <v>40640.0</v>
      </c>
      <c r="I1400" s="128">
        <v>5224.0</v>
      </c>
      <c r="J1400" s="128">
        <v>47.45</v>
      </c>
      <c r="K1400" s="128">
        <v>31.79</v>
      </c>
      <c r="L1400" s="128">
        <v>247878.8</v>
      </c>
      <c r="M1400" s="128">
        <v>166071.0</v>
      </c>
      <c r="N1400" s="128">
        <v>81807.84</v>
      </c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</row>
    <row r="1401">
      <c r="A1401" s="125" t="s">
        <v>475</v>
      </c>
      <c r="B1401" s="125" t="s">
        <v>623</v>
      </c>
      <c r="C1401" s="125" t="s">
        <v>468</v>
      </c>
      <c r="D1401" s="125" t="s">
        <v>454</v>
      </c>
      <c r="E1401" s="125" t="s">
        <v>464</v>
      </c>
      <c r="F1401" s="126">
        <v>40955.0</v>
      </c>
      <c r="G1401" s="127">
        <v>7.68E8</v>
      </c>
      <c r="H1401" s="126">
        <v>40975.0</v>
      </c>
      <c r="I1401" s="128">
        <v>7269.0</v>
      </c>
      <c r="J1401" s="128">
        <v>81.73</v>
      </c>
      <c r="K1401" s="128">
        <v>56.67</v>
      </c>
      <c r="L1401" s="128">
        <v>594095.4</v>
      </c>
      <c r="M1401" s="128">
        <v>411934.2</v>
      </c>
      <c r="N1401" s="128">
        <v>182161.1</v>
      </c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</row>
    <row r="1402">
      <c r="A1402" s="125" t="s">
        <v>458</v>
      </c>
      <c r="B1402" s="125" t="s">
        <v>641</v>
      </c>
      <c r="C1402" s="125" t="s">
        <v>471</v>
      </c>
      <c r="D1402" s="125" t="s">
        <v>454</v>
      </c>
      <c r="E1402" s="125" t="s">
        <v>189</v>
      </c>
      <c r="F1402" s="126">
        <v>40991.0</v>
      </c>
      <c r="G1402" s="127">
        <v>2.64E8</v>
      </c>
      <c r="H1402" s="126">
        <v>40998.0</v>
      </c>
      <c r="I1402" s="128">
        <v>8064.0</v>
      </c>
      <c r="J1402" s="128">
        <v>109.28</v>
      </c>
      <c r="K1402" s="128">
        <v>35.84</v>
      </c>
      <c r="L1402" s="128">
        <v>881233.9</v>
      </c>
      <c r="M1402" s="128">
        <v>289013.8</v>
      </c>
      <c r="N1402" s="128">
        <v>592220.2</v>
      </c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</row>
    <row r="1403">
      <c r="A1403" s="125" t="s">
        <v>475</v>
      </c>
      <c r="B1403" s="125" t="s">
        <v>548</v>
      </c>
      <c r="C1403" s="125" t="s">
        <v>460</v>
      </c>
      <c r="D1403" s="125" t="s">
        <v>454</v>
      </c>
      <c r="E1403" s="125" t="s">
        <v>464</v>
      </c>
      <c r="F1403" s="126">
        <v>41711.0</v>
      </c>
      <c r="G1403" s="127">
        <v>2.31E8</v>
      </c>
      <c r="H1403" s="126">
        <v>41737.0</v>
      </c>
      <c r="I1403" s="128">
        <v>3865.0</v>
      </c>
      <c r="J1403" s="128">
        <v>47.45</v>
      </c>
      <c r="K1403" s="128">
        <v>31.79</v>
      </c>
      <c r="L1403" s="128">
        <v>183394.3</v>
      </c>
      <c r="M1403" s="128">
        <v>122868.4</v>
      </c>
      <c r="N1403" s="128">
        <v>60525.9</v>
      </c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</row>
    <row r="1404">
      <c r="A1404" s="125" t="s">
        <v>458</v>
      </c>
      <c r="B1404" s="125" t="s">
        <v>509</v>
      </c>
      <c r="C1404" s="125" t="s">
        <v>468</v>
      </c>
      <c r="D1404" s="125" t="s">
        <v>457</v>
      </c>
      <c r="E1404" s="125" t="s">
        <v>472</v>
      </c>
      <c r="F1404" s="126">
        <v>41748.0</v>
      </c>
      <c r="G1404" s="127">
        <v>6.54E8</v>
      </c>
      <c r="H1404" s="126">
        <v>41752.0</v>
      </c>
      <c r="I1404" s="128">
        <v>2958.0</v>
      </c>
      <c r="J1404" s="128">
        <v>81.73</v>
      </c>
      <c r="K1404" s="128">
        <v>56.67</v>
      </c>
      <c r="L1404" s="128">
        <v>241757.3</v>
      </c>
      <c r="M1404" s="128">
        <v>167629.9</v>
      </c>
      <c r="N1404" s="128">
        <v>74127.48</v>
      </c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</row>
    <row r="1405">
      <c r="A1405" s="125" t="s">
        <v>458</v>
      </c>
      <c r="B1405" s="125" t="s">
        <v>610</v>
      </c>
      <c r="C1405" s="125" t="s">
        <v>480</v>
      </c>
      <c r="D1405" s="125" t="s">
        <v>454</v>
      </c>
      <c r="E1405" s="125" t="s">
        <v>464</v>
      </c>
      <c r="F1405" s="126">
        <v>41510.0</v>
      </c>
      <c r="G1405" s="127">
        <v>6.84E8</v>
      </c>
      <c r="H1405" s="126">
        <v>41517.0</v>
      </c>
      <c r="I1405" s="128">
        <v>661.0</v>
      </c>
      <c r="J1405" s="128">
        <v>437.2</v>
      </c>
      <c r="K1405" s="128">
        <v>263.33</v>
      </c>
      <c r="L1405" s="128">
        <v>288989.2</v>
      </c>
      <c r="M1405" s="128">
        <v>174061.1</v>
      </c>
      <c r="N1405" s="128">
        <v>114928.1</v>
      </c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</row>
    <row r="1406">
      <c r="A1406" s="125" t="s">
        <v>475</v>
      </c>
      <c r="B1406" s="125" t="s">
        <v>537</v>
      </c>
      <c r="C1406" s="125" t="s">
        <v>463</v>
      </c>
      <c r="D1406" s="125" t="s">
        <v>457</v>
      </c>
      <c r="E1406" s="125" t="s">
        <v>189</v>
      </c>
      <c r="F1406" s="126">
        <v>41793.0</v>
      </c>
      <c r="G1406" s="127">
        <v>8.96E8</v>
      </c>
      <c r="H1406" s="126">
        <v>41809.0</v>
      </c>
      <c r="I1406" s="128">
        <v>4321.0</v>
      </c>
      <c r="J1406" s="128">
        <v>205.7</v>
      </c>
      <c r="K1406" s="128">
        <v>117.11</v>
      </c>
      <c r="L1406" s="128">
        <v>888829.7</v>
      </c>
      <c r="M1406" s="128">
        <v>506032.3</v>
      </c>
      <c r="N1406" s="128">
        <v>382797.4</v>
      </c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</row>
    <row r="1407">
      <c r="A1407" s="125" t="s">
        <v>458</v>
      </c>
      <c r="B1407" s="125" t="s">
        <v>641</v>
      </c>
      <c r="C1407" s="125" t="s">
        <v>468</v>
      </c>
      <c r="D1407" s="125" t="s">
        <v>454</v>
      </c>
      <c r="E1407" s="125" t="s">
        <v>472</v>
      </c>
      <c r="F1407" s="126">
        <v>42396.0</v>
      </c>
      <c r="G1407" s="127">
        <v>1.33E8</v>
      </c>
      <c r="H1407" s="126">
        <v>42444.0</v>
      </c>
      <c r="I1407" s="128">
        <v>8318.0</v>
      </c>
      <c r="J1407" s="128">
        <v>81.73</v>
      </c>
      <c r="K1407" s="128">
        <v>56.67</v>
      </c>
      <c r="L1407" s="128">
        <v>679830.1</v>
      </c>
      <c r="M1407" s="128">
        <v>471381.1</v>
      </c>
      <c r="N1407" s="128">
        <v>208449.1</v>
      </c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</row>
    <row r="1408">
      <c r="A1408" s="125" t="s">
        <v>461</v>
      </c>
      <c r="B1408" s="125" t="s">
        <v>611</v>
      </c>
      <c r="C1408" s="125" t="s">
        <v>471</v>
      </c>
      <c r="D1408" s="125" t="s">
        <v>457</v>
      </c>
      <c r="E1408" s="125" t="s">
        <v>472</v>
      </c>
      <c r="F1408" s="126">
        <v>40746.0</v>
      </c>
      <c r="G1408" s="127">
        <v>4.6E8</v>
      </c>
      <c r="H1408" s="126">
        <v>40778.0</v>
      </c>
      <c r="I1408" s="128">
        <v>9065.0</v>
      </c>
      <c r="J1408" s="128">
        <v>109.28</v>
      </c>
      <c r="K1408" s="128">
        <v>35.84</v>
      </c>
      <c r="L1408" s="128">
        <v>990623.2</v>
      </c>
      <c r="M1408" s="128">
        <v>324889.6</v>
      </c>
      <c r="N1408" s="128">
        <v>665733.6</v>
      </c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</row>
    <row r="1409">
      <c r="A1409" s="125" t="s">
        <v>475</v>
      </c>
      <c r="B1409" s="125" t="s">
        <v>604</v>
      </c>
      <c r="C1409" s="125" t="s">
        <v>471</v>
      </c>
      <c r="D1409" s="125" t="s">
        <v>454</v>
      </c>
      <c r="E1409" s="125" t="s">
        <v>189</v>
      </c>
      <c r="F1409" s="126">
        <v>41570.0</v>
      </c>
      <c r="G1409" s="127">
        <v>4.1E8</v>
      </c>
      <c r="H1409" s="126">
        <v>41610.0</v>
      </c>
      <c r="I1409" s="128">
        <v>2.0</v>
      </c>
      <c r="J1409" s="128">
        <v>109.28</v>
      </c>
      <c r="K1409" s="128">
        <v>35.84</v>
      </c>
      <c r="L1409" s="128">
        <v>218.56</v>
      </c>
      <c r="M1409" s="128">
        <v>71.68</v>
      </c>
      <c r="N1409" s="128">
        <v>146.88</v>
      </c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</row>
    <row r="1410">
      <c r="A1410" s="125" t="s">
        <v>458</v>
      </c>
      <c r="B1410" s="125" t="s">
        <v>597</v>
      </c>
      <c r="C1410" s="125" t="s">
        <v>468</v>
      </c>
      <c r="D1410" s="125" t="s">
        <v>457</v>
      </c>
      <c r="E1410" s="125" t="s">
        <v>464</v>
      </c>
      <c r="F1410" s="126">
        <v>41687.0</v>
      </c>
      <c r="G1410" s="127">
        <v>8.39E8</v>
      </c>
      <c r="H1410" s="126">
        <v>41689.0</v>
      </c>
      <c r="I1410" s="128">
        <v>6605.0</v>
      </c>
      <c r="J1410" s="128">
        <v>81.73</v>
      </c>
      <c r="K1410" s="128">
        <v>56.67</v>
      </c>
      <c r="L1410" s="128">
        <v>539826.7</v>
      </c>
      <c r="M1410" s="128">
        <v>374305.4</v>
      </c>
      <c r="N1410" s="128">
        <v>165521.3</v>
      </c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</row>
    <row r="1411">
      <c r="A1411" s="125" t="s">
        <v>451</v>
      </c>
      <c r="B1411" s="125" t="s">
        <v>592</v>
      </c>
      <c r="C1411" s="125" t="s">
        <v>506</v>
      </c>
      <c r="D1411" s="125" t="s">
        <v>454</v>
      </c>
      <c r="E1411" s="125" t="s">
        <v>189</v>
      </c>
      <c r="F1411" s="126">
        <v>42456.0</v>
      </c>
      <c r="G1411" s="127">
        <v>8.71E8</v>
      </c>
      <c r="H1411" s="126">
        <v>42498.0</v>
      </c>
      <c r="I1411" s="128">
        <v>1377.0</v>
      </c>
      <c r="J1411" s="128">
        <v>154.06</v>
      </c>
      <c r="K1411" s="128">
        <v>90.93</v>
      </c>
      <c r="L1411" s="128">
        <v>212140.6</v>
      </c>
      <c r="M1411" s="128">
        <v>125210.6</v>
      </c>
      <c r="N1411" s="128">
        <v>86930.01</v>
      </c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</row>
    <row r="1412">
      <c r="A1412" s="125" t="s">
        <v>466</v>
      </c>
      <c r="B1412" s="125" t="s">
        <v>524</v>
      </c>
      <c r="C1412" s="125" t="s">
        <v>514</v>
      </c>
      <c r="D1412" s="125" t="s">
        <v>457</v>
      </c>
      <c r="E1412" s="125" t="s">
        <v>284</v>
      </c>
      <c r="F1412" s="126">
        <v>42856.0</v>
      </c>
      <c r="G1412" s="127">
        <v>1.53E8</v>
      </c>
      <c r="H1412" s="126">
        <v>42897.0</v>
      </c>
      <c r="I1412" s="128">
        <v>8855.0</v>
      </c>
      <c r="J1412" s="128">
        <v>668.27</v>
      </c>
      <c r="K1412" s="128">
        <v>502.54</v>
      </c>
      <c r="L1412" s="128">
        <v>5917531.0</v>
      </c>
      <c r="M1412" s="128">
        <v>4449992.0</v>
      </c>
      <c r="N1412" s="128">
        <v>1467539.0</v>
      </c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</row>
    <row r="1413">
      <c r="A1413" s="125" t="s">
        <v>458</v>
      </c>
      <c r="B1413" s="125" t="s">
        <v>573</v>
      </c>
      <c r="C1413" s="125" t="s">
        <v>485</v>
      </c>
      <c r="D1413" s="125" t="s">
        <v>454</v>
      </c>
      <c r="E1413" s="125" t="s">
        <v>284</v>
      </c>
      <c r="F1413" s="126">
        <v>40873.0</v>
      </c>
      <c r="G1413" s="127">
        <v>1.99E8</v>
      </c>
      <c r="H1413" s="126">
        <v>40896.0</v>
      </c>
      <c r="I1413" s="128">
        <v>606.0</v>
      </c>
      <c r="J1413" s="128">
        <v>421.89</v>
      </c>
      <c r="K1413" s="128">
        <v>364.69</v>
      </c>
      <c r="L1413" s="128">
        <v>255665.3</v>
      </c>
      <c r="M1413" s="128">
        <v>221002.1</v>
      </c>
      <c r="N1413" s="128">
        <v>34663.2</v>
      </c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</row>
    <row r="1414">
      <c r="A1414" s="125" t="s">
        <v>469</v>
      </c>
      <c r="B1414" s="125" t="s">
        <v>569</v>
      </c>
      <c r="C1414" s="125" t="s">
        <v>485</v>
      </c>
      <c r="D1414" s="125" t="s">
        <v>457</v>
      </c>
      <c r="E1414" s="125" t="s">
        <v>284</v>
      </c>
      <c r="F1414" s="126">
        <v>40416.0</v>
      </c>
      <c r="G1414" s="127">
        <v>3.45E8</v>
      </c>
      <c r="H1414" s="126">
        <v>40440.0</v>
      </c>
      <c r="I1414" s="128">
        <v>229.0</v>
      </c>
      <c r="J1414" s="128">
        <v>421.89</v>
      </c>
      <c r="K1414" s="128">
        <v>364.69</v>
      </c>
      <c r="L1414" s="128">
        <v>96612.81</v>
      </c>
      <c r="M1414" s="128">
        <v>83514.01</v>
      </c>
      <c r="N1414" s="128">
        <v>13098.8</v>
      </c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</row>
    <row r="1415">
      <c r="A1415" s="125" t="s">
        <v>451</v>
      </c>
      <c r="B1415" s="125" t="s">
        <v>543</v>
      </c>
      <c r="C1415" s="125" t="s">
        <v>506</v>
      </c>
      <c r="D1415" s="125" t="s">
        <v>457</v>
      </c>
      <c r="E1415" s="125" t="s">
        <v>189</v>
      </c>
      <c r="F1415" s="126">
        <v>41630.0</v>
      </c>
      <c r="G1415" s="127">
        <v>8.98E8</v>
      </c>
      <c r="H1415" s="126">
        <v>41646.0</v>
      </c>
      <c r="I1415" s="128">
        <v>8354.0</v>
      </c>
      <c r="J1415" s="128">
        <v>154.06</v>
      </c>
      <c r="K1415" s="128">
        <v>90.93</v>
      </c>
      <c r="L1415" s="128">
        <v>1287017.0</v>
      </c>
      <c r="M1415" s="128">
        <v>759629.2</v>
      </c>
      <c r="N1415" s="128">
        <v>527388.0</v>
      </c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</row>
    <row r="1416">
      <c r="A1416" s="125" t="s">
        <v>458</v>
      </c>
      <c r="B1416" s="125" t="s">
        <v>554</v>
      </c>
      <c r="C1416" s="125" t="s">
        <v>485</v>
      </c>
      <c r="D1416" s="125" t="s">
        <v>454</v>
      </c>
      <c r="E1416" s="125" t="s">
        <v>189</v>
      </c>
      <c r="F1416" s="126">
        <v>42287.0</v>
      </c>
      <c r="G1416" s="127">
        <v>8.85E8</v>
      </c>
      <c r="H1416" s="126">
        <v>42326.0</v>
      </c>
      <c r="I1416" s="128">
        <v>7642.0</v>
      </c>
      <c r="J1416" s="128">
        <v>421.89</v>
      </c>
      <c r="K1416" s="128">
        <v>364.69</v>
      </c>
      <c r="L1416" s="128">
        <v>3224083.0</v>
      </c>
      <c r="M1416" s="128">
        <v>2786961.0</v>
      </c>
      <c r="N1416" s="128">
        <v>437122.4</v>
      </c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</row>
    <row r="1417">
      <c r="A1417" s="125" t="s">
        <v>458</v>
      </c>
      <c r="B1417" s="125" t="s">
        <v>583</v>
      </c>
      <c r="C1417" s="125" t="s">
        <v>468</v>
      </c>
      <c r="D1417" s="125" t="s">
        <v>457</v>
      </c>
      <c r="E1417" s="125" t="s">
        <v>472</v>
      </c>
      <c r="F1417" s="126">
        <v>41928.0</v>
      </c>
      <c r="G1417" s="127">
        <v>3.03E8</v>
      </c>
      <c r="H1417" s="126">
        <v>41945.0</v>
      </c>
      <c r="I1417" s="128">
        <v>7785.0</v>
      </c>
      <c r="J1417" s="128">
        <v>81.73</v>
      </c>
      <c r="K1417" s="128">
        <v>56.67</v>
      </c>
      <c r="L1417" s="128">
        <v>636268.1</v>
      </c>
      <c r="M1417" s="128">
        <v>441176.0</v>
      </c>
      <c r="N1417" s="128">
        <v>195092.1</v>
      </c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</row>
    <row r="1418">
      <c r="A1418" s="125" t="s">
        <v>475</v>
      </c>
      <c r="B1418" s="125" t="s">
        <v>536</v>
      </c>
      <c r="C1418" s="125" t="s">
        <v>460</v>
      </c>
      <c r="D1418" s="125" t="s">
        <v>454</v>
      </c>
      <c r="E1418" s="125" t="s">
        <v>464</v>
      </c>
      <c r="F1418" s="126">
        <v>40485.0</v>
      </c>
      <c r="G1418" s="127">
        <v>5.68E8</v>
      </c>
      <c r="H1418" s="126">
        <v>40524.0</v>
      </c>
      <c r="I1418" s="128">
        <v>506.0</v>
      </c>
      <c r="J1418" s="128">
        <v>47.45</v>
      </c>
      <c r="K1418" s="128">
        <v>31.79</v>
      </c>
      <c r="L1418" s="128">
        <v>24009.7</v>
      </c>
      <c r="M1418" s="128">
        <v>16085.74</v>
      </c>
      <c r="N1418" s="128">
        <v>7923.96</v>
      </c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</row>
    <row r="1419">
      <c r="A1419" s="125" t="s">
        <v>475</v>
      </c>
      <c r="B1419" s="125" t="s">
        <v>536</v>
      </c>
      <c r="C1419" s="125" t="s">
        <v>460</v>
      </c>
      <c r="D1419" s="125" t="s">
        <v>454</v>
      </c>
      <c r="E1419" s="125" t="s">
        <v>189</v>
      </c>
      <c r="F1419" s="126">
        <v>42426.0</v>
      </c>
      <c r="G1419" s="127">
        <v>4.68E8</v>
      </c>
      <c r="H1419" s="126">
        <v>42457.0</v>
      </c>
      <c r="I1419" s="128">
        <v>4562.0</v>
      </c>
      <c r="J1419" s="128">
        <v>47.45</v>
      </c>
      <c r="K1419" s="128">
        <v>31.79</v>
      </c>
      <c r="L1419" s="128">
        <v>216466.9</v>
      </c>
      <c r="M1419" s="128">
        <v>145026.0</v>
      </c>
      <c r="N1419" s="128">
        <v>71440.92</v>
      </c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</row>
    <row r="1420">
      <c r="A1420" s="125" t="s">
        <v>466</v>
      </c>
      <c r="B1420" s="125" t="s">
        <v>658</v>
      </c>
      <c r="C1420" s="125" t="s">
        <v>468</v>
      </c>
      <c r="D1420" s="125" t="s">
        <v>454</v>
      </c>
      <c r="E1420" s="125" t="s">
        <v>464</v>
      </c>
      <c r="F1420" s="126">
        <v>41546.0</v>
      </c>
      <c r="G1420" s="127">
        <v>2.11E8</v>
      </c>
      <c r="H1420" s="126">
        <v>41581.0</v>
      </c>
      <c r="I1420" s="128">
        <v>737.0</v>
      </c>
      <c r="J1420" s="128">
        <v>81.73</v>
      </c>
      <c r="K1420" s="128">
        <v>56.67</v>
      </c>
      <c r="L1420" s="128">
        <v>60235.01</v>
      </c>
      <c r="M1420" s="128">
        <v>41765.79</v>
      </c>
      <c r="N1420" s="128">
        <v>18469.22</v>
      </c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</row>
    <row r="1421">
      <c r="A1421" s="125" t="s">
        <v>458</v>
      </c>
      <c r="B1421" s="125" t="s">
        <v>614</v>
      </c>
      <c r="C1421" s="125" t="s">
        <v>478</v>
      </c>
      <c r="D1421" s="125" t="s">
        <v>454</v>
      </c>
      <c r="E1421" s="125" t="s">
        <v>464</v>
      </c>
      <c r="F1421" s="126">
        <v>41709.0</v>
      </c>
      <c r="G1421" s="127">
        <v>9.76E8</v>
      </c>
      <c r="H1421" s="126">
        <v>41737.0</v>
      </c>
      <c r="I1421" s="128">
        <v>6850.0</v>
      </c>
      <c r="J1421" s="128">
        <v>651.21</v>
      </c>
      <c r="K1421" s="128">
        <v>524.96</v>
      </c>
      <c r="L1421" s="128">
        <v>4460789.0</v>
      </c>
      <c r="M1421" s="128">
        <v>3595976.0</v>
      </c>
      <c r="N1421" s="128">
        <v>864812.5</v>
      </c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</row>
    <row r="1422">
      <c r="A1422" s="125" t="s">
        <v>458</v>
      </c>
      <c r="B1422" s="125" t="s">
        <v>573</v>
      </c>
      <c r="C1422" s="125" t="s">
        <v>480</v>
      </c>
      <c r="D1422" s="125" t="s">
        <v>457</v>
      </c>
      <c r="E1422" s="125" t="s">
        <v>189</v>
      </c>
      <c r="F1422" s="126">
        <v>41635.0</v>
      </c>
      <c r="G1422" s="127">
        <v>8.6E8</v>
      </c>
      <c r="H1422" s="126">
        <v>41638.0</v>
      </c>
      <c r="I1422" s="128">
        <v>2749.0</v>
      </c>
      <c r="J1422" s="128">
        <v>437.2</v>
      </c>
      <c r="K1422" s="128">
        <v>263.33</v>
      </c>
      <c r="L1422" s="128">
        <v>1201863.0</v>
      </c>
      <c r="M1422" s="128">
        <v>723894.2</v>
      </c>
      <c r="N1422" s="128">
        <v>477968.6</v>
      </c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</row>
    <row r="1423">
      <c r="A1423" s="125" t="s">
        <v>475</v>
      </c>
      <c r="B1423" s="125" t="s">
        <v>656</v>
      </c>
      <c r="C1423" s="125" t="s">
        <v>480</v>
      </c>
      <c r="D1423" s="125" t="s">
        <v>454</v>
      </c>
      <c r="E1423" s="125" t="s">
        <v>189</v>
      </c>
      <c r="F1423" s="126">
        <v>41818.0</v>
      </c>
      <c r="G1423" s="127">
        <v>7.33E8</v>
      </c>
      <c r="H1423" s="126">
        <v>41860.0</v>
      </c>
      <c r="I1423" s="128">
        <v>5313.0</v>
      </c>
      <c r="J1423" s="128">
        <v>437.2</v>
      </c>
      <c r="K1423" s="128">
        <v>263.33</v>
      </c>
      <c r="L1423" s="128">
        <v>2322844.0</v>
      </c>
      <c r="M1423" s="128">
        <v>1399072.0</v>
      </c>
      <c r="N1423" s="128">
        <v>923771.3</v>
      </c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</row>
    <row r="1424">
      <c r="A1424" s="125" t="s">
        <v>475</v>
      </c>
      <c r="B1424" s="125" t="s">
        <v>528</v>
      </c>
      <c r="C1424" s="125" t="s">
        <v>463</v>
      </c>
      <c r="D1424" s="125" t="s">
        <v>454</v>
      </c>
      <c r="E1424" s="125" t="s">
        <v>464</v>
      </c>
      <c r="F1424" s="126">
        <v>40373.0</v>
      </c>
      <c r="G1424" s="127">
        <v>1.83E8</v>
      </c>
      <c r="H1424" s="126">
        <v>40408.0</v>
      </c>
      <c r="I1424" s="128">
        <v>3455.0</v>
      </c>
      <c r="J1424" s="128">
        <v>205.7</v>
      </c>
      <c r="K1424" s="128">
        <v>117.11</v>
      </c>
      <c r="L1424" s="128">
        <v>710693.5</v>
      </c>
      <c r="M1424" s="128">
        <v>404615.1</v>
      </c>
      <c r="N1424" s="128">
        <v>306078.5</v>
      </c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</row>
    <row r="1425">
      <c r="A1425" s="125" t="s">
        <v>475</v>
      </c>
      <c r="B1425" s="125" t="s">
        <v>605</v>
      </c>
      <c r="C1425" s="125" t="s">
        <v>453</v>
      </c>
      <c r="D1425" s="125" t="s">
        <v>457</v>
      </c>
      <c r="E1425" s="125" t="s">
        <v>284</v>
      </c>
      <c r="F1425" s="126">
        <v>42722.0</v>
      </c>
      <c r="G1425" s="127">
        <v>6.71E8</v>
      </c>
      <c r="H1425" s="126">
        <v>42737.0</v>
      </c>
      <c r="I1425" s="128">
        <v>3116.0</v>
      </c>
      <c r="J1425" s="128">
        <v>255.28</v>
      </c>
      <c r="K1425" s="128">
        <v>159.42</v>
      </c>
      <c r="L1425" s="128">
        <v>795452.5</v>
      </c>
      <c r="M1425" s="128">
        <v>496752.7</v>
      </c>
      <c r="N1425" s="128">
        <v>298699.8</v>
      </c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</row>
    <row r="1426">
      <c r="A1426" s="125" t="s">
        <v>469</v>
      </c>
      <c r="B1426" s="125" t="s">
        <v>519</v>
      </c>
      <c r="C1426" s="125" t="s">
        <v>485</v>
      </c>
      <c r="D1426" s="125" t="s">
        <v>454</v>
      </c>
      <c r="E1426" s="125" t="s">
        <v>464</v>
      </c>
      <c r="F1426" s="126">
        <v>40841.0</v>
      </c>
      <c r="G1426" s="127">
        <v>5.75E8</v>
      </c>
      <c r="H1426" s="126">
        <v>40869.0</v>
      </c>
      <c r="I1426" s="128">
        <v>2269.0</v>
      </c>
      <c r="J1426" s="128">
        <v>421.89</v>
      </c>
      <c r="K1426" s="128">
        <v>364.69</v>
      </c>
      <c r="L1426" s="128">
        <v>957268.4</v>
      </c>
      <c r="M1426" s="128">
        <v>827481.6</v>
      </c>
      <c r="N1426" s="128">
        <v>129786.8</v>
      </c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</row>
    <row r="1427">
      <c r="A1427" s="125" t="s">
        <v>451</v>
      </c>
      <c r="B1427" s="125" t="s">
        <v>455</v>
      </c>
      <c r="C1427" s="125" t="s">
        <v>478</v>
      </c>
      <c r="D1427" s="125" t="s">
        <v>457</v>
      </c>
      <c r="E1427" s="125" t="s">
        <v>472</v>
      </c>
      <c r="F1427" s="126">
        <v>42313.0</v>
      </c>
      <c r="G1427" s="127">
        <v>1.46E8</v>
      </c>
      <c r="H1427" s="126">
        <v>42319.0</v>
      </c>
      <c r="I1427" s="128">
        <v>5921.0</v>
      </c>
      <c r="J1427" s="128">
        <v>651.21</v>
      </c>
      <c r="K1427" s="128">
        <v>524.96</v>
      </c>
      <c r="L1427" s="128">
        <v>3855814.0</v>
      </c>
      <c r="M1427" s="128">
        <v>3108288.0</v>
      </c>
      <c r="N1427" s="128">
        <v>747526.3</v>
      </c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</row>
    <row r="1428">
      <c r="A1428" s="125" t="s">
        <v>475</v>
      </c>
      <c r="B1428" s="125" t="s">
        <v>570</v>
      </c>
      <c r="C1428" s="125" t="s">
        <v>494</v>
      </c>
      <c r="D1428" s="125" t="s">
        <v>457</v>
      </c>
      <c r="E1428" s="125" t="s">
        <v>464</v>
      </c>
      <c r="F1428" s="126">
        <v>41276.0</v>
      </c>
      <c r="G1428" s="127">
        <v>1.55E8</v>
      </c>
      <c r="H1428" s="126">
        <v>41324.0</v>
      </c>
      <c r="I1428" s="128">
        <v>1106.0</v>
      </c>
      <c r="J1428" s="128">
        <v>9.33</v>
      </c>
      <c r="K1428" s="128">
        <v>6.92</v>
      </c>
      <c r="L1428" s="128">
        <v>10318.98</v>
      </c>
      <c r="M1428" s="128">
        <v>7653.52</v>
      </c>
      <c r="N1428" s="128">
        <v>2665.46</v>
      </c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</row>
    <row r="1429">
      <c r="A1429" s="125" t="s">
        <v>475</v>
      </c>
      <c r="B1429" s="125" t="s">
        <v>628</v>
      </c>
      <c r="C1429" s="125" t="s">
        <v>514</v>
      </c>
      <c r="D1429" s="125" t="s">
        <v>454</v>
      </c>
      <c r="E1429" s="125" t="s">
        <v>284</v>
      </c>
      <c r="F1429" s="126">
        <v>41942.0</v>
      </c>
      <c r="G1429" s="127">
        <v>5.41E8</v>
      </c>
      <c r="H1429" s="126">
        <v>41977.0</v>
      </c>
      <c r="I1429" s="128">
        <v>1893.0</v>
      </c>
      <c r="J1429" s="128">
        <v>668.27</v>
      </c>
      <c r="K1429" s="128">
        <v>502.54</v>
      </c>
      <c r="L1429" s="128">
        <v>1265035.0</v>
      </c>
      <c r="M1429" s="128">
        <v>951308.2</v>
      </c>
      <c r="N1429" s="128">
        <v>313726.9</v>
      </c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</row>
    <row r="1430">
      <c r="A1430" s="125" t="s">
        <v>461</v>
      </c>
      <c r="B1430" s="125" t="s">
        <v>586</v>
      </c>
      <c r="C1430" s="125" t="s">
        <v>453</v>
      </c>
      <c r="D1430" s="125" t="s">
        <v>454</v>
      </c>
      <c r="E1430" s="125" t="s">
        <v>189</v>
      </c>
      <c r="F1430" s="126">
        <v>40609.0</v>
      </c>
      <c r="G1430" s="127">
        <v>8.66E8</v>
      </c>
      <c r="H1430" s="126">
        <v>40627.0</v>
      </c>
      <c r="I1430" s="128">
        <v>4380.0</v>
      </c>
      <c r="J1430" s="128">
        <v>255.28</v>
      </c>
      <c r="K1430" s="128">
        <v>159.42</v>
      </c>
      <c r="L1430" s="128">
        <v>1118126.0</v>
      </c>
      <c r="M1430" s="128">
        <v>698259.6</v>
      </c>
      <c r="N1430" s="128">
        <v>419866.8</v>
      </c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</row>
    <row r="1431">
      <c r="A1431" s="125" t="s">
        <v>461</v>
      </c>
      <c r="B1431" s="125" t="s">
        <v>462</v>
      </c>
      <c r="C1431" s="125" t="s">
        <v>471</v>
      </c>
      <c r="D1431" s="125" t="s">
        <v>457</v>
      </c>
      <c r="E1431" s="125" t="s">
        <v>284</v>
      </c>
      <c r="F1431" s="126">
        <v>40885.0</v>
      </c>
      <c r="G1431" s="127">
        <v>7.62E8</v>
      </c>
      <c r="H1431" s="126">
        <v>40919.0</v>
      </c>
      <c r="I1431" s="128">
        <v>1697.0</v>
      </c>
      <c r="J1431" s="128">
        <v>109.28</v>
      </c>
      <c r="K1431" s="128">
        <v>35.84</v>
      </c>
      <c r="L1431" s="128">
        <v>185448.2</v>
      </c>
      <c r="M1431" s="128">
        <v>60820.48</v>
      </c>
      <c r="N1431" s="128">
        <v>124627.7</v>
      </c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</row>
    <row r="1432">
      <c r="A1432" s="125" t="s">
        <v>458</v>
      </c>
      <c r="B1432" s="125" t="s">
        <v>498</v>
      </c>
      <c r="C1432" s="125" t="s">
        <v>480</v>
      </c>
      <c r="D1432" s="125" t="s">
        <v>457</v>
      </c>
      <c r="E1432" s="125" t="s">
        <v>189</v>
      </c>
      <c r="F1432" s="126">
        <v>41229.0</v>
      </c>
      <c r="G1432" s="127">
        <v>3.79E8</v>
      </c>
      <c r="H1432" s="126">
        <v>41259.0</v>
      </c>
      <c r="I1432" s="128">
        <v>9005.0</v>
      </c>
      <c r="J1432" s="128">
        <v>437.2</v>
      </c>
      <c r="K1432" s="128">
        <v>263.33</v>
      </c>
      <c r="L1432" s="128">
        <v>3936986.0</v>
      </c>
      <c r="M1432" s="128">
        <v>2371287.0</v>
      </c>
      <c r="N1432" s="128">
        <v>1565699.0</v>
      </c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</row>
    <row r="1433">
      <c r="A1433" s="125" t="s">
        <v>466</v>
      </c>
      <c r="B1433" s="125" t="s">
        <v>534</v>
      </c>
      <c r="C1433" s="125" t="s">
        <v>468</v>
      </c>
      <c r="D1433" s="125" t="s">
        <v>454</v>
      </c>
      <c r="E1433" s="125" t="s">
        <v>472</v>
      </c>
      <c r="F1433" s="126">
        <v>41875.0</v>
      </c>
      <c r="G1433" s="127">
        <v>8.4E8</v>
      </c>
      <c r="H1433" s="126">
        <v>41922.0</v>
      </c>
      <c r="I1433" s="128">
        <v>8496.0</v>
      </c>
      <c r="J1433" s="128">
        <v>81.73</v>
      </c>
      <c r="K1433" s="128">
        <v>56.67</v>
      </c>
      <c r="L1433" s="128">
        <v>694378.1</v>
      </c>
      <c r="M1433" s="128">
        <v>481468.3</v>
      </c>
      <c r="N1433" s="128">
        <v>212909.8</v>
      </c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</row>
    <row r="1434">
      <c r="A1434" s="125" t="s">
        <v>461</v>
      </c>
      <c r="B1434" s="125" t="s">
        <v>462</v>
      </c>
      <c r="C1434" s="125" t="s">
        <v>460</v>
      </c>
      <c r="D1434" s="125" t="s">
        <v>454</v>
      </c>
      <c r="E1434" s="125" t="s">
        <v>189</v>
      </c>
      <c r="F1434" s="126">
        <v>40681.0</v>
      </c>
      <c r="G1434" s="127">
        <v>1.86E8</v>
      </c>
      <c r="H1434" s="126">
        <v>40715.0</v>
      </c>
      <c r="I1434" s="128">
        <v>4394.0</v>
      </c>
      <c r="J1434" s="128">
        <v>47.45</v>
      </c>
      <c r="K1434" s="128">
        <v>31.79</v>
      </c>
      <c r="L1434" s="128">
        <v>208495.3</v>
      </c>
      <c r="M1434" s="128">
        <v>139685.3</v>
      </c>
      <c r="N1434" s="128">
        <v>68810.04</v>
      </c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</row>
    <row r="1435">
      <c r="A1435" s="125" t="s">
        <v>458</v>
      </c>
      <c r="B1435" s="125" t="s">
        <v>603</v>
      </c>
      <c r="C1435" s="125" t="s">
        <v>468</v>
      </c>
      <c r="D1435" s="125" t="s">
        <v>457</v>
      </c>
      <c r="E1435" s="125" t="s">
        <v>284</v>
      </c>
      <c r="F1435" s="126">
        <v>42807.0</v>
      </c>
      <c r="G1435" s="127">
        <v>1.32E8</v>
      </c>
      <c r="H1435" s="126">
        <v>42838.0</v>
      </c>
      <c r="I1435" s="128">
        <v>7954.0</v>
      </c>
      <c r="J1435" s="128">
        <v>81.73</v>
      </c>
      <c r="K1435" s="128">
        <v>56.67</v>
      </c>
      <c r="L1435" s="128">
        <v>650080.4</v>
      </c>
      <c r="M1435" s="128">
        <v>450753.2</v>
      </c>
      <c r="N1435" s="128">
        <v>199327.2</v>
      </c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</row>
    <row r="1436">
      <c r="A1436" s="125" t="s">
        <v>466</v>
      </c>
      <c r="B1436" s="125" t="s">
        <v>531</v>
      </c>
      <c r="C1436" s="125" t="s">
        <v>494</v>
      </c>
      <c r="D1436" s="125" t="s">
        <v>457</v>
      </c>
      <c r="E1436" s="125" t="s">
        <v>284</v>
      </c>
      <c r="F1436" s="126">
        <v>42738.0</v>
      </c>
      <c r="G1436" s="127">
        <v>2.08E8</v>
      </c>
      <c r="H1436" s="126">
        <v>42780.0</v>
      </c>
      <c r="I1436" s="128">
        <v>2462.0</v>
      </c>
      <c r="J1436" s="128">
        <v>9.33</v>
      </c>
      <c r="K1436" s="128">
        <v>6.92</v>
      </c>
      <c r="L1436" s="128">
        <v>22970.46</v>
      </c>
      <c r="M1436" s="128">
        <v>17037.04</v>
      </c>
      <c r="N1436" s="128">
        <v>5933.42</v>
      </c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</row>
    <row r="1437">
      <c r="A1437" s="125" t="s">
        <v>461</v>
      </c>
      <c r="B1437" s="125" t="s">
        <v>586</v>
      </c>
      <c r="C1437" s="125" t="s">
        <v>453</v>
      </c>
      <c r="D1437" s="125" t="s">
        <v>457</v>
      </c>
      <c r="E1437" s="125" t="s">
        <v>189</v>
      </c>
      <c r="F1437" s="126">
        <v>42264.0</v>
      </c>
      <c r="G1437" s="127">
        <v>9.19E8</v>
      </c>
      <c r="H1437" s="126">
        <v>42270.0</v>
      </c>
      <c r="I1437" s="128">
        <v>8235.0</v>
      </c>
      <c r="J1437" s="128">
        <v>255.28</v>
      </c>
      <c r="K1437" s="128">
        <v>159.42</v>
      </c>
      <c r="L1437" s="128">
        <v>2102231.0</v>
      </c>
      <c r="M1437" s="128">
        <v>1312824.0</v>
      </c>
      <c r="N1437" s="128">
        <v>789407.1</v>
      </c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</row>
    <row r="1438">
      <c r="A1438" s="125" t="s">
        <v>458</v>
      </c>
      <c r="B1438" s="125" t="s">
        <v>614</v>
      </c>
      <c r="C1438" s="125" t="s">
        <v>468</v>
      </c>
      <c r="D1438" s="125" t="s">
        <v>454</v>
      </c>
      <c r="E1438" s="125" t="s">
        <v>464</v>
      </c>
      <c r="F1438" s="126">
        <v>40797.0</v>
      </c>
      <c r="G1438" s="127">
        <v>5.89E8</v>
      </c>
      <c r="H1438" s="126">
        <v>40828.0</v>
      </c>
      <c r="I1438" s="128">
        <v>7623.0</v>
      </c>
      <c r="J1438" s="128">
        <v>81.73</v>
      </c>
      <c r="K1438" s="128">
        <v>56.67</v>
      </c>
      <c r="L1438" s="128">
        <v>623027.8</v>
      </c>
      <c r="M1438" s="128">
        <v>431995.4</v>
      </c>
      <c r="N1438" s="128">
        <v>191032.4</v>
      </c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</row>
    <row r="1439">
      <c r="A1439" s="125" t="s">
        <v>469</v>
      </c>
      <c r="B1439" s="125" t="s">
        <v>589</v>
      </c>
      <c r="C1439" s="125" t="s">
        <v>460</v>
      </c>
      <c r="D1439" s="125" t="s">
        <v>457</v>
      </c>
      <c r="E1439" s="125" t="s">
        <v>464</v>
      </c>
      <c r="F1439" s="126">
        <v>42288.0</v>
      </c>
      <c r="G1439" s="127">
        <v>3.1E8</v>
      </c>
      <c r="H1439" s="126">
        <v>42294.0</v>
      </c>
      <c r="I1439" s="128">
        <v>4.0</v>
      </c>
      <c r="J1439" s="128">
        <v>47.45</v>
      </c>
      <c r="K1439" s="128">
        <v>31.79</v>
      </c>
      <c r="L1439" s="128">
        <v>189.8</v>
      </c>
      <c r="M1439" s="128">
        <v>127.16</v>
      </c>
      <c r="N1439" s="128">
        <v>62.64</v>
      </c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</row>
    <row r="1440">
      <c r="A1440" s="125" t="s">
        <v>458</v>
      </c>
      <c r="B1440" s="125" t="s">
        <v>613</v>
      </c>
      <c r="C1440" s="125" t="s">
        <v>485</v>
      </c>
      <c r="D1440" s="125" t="s">
        <v>454</v>
      </c>
      <c r="E1440" s="125" t="s">
        <v>464</v>
      </c>
      <c r="F1440" s="126">
        <v>42778.0</v>
      </c>
      <c r="G1440" s="127">
        <v>7.96E8</v>
      </c>
      <c r="H1440" s="126">
        <v>42817.0</v>
      </c>
      <c r="I1440" s="128">
        <v>6791.0</v>
      </c>
      <c r="J1440" s="128">
        <v>421.89</v>
      </c>
      <c r="K1440" s="128">
        <v>364.69</v>
      </c>
      <c r="L1440" s="128">
        <v>2865055.0</v>
      </c>
      <c r="M1440" s="128">
        <v>2476610.0</v>
      </c>
      <c r="N1440" s="128">
        <v>388445.2</v>
      </c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</row>
    <row r="1441">
      <c r="A1441" s="125" t="s">
        <v>469</v>
      </c>
      <c r="B1441" s="125" t="s">
        <v>503</v>
      </c>
      <c r="C1441" s="125" t="s">
        <v>480</v>
      </c>
      <c r="D1441" s="125" t="s">
        <v>457</v>
      </c>
      <c r="E1441" s="125" t="s">
        <v>464</v>
      </c>
      <c r="F1441" s="126">
        <v>42847.0</v>
      </c>
      <c r="G1441" s="127">
        <v>1.34E8</v>
      </c>
      <c r="H1441" s="126">
        <v>42871.0</v>
      </c>
      <c r="I1441" s="128">
        <v>6424.0</v>
      </c>
      <c r="J1441" s="128">
        <v>437.2</v>
      </c>
      <c r="K1441" s="128">
        <v>263.33</v>
      </c>
      <c r="L1441" s="128">
        <v>2808573.0</v>
      </c>
      <c r="M1441" s="128">
        <v>1691632.0</v>
      </c>
      <c r="N1441" s="128">
        <v>1116941.0</v>
      </c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</row>
    <row r="1442">
      <c r="A1442" s="125" t="s">
        <v>458</v>
      </c>
      <c r="B1442" s="125" t="s">
        <v>582</v>
      </c>
      <c r="C1442" s="125" t="s">
        <v>480</v>
      </c>
      <c r="D1442" s="125" t="s">
        <v>454</v>
      </c>
      <c r="E1442" s="125" t="s">
        <v>189</v>
      </c>
      <c r="F1442" s="126">
        <v>40697.0</v>
      </c>
      <c r="G1442" s="127">
        <v>5.26E8</v>
      </c>
      <c r="H1442" s="126">
        <v>40715.0</v>
      </c>
      <c r="I1442" s="128">
        <v>9379.0</v>
      </c>
      <c r="J1442" s="128">
        <v>437.2</v>
      </c>
      <c r="K1442" s="128">
        <v>263.33</v>
      </c>
      <c r="L1442" s="128">
        <v>4100499.0</v>
      </c>
      <c r="M1442" s="128">
        <v>2469772.0</v>
      </c>
      <c r="N1442" s="128">
        <v>1630727.0</v>
      </c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</row>
    <row r="1443">
      <c r="A1443" s="125" t="s">
        <v>466</v>
      </c>
      <c r="B1443" s="125" t="s">
        <v>580</v>
      </c>
      <c r="C1443" s="125" t="s">
        <v>480</v>
      </c>
      <c r="D1443" s="125" t="s">
        <v>454</v>
      </c>
      <c r="E1443" s="125" t="s">
        <v>464</v>
      </c>
      <c r="F1443" s="126">
        <v>41834.0</v>
      </c>
      <c r="G1443" s="127">
        <v>6.48E8</v>
      </c>
      <c r="H1443" s="126">
        <v>41851.0</v>
      </c>
      <c r="I1443" s="128">
        <v>3160.0</v>
      </c>
      <c r="J1443" s="128">
        <v>437.2</v>
      </c>
      <c r="K1443" s="128">
        <v>263.33</v>
      </c>
      <c r="L1443" s="128">
        <v>1381552.0</v>
      </c>
      <c r="M1443" s="128">
        <v>832122.8</v>
      </c>
      <c r="N1443" s="128">
        <v>549429.2</v>
      </c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</row>
    <row r="1444">
      <c r="A1444" s="125" t="s">
        <v>451</v>
      </c>
      <c r="B1444" s="125" t="s">
        <v>523</v>
      </c>
      <c r="C1444" s="125" t="s">
        <v>506</v>
      </c>
      <c r="D1444" s="125" t="s">
        <v>457</v>
      </c>
      <c r="E1444" s="125" t="s">
        <v>472</v>
      </c>
      <c r="F1444" s="126">
        <v>41090.0</v>
      </c>
      <c r="G1444" s="127">
        <v>5.96E8</v>
      </c>
      <c r="H1444" s="126">
        <v>41120.0</v>
      </c>
      <c r="I1444" s="128">
        <v>7303.0</v>
      </c>
      <c r="J1444" s="128">
        <v>154.06</v>
      </c>
      <c r="K1444" s="128">
        <v>90.93</v>
      </c>
      <c r="L1444" s="128">
        <v>1125100.0</v>
      </c>
      <c r="M1444" s="128">
        <v>664061.8</v>
      </c>
      <c r="N1444" s="128">
        <v>461038.4</v>
      </c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</row>
    <row r="1445">
      <c r="A1445" s="125" t="s">
        <v>466</v>
      </c>
      <c r="B1445" s="125" t="s">
        <v>568</v>
      </c>
      <c r="C1445" s="125" t="s">
        <v>494</v>
      </c>
      <c r="D1445" s="125" t="s">
        <v>454</v>
      </c>
      <c r="E1445" s="125" t="s">
        <v>472</v>
      </c>
      <c r="F1445" s="126">
        <v>40600.0</v>
      </c>
      <c r="G1445" s="127">
        <v>5.36E8</v>
      </c>
      <c r="H1445" s="126">
        <v>40605.0</v>
      </c>
      <c r="I1445" s="128">
        <v>8376.0</v>
      </c>
      <c r="J1445" s="128">
        <v>9.33</v>
      </c>
      <c r="K1445" s="128">
        <v>6.92</v>
      </c>
      <c r="L1445" s="128">
        <v>78148.08</v>
      </c>
      <c r="M1445" s="128">
        <v>57961.92</v>
      </c>
      <c r="N1445" s="128">
        <v>20186.16</v>
      </c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</row>
    <row r="1446">
      <c r="A1446" s="125" t="s">
        <v>488</v>
      </c>
      <c r="B1446" s="125" t="s">
        <v>489</v>
      </c>
      <c r="C1446" s="125" t="s">
        <v>456</v>
      </c>
      <c r="D1446" s="125" t="s">
        <v>457</v>
      </c>
      <c r="E1446" s="125" t="s">
        <v>464</v>
      </c>
      <c r="F1446" s="126">
        <v>42888.0</v>
      </c>
      <c r="G1446" s="127">
        <v>2.52E8</v>
      </c>
      <c r="H1446" s="126">
        <v>42890.0</v>
      </c>
      <c r="I1446" s="128">
        <v>4977.0</v>
      </c>
      <c r="J1446" s="128">
        <v>152.58</v>
      </c>
      <c r="K1446" s="128">
        <v>97.44</v>
      </c>
      <c r="L1446" s="128">
        <v>759390.7</v>
      </c>
      <c r="M1446" s="128">
        <v>484958.9</v>
      </c>
      <c r="N1446" s="128">
        <v>274431.8</v>
      </c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</row>
    <row r="1447">
      <c r="A1447" s="125" t="s">
        <v>451</v>
      </c>
      <c r="B1447" s="125" t="s">
        <v>655</v>
      </c>
      <c r="C1447" s="125" t="s">
        <v>478</v>
      </c>
      <c r="D1447" s="125" t="s">
        <v>457</v>
      </c>
      <c r="E1447" s="125" t="s">
        <v>464</v>
      </c>
      <c r="F1447" s="126">
        <v>41187.0</v>
      </c>
      <c r="G1447" s="127">
        <v>5.02E8</v>
      </c>
      <c r="H1447" s="126">
        <v>41208.0</v>
      </c>
      <c r="I1447" s="128">
        <v>2735.0</v>
      </c>
      <c r="J1447" s="128">
        <v>651.21</v>
      </c>
      <c r="K1447" s="128">
        <v>524.96</v>
      </c>
      <c r="L1447" s="128">
        <v>1781059.0</v>
      </c>
      <c r="M1447" s="128">
        <v>1435766.0</v>
      </c>
      <c r="N1447" s="128">
        <v>345293.8</v>
      </c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</row>
    <row r="1448">
      <c r="A1448" s="125" t="s">
        <v>461</v>
      </c>
      <c r="B1448" s="125" t="s">
        <v>481</v>
      </c>
      <c r="C1448" s="125" t="s">
        <v>460</v>
      </c>
      <c r="D1448" s="125" t="s">
        <v>457</v>
      </c>
      <c r="E1448" s="125" t="s">
        <v>464</v>
      </c>
      <c r="F1448" s="126">
        <v>40181.0</v>
      </c>
      <c r="G1448" s="127">
        <v>7.61E8</v>
      </c>
      <c r="H1448" s="126">
        <v>40204.0</v>
      </c>
      <c r="I1448" s="128">
        <v>9313.0</v>
      </c>
      <c r="J1448" s="128">
        <v>47.45</v>
      </c>
      <c r="K1448" s="128">
        <v>31.79</v>
      </c>
      <c r="L1448" s="128">
        <v>441901.9</v>
      </c>
      <c r="M1448" s="128">
        <v>296060.3</v>
      </c>
      <c r="N1448" s="128">
        <v>145841.6</v>
      </c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</row>
    <row r="1449">
      <c r="A1449" s="125" t="s">
        <v>466</v>
      </c>
      <c r="B1449" s="125" t="s">
        <v>502</v>
      </c>
      <c r="C1449" s="125" t="s">
        <v>485</v>
      </c>
      <c r="D1449" s="125" t="s">
        <v>457</v>
      </c>
      <c r="E1449" s="125" t="s">
        <v>464</v>
      </c>
      <c r="F1449" s="126">
        <v>40796.0</v>
      </c>
      <c r="G1449" s="127">
        <v>5.78E8</v>
      </c>
      <c r="H1449" s="126">
        <v>40805.0</v>
      </c>
      <c r="I1449" s="128">
        <v>9402.0</v>
      </c>
      <c r="J1449" s="128">
        <v>421.89</v>
      </c>
      <c r="K1449" s="128">
        <v>364.69</v>
      </c>
      <c r="L1449" s="128">
        <v>3966610.0</v>
      </c>
      <c r="M1449" s="128">
        <v>3428815.0</v>
      </c>
      <c r="N1449" s="128">
        <v>537794.4</v>
      </c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</row>
    <row r="1450">
      <c r="A1450" s="125" t="s">
        <v>466</v>
      </c>
      <c r="B1450" s="125" t="s">
        <v>584</v>
      </c>
      <c r="C1450" s="125" t="s">
        <v>456</v>
      </c>
      <c r="D1450" s="125" t="s">
        <v>457</v>
      </c>
      <c r="E1450" s="125" t="s">
        <v>189</v>
      </c>
      <c r="F1450" s="126">
        <v>41580.0</v>
      </c>
      <c r="G1450" s="127">
        <v>9.19E8</v>
      </c>
      <c r="H1450" s="126">
        <v>41623.0</v>
      </c>
      <c r="I1450" s="128">
        <v>9726.0</v>
      </c>
      <c r="J1450" s="128">
        <v>152.58</v>
      </c>
      <c r="K1450" s="128">
        <v>97.44</v>
      </c>
      <c r="L1450" s="128">
        <v>1483993.0</v>
      </c>
      <c r="M1450" s="128">
        <v>947701.4</v>
      </c>
      <c r="N1450" s="128">
        <v>536291.6</v>
      </c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</row>
    <row r="1451">
      <c r="A1451" s="125" t="s">
        <v>458</v>
      </c>
      <c r="B1451" s="125" t="s">
        <v>498</v>
      </c>
      <c r="C1451" s="125" t="s">
        <v>460</v>
      </c>
      <c r="D1451" s="125" t="s">
        <v>457</v>
      </c>
      <c r="E1451" s="125" t="s">
        <v>284</v>
      </c>
      <c r="F1451" s="126">
        <v>42852.0</v>
      </c>
      <c r="G1451" s="127">
        <v>1.22E8</v>
      </c>
      <c r="H1451" s="126">
        <v>42879.0</v>
      </c>
      <c r="I1451" s="128">
        <v>4041.0</v>
      </c>
      <c r="J1451" s="128">
        <v>47.45</v>
      </c>
      <c r="K1451" s="128">
        <v>31.79</v>
      </c>
      <c r="L1451" s="128">
        <v>191745.5</v>
      </c>
      <c r="M1451" s="128">
        <v>128463.4</v>
      </c>
      <c r="N1451" s="128">
        <v>63282.06</v>
      </c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</row>
    <row r="1452">
      <c r="A1452" s="125" t="s">
        <v>458</v>
      </c>
      <c r="B1452" s="125" t="s">
        <v>642</v>
      </c>
      <c r="C1452" s="125" t="s">
        <v>478</v>
      </c>
      <c r="D1452" s="125" t="s">
        <v>457</v>
      </c>
      <c r="E1452" s="125" t="s">
        <v>472</v>
      </c>
      <c r="F1452" s="126">
        <v>42557.0</v>
      </c>
      <c r="G1452" s="127">
        <v>6.45E8</v>
      </c>
      <c r="H1452" s="126">
        <v>42582.0</v>
      </c>
      <c r="I1452" s="128">
        <v>8131.0</v>
      </c>
      <c r="J1452" s="128">
        <v>651.21</v>
      </c>
      <c r="K1452" s="128">
        <v>524.96</v>
      </c>
      <c r="L1452" s="128">
        <v>5294989.0</v>
      </c>
      <c r="M1452" s="128">
        <v>4268450.0</v>
      </c>
      <c r="N1452" s="128">
        <v>1026539.0</v>
      </c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</row>
    <row r="1453">
      <c r="A1453" s="125" t="s">
        <v>488</v>
      </c>
      <c r="B1453" s="125" t="s">
        <v>645</v>
      </c>
      <c r="C1453" s="125" t="s">
        <v>463</v>
      </c>
      <c r="D1453" s="125" t="s">
        <v>457</v>
      </c>
      <c r="E1453" s="125" t="s">
        <v>472</v>
      </c>
      <c r="F1453" s="126">
        <v>40409.0</v>
      </c>
      <c r="G1453" s="127">
        <v>5.15E8</v>
      </c>
      <c r="H1453" s="126">
        <v>40453.0</v>
      </c>
      <c r="I1453" s="128">
        <v>4815.0</v>
      </c>
      <c r="J1453" s="128">
        <v>205.7</v>
      </c>
      <c r="K1453" s="128">
        <v>117.11</v>
      </c>
      <c r="L1453" s="128">
        <v>990445.5</v>
      </c>
      <c r="M1453" s="128">
        <v>563884.7</v>
      </c>
      <c r="N1453" s="128">
        <v>426560.9</v>
      </c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</row>
    <row r="1454">
      <c r="A1454" s="125" t="s">
        <v>475</v>
      </c>
      <c r="B1454" s="125" t="s">
        <v>636</v>
      </c>
      <c r="C1454" s="125" t="s">
        <v>506</v>
      </c>
      <c r="D1454" s="125" t="s">
        <v>457</v>
      </c>
      <c r="E1454" s="125" t="s">
        <v>284</v>
      </c>
      <c r="F1454" s="126">
        <v>42044.0</v>
      </c>
      <c r="G1454" s="127">
        <v>9.81E8</v>
      </c>
      <c r="H1454" s="126">
        <v>42091.0</v>
      </c>
      <c r="I1454" s="128">
        <v>8942.0</v>
      </c>
      <c r="J1454" s="128">
        <v>154.06</v>
      </c>
      <c r="K1454" s="128">
        <v>90.93</v>
      </c>
      <c r="L1454" s="128">
        <v>1377605.0</v>
      </c>
      <c r="M1454" s="128">
        <v>813096.1</v>
      </c>
      <c r="N1454" s="128">
        <v>564508.5</v>
      </c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</row>
    <row r="1455">
      <c r="A1455" s="125" t="s">
        <v>466</v>
      </c>
      <c r="B1455" s="125" t="s">
        <v>584</v>
      </c>
      <c r="C1455" s="125" t="s">
        <v>460</v>
      </c>
      <c r="D1455" s="125" t="s">
        <v>457</v>
      </c>
      <c r="E1455" s="125" t="s">
        <v>189</v>
      </c>
      <c r="F1455" s="126">
        <v>41040.0</v>
      </c>
      <c r="G1455" s="127">
        <v>6.63E8</v>
      </c>
      <c r="H1455" s="126">
        <v>41082.0</v>
      </c>
      <c r="I1455" s="128">
        <v>2390.0</v>
      </c>
      <c r="J1455" s="128">
        <v>47.45</v>
      </c>
      <c r="K1455" s="128">
        <v>31.79</v>
      </c>
      <c r="L1455" s="128">
        <v>113405.5</v>
      </c>
      <c r="M1455" s="128">
        <v>75978.1</v>
      </c>
      <c r="N1455" s="128">
        <v>37427.4</v>
      </c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</row>
    <row r="1456">
      <c r="A1456" s="125" t="s">
        <v>451</v>
      </c>
      <c r="B1456" s="125" t="s">
        <v>483</v>
      </c>
      <c r="C1456" s="125" t="s">
        <v>463</v>
      </c>
      <c r="D1456" s="125" t="s">
        <v>454</v>
      </c>
      <c r="E1456" s="125" t="s">
        <v>284</v>
      </c>
      <c r="F1456" s="126">
        <v>42427.0</v>
      </c>
      <c r="G1456" s="127">
        <v>4.99E8</v>
      </c>
      <c r="H1456" s="126">
        <v>42473.0</v>
      </c>
      <c r="I1456" s="128">
        <v>9072.0</v>
      </c>
      <c r="J1456" s="128">
        <v>205.7</v>
      </c>
      <c r="K1456" s="128">
        <v>117.11</v>
      </c>
      <c r="L1456" s="128">
        <v>1866110.0</v>
      </c>
      <c r="M1456" s="128">
        <v>1062422.0</v>
      </c>
      <c r="N1456" s="128">
        <v>803688.5</v>
      </c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</row>
    <row r="1457">
      <c r="A1457" s="125" t="s">
        <v>458</v>
      </c>
      <c r="B1457" s="125" t="s">
        <v>597</v>
      </c>
      <c r="C1457" s="125" t="s">
        <v>494</v>
      </c>
      <c r="D1457" s="125" t="s">
        <v>454</v>
      </c>
      <c r="E1457" s="125" t="s">
        <v>472</v>
      </c>
      <c r="F1457" s="126">
        <v>41946.0</v>
      </c>
      <c r="G1457" s="127">
        <v>5.98E8</v>
      </c>
      <c r="H1457" s="126">
        <v>41961.0</v>
      </c>
      <c r="I1457" s="128">
        <v>9929.0</v>
      </c>
      <c r="J1457" s="128">
        <v>9.33</v>
      </c>
      <c r="K1457" s="128">
        <v>6.92</v>
      </c>
      <c r="L1457" s="128">
        <v>92637.57</v>
      </c>
      <c r="M1457" s="128">
        <v>68708.68</v>
      </c>
      <c r="N1457" s="128">
        <v>23928.89</v>
      </c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</row>
    <row r="1458">
      <c r="A1458" s="125" t="s">
        <v>475</v>
      </c>
      <c r="B1458" s="125" t="s">
        <v>649</v>
      </c>
      <c r="C1458" s="125" t="s">
        <v>514</v>
      </c>
      <c r="D1458" s="125" t="s">
        <v>457</v>
      </c>
      <c r="E1458" s="125" t="s">
        <v>464</v>
      </c>
      <c r="F1458" s="126">
        <v>41255.0</v>
      </c>
      <c r="G1458" s="127">
        <v>6.91E8</v>
      </c>
      <c r="H1458" s="126">
        <v>41277.0</v>
      </c>
      <c r="I1458" s="128">
        <v>7935.0</v>
      </c>
      <c r="J1458" s="128">
        <v>668.27</v>
      </c>
      <c r="K1458" s="128">
        <v>502.54</v>
      </c>
      <c r="L1458" s="128">
        <v>5302722.0</v>
      </c>
      <c r="M1458" s="128">
        <v>3987655.0</v>
      </c>
      <c r="N1458" s="128">
        <v>1315068.0</v>
      </c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</row>
    <row r="1459">
      <c r="A1459" s="125" t="s">
        <v>458</v>
      </c>
      <c r="B1459" s="125" t="s">
        <v>459</v>
      </c>
      <c r="C1459" s="125" t="s">
        <v>468</v>
      </c>
      <c r="D1459" s="125" t="s">
        <v>454</v>
      </c>
      <c r="E1459" s="125" t="s">
        <v>284</v>
      </c>
      <c r="F1459" s="126">
        <v>41021.0</v>
      </c>
      <c r="G1459" s="127">
        <v>5.78E8</v>
      </c>
      <c r="H1459" s="126">
        <v>41044.0</v>
      </c>
      <c r="I1459" s="128">
        <v>3095.0</v>
      </c>
      <c r="J1459" s="128">
        <v>81.73</v>
      </c>
      <c r="K1459" s="128">
        <v>56.67</v>
      </c>
      <c r="L1459" s="128">
        <v>252954.4</v>
      </c>
      <c r="M1459" s="128">
        <v>175393.7</v>
      </c>
      <c r="N1459" s="128">
        <v>77560.7</v>
      </c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</row>
    <row r="1460">
      <c r="A1460" s="125" t="s">
        <v>488</v>
      </c>
      <c r="B1460" s="125" t="s">
        <v>577</v>
      </c>
      <c r="C1460" s="125" t="s">
        <v>463</v>
      </c>
      <c r="D1460" s="125" t="s">
        <v>457</v>
      </c>
      <c r="E1460" s="125" t="s">
        <v>189</v>
      </c>
      <c r="F1460" s="126">
        <v>42298.0</v>
      </c>
      <c r="G1460" s="127">
        <v>5.78E8</v>
      </c>
      <c r="H1460" s="126">
        <v>42338.0</v>
      </c>
      <c r="I1460" s="128">
        <v>7446.0</v>
      </c>
      <c r="J1460" s="128">
        <v>205.7</v>
      </c>
      <c r="K1460" s="128">
        <v>117.11</v>
      </c>
      <c r="L1460" s="128">
        <v>1531642.0</v>
      </c>
      <c r="M1460" s="128">
        <v>872001.1</v>
      </c>
      <c r="N1460" s="128">
        <v>659641.1</v>
      </c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</row>
    <row r="1461">
      <c r="A1461" s="125" t="s">
        <v>458</v>
      </c>
      <c r="B1461" s="125" t="s">
        <v>515</v>
      </c>
      <c r="C1461" s="125" t="s">
        <v>494</v>
      </c>
      <c r="D1461" s="125" t="s">
        <v>457</v>
      </c>
      <c r="E1461" s="125" t="s">
        <v>472</v>
      </c>
      <c r="F1461" s="126">
        <v>42381.0</v>
      </c>
      <c r="G1461" s="127">
        <v>1.82E8</v>
      </c>
      <c r="H1461" s="126">
        <v>42414.0</v>
      </c>
      <c r="I1461" s="128">
        <v>54.0</v>
      </c>
      <c r="J1461" s="128">
        <v>9.33</v>
      </c>
      <c r="K1461" s="128">
        <v>6.92</v>
      </c>
      <c r="L1461" s="128">
        <v>503.82</v>
      </c>
      <c r="M1461" s="128">
        <v>373.68</v>
      </c>
      <c r="N1461" s="128">
        <v>130.14</v>
      </c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</row>
    <row r="1462">
      <c r="A1462" s="125" t="s">
        <v>458</v>
      </c>
      <c r="B1462" s="125" t="s">
        <v>541</v>
      </c>
      <c r="C1462" s="125" t="s">
        <v>453</v>
      </c>
      <c r="D1462" s="125" t="s">
        <v>454</v>
      </c>
      <c r="E1462" s="125" t="s">
        <v>472</v>
      </c>
      <c r="F1462" s="126">
        <v>41720.0</v>
      </c>
      <c r="G1462" s="127">
        <v>3.02E8</v>
      </c>
      <c r="H1462" s="126">
        <v>41746.0</v>
      </c>
      <c r="I1462" s="128">
        <v>2018.0</v>
      </c>
      <c r="J1462" s="128">
        <v>255.28</v>
      </c>
      <c r="K1462" s="128">
        <v>159.42</v>
      </c>
      <c r="L1462" s="128">
        <v>515155.0</v>
      </c>
      <c r="M1462" s="128">
        <v>321709.6</v>
      </c>
      <c r="N1462" s="128">
        <v>193445.5</v>
      </c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</row>
    <row r="1463">
      <c r="A1463" s="125" t="s">
        <v>466</v>
      </c>
      <c r="B1463" s="125" t="s">
        <v>474</v>
      </c>
      <c r="C1463" s="125" t="s">
        <v>494</v>
      </c>
      <c r="D1463" s="125" t="s">
        <v>454</v>
      </c>
      <c r="E1463" s="125" t="s">
        <v>464</v>
      </c>
      <c r="F1463" s="126">
        <v>42537.0</v>
      </c>
      <c r="G1463" s="127">
        <v>1.19E8</v>
      </c>
      <c r="H1463" s="126">
        <v>42566.0</v>
      </c>
      <c r="I1463" s="128">
        <v>1469.0</v>
      </c>
      <c r="J1463" s="128">
        <v>9.33</v>
      </c>
      <c r="K1463" s="128">
        <v>6.92</v>
      </c>
      <c r="L1463" s="128">
        <v>13705.77</v>
      </c>
      <c r="M1463" s="128">
        <v>10165.48</v>
      </c>
      <c r="N1463" s="128">
        <v>3540.29</v>
      </c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</row>
    <row r="1464">
      <c r="A1464" s="125" t="s">
        <v>458</v>
      </c>
      <c r="B1464" s="125" t="s">
        <v>540</v>
      </c>
      <c r="C1464" s="125" t="s">
        <v>471</v>
      </c>
      <c r="D1464" s="125" t="s">
        <v>457</v>
      </c>
      <c r="E1464" s="125" t="s">
        <v>189</v>
      </c>
      <c r="F1464" s="126">
        <v>41910.0</v>
      </c>
      <c r="G1464" s="127">
        <v>2.34E8</v>
      </c>
      <c r="H1464" s="126">
        <v>41928.0</v>
      </c>
      <c r="I1464" s="128">
        <v>8566.0</v>
      </c>
      <c r="J1464" s="128">
        <v>109.28</v>
      </c>
      <c r="K1464" s="128">
        <v>35.84</v>
      </c>
      <c r="L1464" s="128">
        <v>936092.5</v>
      </c>
      <c r="M1464" s="128">
        <v>307005.4</v>
      </c>
      <c r="N1464" s="128">
        <v>629087.0</v>
      </c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</row>
    <row r="1465">
      <c r="A1465" s="125" t="s">
        <v>475</v>
      </c>
      <c r="B1465" s="125" t="s">
        <v>657</v>
      </c>
      <c r="C1465" s="125" t="s">
        <v>506</v>
      </c>
      <c r="D1465" s="125" t="s">
        <v>454</v>
      </c>
      <c r="E1465" s="125" t="s">
        <v>189</v>
      </c>
      <c r="F1465" s="126">
        <v>41456.0</v>
      </c>
      <c r="G1465" s="127">
        <v>4.19E8</v>
      </c>
      <c r="H1465" s="126">
        <v>41460.0</v>
      </c>
      <c r="I1465" s="128">
        <v>504.0</v>
      </c>
      <c r="J1465" s="128">
        <v>154.06</v>
      </c>
      <c r="K1465" s="128">
        <v>90.93</v>
      </c>
      <c r="L1465" s="128">
        <v>77646.24</v>
      </c>
      <c r="M1465" s="128">
        <v>45828.72</v>
      </c>
      <c r="N1465" s="128">
        <v>31817.52</v>
      </c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</row>
    <row r="1466">
      <c r="A1466" s="125" t="s">
        <v>458</v>
      </c>
      <c r="B1466" s="125" t="s">
        <v>493</v>
      </c>
      <c r="C1466" s="125" t="s">
        <v>485</v>
      </c>
      <c r="D1466" s="125" t="s">
        <v>457</v>
      </c>
      <c r="E1466" s="125" t="s">
        <v>189</v>
      </c>
      <c r="F1466" s="126">
        <v>40415.0</v>
      </c>
      <c r="G1466" s="127">
        <v>9.67E8</v>
      </c>
      <c r="H1466" s="126">
        <v>40431.0</v>
      </c>
      <c r="I1466" s="128">
        <v>6505.0</v>
      </c>
      <c r="J1466" s="128">
        <v>421.89</v>
      </c>
      <c r="K1466" s="128">
        <v>364.69</v>
      </c>
      <c r="L1466" s="128">
        <v>2744394.0</v>
      </c>
      <c r="M1466" s="128">
        <v>2372308.0</v>
      </c>
      <c r="N1466" s="128">
        <v>372086.0</v>
      </c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</row>
    <row r="1467">
      <c r="A1467" s="125" t="s">
        <v>461</v>
      </c>
      <c r="B1467" s="125" t="s">
        <v>557</v>
      </c>
      <c r="C1467" s="125" t="s">
        <v>453</v>
      </c>
      <c r="D1467" s="125" t="s">
        <v>454</v>
      </c>
      <c r="E1467" s="125" t="s">
        <v>464</v>
      </c>
      <c r="F1467" s="126">
        <v>42563.0</v>
      </c>
      <c r="G1467" s="127">
        <v>4.4E8</v>
      </c>
      <c r="H1467" s="126">
        <v>42581.0</v>
      </c>
      <c r="I1467" s="128">
        <v>2823.0</v>
      </c>
      <c r="J1467" s="128">
        <v>255.28</v>
      </c>
      <c r="K1467" s="128">
        <v>159.42</v>
      </c>
      <c r="L1467" s="128">
        <v>720655.4</v>
      </c>
      <c r="M1467" s="128">
        <v>450042.7</v>
      </c>
      <c r="N1467" s="128">
        <v>270612.8</v>
      </c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</row>
    <row r="1468">
      <c r="A1468" s="125" t="s">
        <v>451</v>
      </c>
      <c r="B1468" s="125" t="s">
        <v>543</v>
      </c>
      <c r="C1468" s="125" t="s">
        <v>480</v>
      </c>
      <c r="D1468" s="125" t="s">
        <v>457</v>
      </c>
      <c r="E1468" s="125" t="s">
        <v>472</v>
      </c>
      <c r="F1468" s="126">
        <v>41004.0</v>
      </c>
      <c r="G1468" s="127">
        <v>6.2E8</v>
      </c>
      <c r="H1468" s="126">
        <v>41040.0</v>
      </c>
      <c r="I1468" s="128">
        <v>7746.0</v>
      </c>
      <c r="J1468" s="128">
        <v>437.2</v>
      </c>
      <c r="K1468" s="128">
        <v>263.33</v>
      </c>
      <c r="L1468" s="128">
        <v>3386551.0</v>
      </c>
      <c r="M1468" s="128">
        <v>2039754.0</v>
      </c>
      <c r="N1468" s="128">
        <v>1346797.0</v>
      </c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</row>
    <row r="1469">
      <c r="A1469" s="125" t="s">
        <v>475</v>
      </c>
      <c r="B1469" s="125" t="s">
        <v>628</v>
      </c>
      <c r="C1469" s="125" t="s">
        <v>468</v>
      </c>
      <c r="D1469" s="125" t="s">
        <v>454</v>
      </c>
      <c r="E1469" s="125" t="s">
        <v>472</v>
      </c>
      <c r="F1469" s="126">
        <v>41677.0</v>
      </c>
      <c r="G1469" s="127">
        <v>6.62E8</v>
      </c>
      <c r="H1469" s="126">
        <v>41715.0</v>
      </c>
      <c r="I1469" s="128">
        <v>6591.0</v>
      </c>
      <c r="J1469" s="128">
        <v>81.73</v>
      </c>
      <c r="K1469" s="128">
        <v>56.67</v>
      </c>
      <c r="L1469" s="128">
        <v>538682.4</v>
      </c>
      <c r="M1469" s="128">
        <v>373512.0</v>
      </c>
      <c r="N1469" s="128">
        <v>165170.5</v>
      </c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</row>
    <row r="1470">
      <c r="A1470" s="125" t="s">
        <v>475</v>
      </c>
      <c r="B1470" s="125" t="s">
        <v>476</v>
      </c>
      <c r="C1470" s="125" t="s">
        <v>478</v>
      </c>
      <c r="D1470" s="125" t="s">
        <v>457</v>
      </c>
      <c r="E1470" s="125" t="s">
        <v>472</v>
      </c>
      <c r="F1470" s="126">
        <v>42610.0</v>
      </c>
      <c r="G1470" s="127">
        <v>2.39E8</v>
      </c>
      <c r="H1470" s="126">
        <v>42612.0</v>
      </c>
      <c r="I1470" s="128">
        <v>6706.0</v>
      </c>
      <c r="J1470" s="128">
        <v>651.21</v>
      </c>
      <c r="K1470" s="128">
        <v>524.96</v>
      </c>
      <c r="L1470" s="128">
        <v>4367014.0</v>
      </c>
      <c r="M1470" s="128">
        <v>3520382.0</v>
      </c>
      <c r="N1470" s="128">
        <v>846632.5</v>
      </c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</row>
    <row r="1471">
      <c r="A1471" s="125" t="s">
        <v>451</v>
      </c>
      <c r="B1471" s="125" t="s">
        <v>620</v>
      </c>
      <c r="C1471" s="125" t="s">
        <v>463</v>
      </c>
      <c r="D1471" s="125" t="s">
        <v>457</v>
      </c>
      <c r="E1471" s="125" t="s">
        <v>472</v>
      </c>
      <c r="F1471" s="126">
        <v>40839.0</v>
      </c>
      <c r="G1471" s="127">
        <v>8.94E8</v>
      </c>
      <c r="H1471" s="126">
        <v>40886.0</v>
      </c>
      <c r="I1471" s="128">
        <v>2471.0</v>
      </c>
      <c r="J1471" s="128">
        <v>205.7</v>
      </c>
      <c r="K1471" s="128">
        <v>117.11</v>
      </c>
      <c r="L1471" s="128">
        <v>508284.7</v>
      </c>
      <c r="M1471" s="128">
        <v>289378.8</v>
      </c>
      <c r="N1471" s="128">
        <v>218905.9</v>
      </c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</row>
    <row r="1472">
      <c r="A1472" s="125" t="s">
        <v>451</v>
      </c>
      <c r="B1472" s="125" t="s">
        <v>655</v>
      </c>
      <c r="C1472" s="125" t="s">
        <v>514</v>
      </c>
      <c r="D1472" s="125" t="s">
        <v>457</v>
      </c>
      <c r="E1472" s="125" t="s">
        <v>189</v>
      </c>
      <c r="F1472" s="126">
        <v>42087.0</v>
      </c>
      <c r="G1472" s="127">
        <v>1.91E8</v>
      </c>
      <c r="H1472" s="126">
        <v>42090.0</v>
      </c>
      <c r="I1472" s="128">
        <v>298.0</v>
      </c>
      <c r="J1472" s="128">
        <v>668.27</v>
      </c>
      <c r="K1472" s="128">
        <v>502.54</v>
      </c>
      <c r="L1472" s="128">
        <v>199144.5</v>
      </c>
      <c r="M1472" s="128">
        <v>149756.9</v>
      </c>
      <c r="N1472" s="128">
        <v>49387.54</v>
      </c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</row>
    <row r="1473">
      <c r="A1473" s="125" t="s">
        <v>466</v>
      </c>
      <c r="B1473" s="125" t="s">
        <v>477</v>
      </c>
      <c r="C1473" s="125" t="s">
        <v>506</v>
      </c>
      <c r="D1473" s="125" t="s">
        <v>454</v>
      </c>
      <c r="E1473" s="125" t="s">
        <v>284</v>
      </c>
      <c r="F1473" s="126">
        <v>42784.0</v>
      </c>
      <c r="G1473" s="127">
        <v>2.65E8</v>
      </c>
      <c r="H1473" s="126">
        <v>42824.0</v>
      </c>
      <c r="I1473" s="128">
        <v>3628.0</v>
      </c>
      <c r="J1473" s="128">
        <v>154.06</v>
      </c>
      <c r="K1473" s="128">
        <v>90.93</v>
      </c>
      <c r="L1473" s="128">
        <v>558929.7</v>
      </c>
      <c r="M1473" s="128">
        <v>329894.0</v>
      </c>
      <c r="N1473" s="128">
        <v>229035.6</v>
      </c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</row>
    <row r="1474">
      <c r="A1474" s="125" t="s">
        <v>461</v>
      </c>
      <c r="B1474" s="125" t="s">
        <v>618</v>
      </c>
      <c r="C1474" s="125" t="s">
        <v>453</v>
      </c>
      <c r="D1474" s="125" t="s">
        <v>457</v>
      </c>
      <c r="E1474" s="125" t="s">
        <v>464</v>
      </c>
      <c r="F1474" s="126">
        <v>42516.0</v>
      </c>
      <c r="G1474" s="127">
        <v>1.71E8</v>
      </c>
      <c r="H1474" s="126">
        <v>42556.0</v>
      </c>
      <c r="I1474" s="128">
        <v>7936.0</v>
      </c>
      <c r="J1474" s="128">
        <v>255.28</v>
      </c>
      <c r="K1474" s="128">
        <v>159.42</v>
      </c>
      <c r="L1474" s="128">
        <v>2025902.0</v>
      </c>
      <c r="M1474" s="128">
        <v>1265157.0</v>
      </c>
      <c r="N1474" s="128">
        <v>760745.0</v>
      </c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</row>
    <row r="1475">
      <c r="A1475" s="125" t="s">
        <v>461</v>
      </c>
      <c r="B1475" s="125" t="s">
        <v>576</v>
      </c>
      <c r="C1475" s="125" t="s">
        <v>471</v>
      </c>
      <c r="D1475" s="125" t="s">
        <v>457</v>
      </c>
      <c r="E1475" s="125" t="s">
        <v>284</v>
      </c>
      <c r="F1475" s="126">
        <v>42639.0</v>
      </c>
      <c r="G1475" s="127">
        <v>8.34E8</v>
      </c>
      <c r="H1475" s="126">
        <v>42663.0</v>
      </c>
      <c r="I1475" s="128">
        <v>5725.0</v>
      </c>
      <c r="J1475" s="128">
        <v>109.28</v>
      </c>
      <c r="K1475" s="128">
        <v>35.84</v>
      </c>
      <c r="L1475" s="128">
        <v>625628.0</v>
      </c>
      <c r="M1475" s="128">
        <v>205184.0</v>
      </c>
      <c r="N1475" s="128">
        <v>420444.0</v>
      </c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</row>
    <row r="1476">
      <c r="A1476" s="125" t="s">
        <v>475</v>
      </c>
      <c r="B1476" s="125" t="s">
        <v>588</v>
      </c>
      <c r="C1476" s="125" t="s">
        <v>478</v>
      </c>
      <c r="D1476" s="125" t="s">
        <v>457</v>
      </c>
      <c r="E1476" s="125" t="s">
        <v>464</v>
      </c>
      <c r="F1476" s="126">
        <v>42134.0</v>
      </c>
      <c r="G1476" s="127">
        <v>9.98E8</v>
      </c>
      <c r="H1476" s="126">
        <v>42161.0</v>
      </c>
      <c r="I1476" s="128">
        <v>1533.0</v>
      </c>
      <c r="J1476" s="128">
        <v>651.21</v>
      </c>
      <c r="K1476" s="128">
        <v>524.96</v>
      </c>
      <c r="L1476" s="128">
        <v>998304.9</v>
      </c>
      <c r="M1476" s="128">
        <v>804763.7</v>
      </c>
      <c r="N1476" s="128">
        <v>193541.3</v>
      </c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</row>
    <row r="1477">
      <c r="A1477" s="125" t="s">
        <v>458</v>
      </c>
      <c r="B1477" s="125" t="s">
        <v>487</v>
      </c>
      <c r="C1477" s="125" t="s">
        <v>471</v>
      </c>
      <c r="D1477" s="125" t="s">
        <v>454</v>
      </c>
      <c r="E1477" s="125" t="s">
        <v>472</v>
      </c>
      <c r="F1477" s="126">
        <v>41753.0</v>
      </c>
      <c r="G1477" s="127">
        <v>3.8E8</v>
      </c>
      <c r="H1477" s="126">
        <v>41772.0</v>
      </c>
      <c r="I1477" s="128">
        <v>6927.0</v>
      </c>
      <c r="J1477" s="128">
        <v>109.28</v>
      </c>
      <c r="K1477" s="128">
        <v>35.84</v>
      </c>
      <c r="L1477" s="128">
        <v>756982.6</v>
      </c>
      <c r="M1477" s="128">
        <v>248263.7</v>
      </c>
      <c r="N1477" s="128">
        <v>508718.9</v>
      </c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</row>
    <row r="1478">
      <c r="A1478" s="125" t="s">
        <v>475</v>
      </c>
      <c r="B1478" s="125" t="s">
        <v>648</v>
      </c>
      <c r="C1478" s="125" t="s">
        <v>485</v>
      </c>
      <c r="D1478" s="125" t="s">
        <v>457</v>
      </c>
      <c r="E1478" s="125" t="s">
        <v>284</v>
      </c>
      <c r="F1478" s="126">
        <v>42638.0</v>
      </c>
      <c r="G1478" s="127">
        <v>1.17E8</v>
      </c>
      <c r="H1478" s="126">
        <v>42677.0</v>
      </c>
      <c r="I1478" s="128">
        <v>5505.0</v>
      </c>
      <c r="J1478" s="128">
        <v>421.89</v>
      </c>
      <c r="K1478" s="128">
        <v>364.69</v>
      </c>
      <c r="L1478" s="128">
        <v>2322504.0</v>
      </c>
      <c r="M1478" s="128">
        <v>2007618.0</v>
      </c>
      <c r="N1478" s="128">
        <v>314886.0</v>
      </c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</row>
    <row r="1479">
      <c r="A1479" s="125" t="s">
        <v>475</v>
      </c>
      <c r="B1479" s="125" t="s">
        <v>504</v>
      </c>
      <c r="C1479" s="125" t="s">
        <v>494</v>
      </c>
      <c r="D1479" s="125" t="s">
        <v>457</v>
      </c>
      <c r="E1479" s="125" t="s">
        <v>284</v>
      </c>
      <c r="F1479" s="126">
        <v>42170.0</v>
      </c>
      <c r="G1479" s="127">
        <v>5.13E8</v>
      </c>
      <c r="H1479" s="126">
        <v>42177.0</v>
      </c>
      <c r="I1479" s="128">
        <v>7898.0</v>
      </c>
      <c r="J1479" s="128">
        <v>9.33</v>
      </c>
      <c r="K1479" s="128">
        <v>6.92</v>
      </c>
      <c r="L1479" s="128">
        <v>73688.34</v>
      </c>
      <c r="M1479" s="128">
        <v>54654.16</v>
      </c>
      <c r="N1479" s="128">
        <v>19034.18</v>
      </c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</row>
    <row r="1480">
      <c r="A1480" s="125" t="s">
        <v>458</v>
      </c>
      <c r="B1480" s="125" t="s">
        <v>505</v>
      </c>
      <c r="C1480" s="125" t="s">
        <v>468</v>
      </c>
      <c r="D1480" s="125" t="s">
        <v>457</v>
      </c>
      <c r="E1480" s="125" t="s">
        <v>189</v>
      </c>
      <c r="F1480" s="126">
        <v>40884.0</v>
      </c>
      <c r="G1480" s="127">
        <v>5.95E8</v>
      </c>
      <c r="H1480" s="126">
        <v>40898.0</v>
      </c>
      <c r="I1480" s="128">
        <v>6765.0</v>
      </c>
      <c r="J1480" s="128">
        <v>81.73</v>
      </c>
      <c r="K1480" s="128">
        <v>56.67</v>
      </c>
      <c r="L1480" s="128">
        <v>552903.5</v>
      </c>
      <c r="M1480" s="128">
        <v>383372.6</v>
      </c>
      <c r="N1480" s="128">
        <v>169530.9</v>
      </c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</row>
    <row r="1481">
      <c r="A1481" s="125" t="s">
        <v>458</v>
      </c>
      <c r="B1481" s="125" t="s">
        <v>505</v>
      </c>
      <c r="C1481" s="125" t="s">
        <v>463</v>
      </c>
      <c r="D1481" s="125" t="s">
        <v>454</v>
      </c>
      <c r="E1481" s="125" t="s">
        <v>464</v>
      </c>
      <c r="F1481" s="126">
        <v>41090.0</v>
      </c>
      <c r="G1481" s="127">
        <v>3.62E8</v>
      </c>
      <c r="H1481" s="126">
        <v>41124.0</v>
      </c>
      <c r="I1481" s="128">
        <v>1801.0</v>
      </c>
      <c r="J1481" s="128">
        <v>205.7</v>
      </c>
      <c r="K1481" s="128">
        <v>117.11</v>
      </c>
      <c r="L1481" s="128">
        <v>370465.7</v>
      </c>
      <c r="M1481" s="128">
        <v>210915.1</v>
      </c>
      <c r="N1481" s="128">
        <v>159550.6</v>
      </c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</row>
    <row r="1482">
      <c r="A1482" s="125" t="s">
        <v>458</v>
      </c>
      <c r="B1482" s="125" t="s">
        <v>582</v>
      </c>
      <c r="C1482" s="125" t="s">
        <v>453</v>
      </c>
      <c r="D1482" s="125" t="s">
        <v>454</v>
      </c>
      <c r="E1482" s="125" t="s">
        <v>464</v>
      </c>
      <c r="F1482" s="126">
        <v>42718.0</v>
      </c>
      <c r="G1482" s="127">
        <v>3.29E8</v>
      </c>
      <c r="H1482" s="126">
        <v>42722.0</v>
      </c>
      <c r="I1482" s="128">
        <v>4728.0</v>
      </c>
      <c r="J1482" s="128">
        <v>255.28</v>
      </c>
      <c r="K1482" s="128">
        <v>159.42</v>
      </c>
      <c r="L1482" s="128">
        <v>1206964.0</v>
      </c>
      <c r="M1482" s="128">
        <v>753737.8</v>
      </c>
      <c r="N1482" s="128">
        <v>453226.1</v>
      </c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</row>
    <row r="1483">
      <c r="A1483" s="125" t="s">
        <v>458</v>
      </c>
      <c r="B1483" s="125" t="s">
        <v>573</v>
      </c>
      <c r="C1483" s="125" t="s">
        <v>471</v>
      </c>
      <c r="D1483" s="125" t="s">
        <v>457</v>
      </c>
      <c r="E1483" s="125" t="s">
        <v>472</v>
      </c>
      <c r="F1483" s="126">
        <v>41939.0</v>
      </c>
      <c r="G1483" s="127">
        <v>1.84E8</v>
      </c>
      <c r="H1483" s="126">
        <v>41943.0</v>
      </c>
      <c r="I1483" s="128">
        <v>4301.0</v>
      </c>
      <c r="J1483" s="128">
        <v>109.28</v>
      </c>
      <c r="K1483" s="128">
        <v>35.84</v>
      </c>
      <c r="L1483" s="128">
        <v>470013.3</v>
      </c>
      <c r="M1483" s="128">
        <v>154147.8</v>
      </c>
      <c r="N1483" s="128">
        <v>315865.4</v>
      </c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</row>
    <row r="1484">
      <c r="A1484" s="125" t="s">
        <v>461</v>
      </c>
      <c r="B1484" s="125" t="s">
        <v>557</v>
      </c>
      <c r="C1484" s="125" t="s">
        <v>485</v>
      </c>
      <c r="D1484" s="125" t="s">
        <v>454</v>
      </c>
      <c r="E1484" s="125" t="s">
        <v>472</v>
      </c>
      <c r="F1484" s="126">
        <v>40845.0</v>
      </c>
      <c r="G1484" s="127">
        <v>1.36E8</v>
      </c>
      <c r="H1484" s="126">
        <v>40869.0</v>
      </c>
      <c r="I1484" s="128">
        <v>1307.0</v>
      </c>
      <c r="J1484" s="128">
        <v>421.89</v>
      </c>
      <c r="K1484" s="128">
        <v>364.69</v>
      </c>
      <c r="L1484" s="128">
        <v>551410.2</v>
      </c>
      <c r="M1484" s="128">
        <v>476649.8</v>
      </c>
      <c r="N1484" s="128">
        <v>74760.4</v>
      </c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</row>
    <row r="1485">
      <c r="A1485" s="125" t="s">
        <v>469</v>
      </c>
      <c r="B1485" s="125" t="s">
        <v>520</v>
      </c>
      <c r="C1485" s="125" t="s">
        <v>468</v>
      </c>
      <c r="D1485" s="125" t="s">
        <v>457</v>
      </c>
      <c r="E1485" s="125" t="s">
        <v>284</v>
      </c>
      <c r="F1485" s="126">
        <v>40535.0</v>
      </c>
      <c r="G1485" s="127">
        <v>4.62E8</v>
      </c>
      <c r="H1485" s="126">
        <v>40576.0</v>
      </c>
      <c r="I1485" s="128">
        <v>3562.0</v>
      </c>
      <c r="J1485" s="128">
        <v>81.73</v>
      </c>
      <c r="K1485" s="128">
        <v>56.67</v>
      </c>
      <c r="L1485" s="128">
        <v>291122.3</v>
      </c>
      <c r="M1485" s="128">
        <v>201858.5</v>
      </c>
      <c r="N1485" s="128">
        <v>89263.72</v>
      </c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</row>
    <row r="1486">
      <c r="A1486" s="125" t="s">
        <v>461</v>
      </c>
      <c r="B1486" s="125" t="s">
        <v>578</v>
      </c>
      <c r="C1486" s="125" t="s">
        <v>456</v>
      </c>
      <c r="D1486" s="125" t="s">
        <v>457</v>
      </c>
      <c r="E1486" s="125" t="s">
        <v>189</v>
      </c>
      <c r="F1486" s="126">
        <v>42496.0</v>
      </c>
      <c r="G1486" s="127">
        <v>1.61E8</v>
      </c>
      <c r="H1486" s="126">
        <v>42543.0</v>
      </c>
      <c r="I1486" s="128">
        <v>916.0</v>
      </c>
      <c r="J1486" s="128">
        <v>152.58</v>
      </c>
      <c r="K1486" s="128">
        <v>97.44</v>
      </c>
      <c r="L1486" s="128">
        <v>139763.3</v>
      </c>
      <c r="M1486" s="128">
        <v>89255.04</v>
      </c>
      <c r="N1486" s="128">
        <v>50508.24</v>
      </c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</row>
    <row r="1487">
      <c r="A1487" s="125" t="s">
        <v>461</v>
      </c>
      <c r="B1487" s="125" t="s">
        <v>576</v>
      </c>
      <c r="C1487" s="125" t="s">
        <v>485</v>
      </c>
      <c r="D1487" s="125" t="s">
        <v>454</v>
      </c>
      <c r="E1487" s="125" t="s">
        <v>472</v>
      </c>
      <c r="F1487" s="126">
        <v>41687.0</v>
      </c>
      <c r="G1487" s="127">
        <v>1.01E8</v>
      </c>
      <c r="H1487" s="126">
        <v>41710.0</v>
      </c>
      <c r="I1487" s="128">
        <v>248.0</v>
      </c>
      <c r="J1487" s="128">
        <v>421.89</v>
      </c>
      <c r="K1487" s="128">
        <v>364.69</v>
      </c>
      <c r="L1487" s="128">
        <v>104628.7</v>
      </c>
      <c r="M1487" s="128">
        <v>90443.12</v>
      </c>
      <c r="N1487" s="128">
        <v>14185.6</v>
      </c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</row>
    <row r="1488">
      <c r="A1488" s="125" t="s">
        <v>466</v>
      </c>
      <c r="B1488" s="125" t="s">
        <v>535</v>
      </c>
      <c r="C1488" s="125" t="s">
        <v>506</v>
      </c>
      <c r="D1488" s="125" t="s">
        <v>454</v>
      </c>
      <c r="E1488" s="125" t="s">
        <v>189</v>
      </c>
      <c r="F1488" s="126">
        <v>41758.0</v>
      </c>
      <c r="G1488" s="127">
        <v>7.72E8</v>
      </c>
      <c r="H1488" s="126">
        <v>41771.0</v>
      </c>
      <c r="I1488" s="128">
        <v>469.0</v>
      </c>
      <c r="J1488" s="128">
        <v>154.06</v>
      </c>
      <c r="K1488" s="128">
        <v>90.93</v>
      </c>
      <c r="L1488" s="128">
        <v>72254.14</v>
      </c>
      <c r="M1488" s="128">
        <v>42646.17</v>
      </c>
      <c r="N1488" s="128">
        <v>29607.97</v>
      </c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</row>
    <row r="1489">
      <c r="A1489" s="125" t="s">
        <v>458</v>
      </c>
      <c r="B1489" s="125" t="s">
        <v>551</v>
      </c>
      <c r="C1489" s="125" t="s">
        <v>506</v>
      </c>
      <c r="D1489" s="125" t="s">
        <v>457</v>
      </c>
      <c r="E1489" s="125" t="s">
        <v>472</v>
      </c>
      <c r="F1489" s="126">
        <v>42596.0</v>
      </c>
      <c r="G1489" s="127">
        <v>9.34E8</v>
      </c>
      <c r="H1489" s="126">
        <v>42644.0</v>
      </c>
      <c r="I1489" s="128">
        <v>7523.0</v>
      </c>
      <c r="J1489" s="128">
        <v>154.06</v>
      </c>
      <c r="K1489" s="128">
        <v>90.93</v>
      </c>
      <c r="L1489" s="128">
        <v>1158993.0</v>
      </c>
      <c r="M1489" s="128">
        <v>684066.4</v>
      </c>
      <c r="N1489" s="128">
        <v>474927.0</v>
      </c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</row>
    <row r="1490">
      <c r="A1490" s="125" t="s">
        <v>458</v>
      </c>
      <c r="B1490" s="125" t="s">
        <v>540</v>
      </c>
      <c r="C1490" s="125" t="s">
        <v>480</v>
      </c>
      <c r="D1490" s="125" t="s">
        <v>454</v>
      </c>
      <c r="E1490" s="125" t="s">
        <v>472</v>
      </c>
      <c r="F1490" s="126">
        <v>41712.0</v>
      </c>
      <c r="G1490" s="127">
        <v>7.65E8</v>
      </c>
      <c r="H1490" s="126">
        <v>41735.0</v>
      </c>
      <c r="I1490" s="128">
        <v>9382.0</v>
      </c>
      <c r="J1490" s="128">
        <v>437.2</v>
      </c>
      <c r="K1490" s="128">
        <v>263.33</v>
      </c>
      <c r="L1490" s="128">
        <v>4101810.0</v>
      </c>
      <c r="M1490" s="128">
        <v>2470562.0</v>
      </c>
      <c r="N1490" s="128">
        <v>1631248.0</v>
      </c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</row>
    <row r="1491">
      <c r="A1491" s="125" t="s">
        <v>458</v>
      </c>
      <c r="B1491" s="125" t="s">
        <v>567</v>
      </c>
      <c r="C1491" s="125" t="s">
        <v>514</v>
      </c>
      <c r="D1491" s="125" t="s">
        <v>457</v>
      </c>
      <c r="E1491" s="125" t="s">
        <v>189</v>
      </c>
      <c r="F1491" s="126">
        <v>41155.0</v>
      </c>
      <c r="G1491" s="127">
        <v>5.16E8</v>
      </c>
      <c r="H1491" s="126">
        <v>41176.0</v>
      </c>
      <c r="I1491" s="128">
        <v>1051.0</v>
      </c>
      <c r="J1491" s="128">
        <v>668.27</v>
      </c>
      <c r="K1491" s="128">
        <v>502.54</v>
      </c>
      <c r="L1491" s="128">
        <v>702351.8</v>
      </c>
      <c r="M1491" s="128">
        <v>528169.5</v>
      </c>
      <c r="N1491" s="128">
        <v>174182.2</v>
      </c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</row>
    <row r="1492">
      <c r="A1492" s="125" t="s">
        <v>461</v>
      </c>
      <c r="B1492" s="125" t="s">
        <v>462</v>
      </c>
      <c r="C1492" s="125" t="s">
        <v>494</v>
      </c>
      <c r="D1492" s="125" t="s">
        <v>454</v>
      </c>
      <c r="E1492" s="125" t="s">
        <v>464</v>
      </c>
      <c r="F1492" s="126">
        <v>40597.0</v>
      </c>
      <c r="G1492" s="127">
        <v>9.58E8</v>
      </c>
      <c r="H1492" s="126">
        <v>40637.0</v>
      </c>
      <c r="I1492" s="128">
        <v>9566.0</v>
      </c>
      <c r="J1492" s="128">
        <v>9.33</v>
      </c>
      <c r="K1492" s="128">
        <v>6.92</v>
      </c>
      <c r="L1492" s="128">
        <v>89250.78</v>
      </c>
      <c r="M1492" s="128">
        <v>66196.72</v>
      </c>
      <c r="N1492" s="128">
        <v>23054.06</v>
      </c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</row>
    <row r="1493">
      <c r="A1493" s="125" t="s">
        <v>461</v>
      </c>
      <c r="B1493" s="125" t="s">
        <v>638</v>
      </c>
      <c r="C1493" s="125" t="s">
        <v>514</v>
      </c>
      <c r="D1493" s="125" t="s">
        <v>457</v>
      </c>
      <c r="E1493" s="125" t="s">
        <v>472</v>
      </c>
      <c r="F1493" s="126">
        <v>41481.0</v>
      </c>
      <c r="G1493" s="127">
        <v>2.31E8</v>
      </c>
      <c r="H1493" s="126">
        <v>41494.0</v>
      </c>
      <c r="I1493" s="128">
        <v>8996.0</v>
      </c>
      <c r="J1493" s="128">
        <v>668.27</v>
      </c>
      <c r="K1493" s="128">
        <v>502.54</v>
      </c>
      <c r="L1493" s="128">
        <v>6011757.0</v>
      </c>
      <c r="M1493" s="128">
        <v>4520850.0</v>
      </c>
      <c r="N1493" s="128">
        <v>1490907.0</v>
      </c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</row>
    <row r="1494">
      <c r="A1494" s="125" t="s">
        <v>475</v>
      </c>
      <c r="B1494" s="125" t="s">
        <v>656</v>
      </c>
      <c r="C1494" s="125" t="s">
        <v>494</v>
      </c>
      <c r="D1494" s="125" t="s">
        <v>454</v>
      </c>
      <c r="E1494" s="125" t="s">
        <v>189</v>
      </c>
      <c r="F1494" s="126">
        <v>42875.0</v>
      </c>
      <c r="G1494" s="127">
        <v>5.96E8</v>
      </c>
      <c r="H1494" s="126">
        <v>42915.0</v>
      </c>
      <c r="I1494" s="128">
        <v>5438.0</v>
      </c>
      <c r="J1494" s="128">
        <v>9.33</v>
      </c>
      <c r="K1494" s="128">
        <v>6.92</v>
      </c>
      <c r="L1494" s="128">
        <v>50736.54</v>
      </c>
      <c r="M1494" s="128">
        <v>37630.96</v>
      </c>
      <c r="N1494" s="128">
        <v>13105.58</v>
      </c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</row>
    <row r="1495">
      <c r="A1495" s="125" t="s">
        <v>458</v>
      </c>
      <c r="B1495" s="125" t="s">
        <v>538</v>
      </c>
      <c r="C1495" s="125" t="s">
        <v>485</v>
      </c>
      <c r="D1495" s="125" t="s">
        <v>457</v>
      </c>
      <c r="E1495" s="125" t="s">
        <v>472</v>
      </c>
      <c r="F1495" s="126">
        <v>42850.0</v>
      </c>
      <c r="G1495" s="127">
        <v>7.84E8</v>
      </c>
      <c r="H1495" s="126">
        <v>42856.0</v>
      </c>
      <c r="I1495" s="128">
        <v>2022.0</v>
      </c>
      <c r="J1495" s="128">
        <v>421.89</v>
      </c>
      <c r="K1495" s="128">
        <v>364.69</v>
      </c>
      <c r="L1495" s="128">
        <v>853061.6</v>
      </c>
      <c r="M1495" s="128">
        <v>737403.2</v>
      </c>
      <c r="N1495" s="128">
        <v>115658.4</v>
      </c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</row>
    <row r="1496">
      <c r="A1496" s="125" t="s">
        <v>461</v>
      </c>
      <c r="B1496" s="125" t="s">
        <v>618</v>
      </c>
      <c r="C1496" s="125" t="s">
        <v>468</v>
      </c>
      <c r="D1496" s="125" t="s">
        <v>454</v>
      </c>
      <c r="E1496" s="125" t="s">
        <v>464</v>
      </c>
      <c r="F1496" s="126">
        <v>42635.0</v>
      </c>
      <c r="G1496" s="127">
        <v>9.47E8</v>
      </c>
      <c r="H1496" s="126">
        <v>42647.0</v>
      </c>
      <c r="I1496" s="128">
        <v>3910.0</v>
      </c>
      <c r="J1496" s="128">
        <v>81.73</v>
      </c>
      <c r="K1496" s="128">
        <v>56.67</v>
      </c>
      <c r="L1496" s="128">
        <v>319564.3</v>
      </c>
      <c r="M1496" s="128">
        <v>221579.7</v>
      </c>
      <c r="N1496" s="128">
        <v>97984.6</v>
      </c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</row>
    <row r="1497">
      <c r="A1497" s="125" t="s">
        <v>458</v>
      </c>
      <c r="B1497" s="125" t="s">
        <v>652</v>
      </c>
      <c r="C1497" s="125" t="s">
        <v>456</v>
      </c>
      <c r="D1497" s="125" t="s">
        <v>454</v>
      </c>
      <c r="E1497" s="125" t="s">
        <v>464</v>
      </c>
      <c r="F1497" s="126">
        <v>42463.0</v>
      </c>
      <c r="G1497" s="127">
        <v>4.06E8</v>
      </c>
      <c r="H1497" s="126">
        <v>42509.0</v>
      </c>
      <c r="I1497" s="128">
        <v>3293.0</v>
      </c>
      <c r="J1497" s="128">
        <v>152.58</v>
      </c>
      <c r="K1497" s="128">
        <v>97.44</v>
      </c>
      <c r="L1497" s="128">
        <v>502445.9</v>
      </c>
      <c r="M1497" s="128">
        <v>320869.9</v>
      </c>
      <c r="N1497" s="128">
        <v>181576.0</v>
      </c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</row>
    <row r="1498">
      <c r="A1498" s="125" t="s">
        <v>458</v>
      </c>
      <c r="B1498" s="125" t="s">
        <v>582</v>
      </c>
      <c r="C1498" s="125" t="s">
        <v>506</v>
      </c>
      <c r="D1498" s="125" t="s">
        <v>454</v>
      </c>
      <c r="E1498" s="125" t="s">
        <v>464</v>
      </c>
      <c r="F1498" s="126">
        <v>40191.0</v>
      </c>
      <c r="G1498" s="127">
        <v>8.05E8</v>
      </c>
      <c r="H1498" s="126">
        <v>40198.0</v>
      </c>
      <c r="I1498" s="128">
        <v>4396.0</v>
      </c>
      <c r="J1498" s="128">
        <v>154.06</v>
      </c>
      <c r="K1498" s="128">
        <v>90.93</v>
      </c>
      <c r="L1498" s="128">
        <v>677247.8</v>
      </c>
      <c r="M1498" s="128">
        <v>399728.3</v>
      </c>
      <c r="N1498" s="128">
        <v>277519.5</v>
      </c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</row>
    <row r="1499">
      <c r="A1499" s="125" t="s">
        <v>461</v>
      </c>
      <c r="B1499" s="125" t="s">
        <v>564</v>
      </c>
      <c r="C1499" s="125" t="s">
        <v>494</v>
      </c>
      <c r="D1499" s="125" t="s">
        <v>457</v>
      </c>
      <c r="E1499" s="125" t="s">
        <v>189</v>
      </c>
      <c r="F1499" s="126">
        <v>40980.0</v>
      </c>
      <c r="G1499" s="127">
        <v>2.56E8</v>
      </c>
      <c r="H1499" s="126">
        <v>41017.0</v>
      </c>
      <c r="I1499" s="128">
        <v>8474.0</v>
      </c>
      <c r="J1499" s="128">
        <v>9.33</v>
      </c>
      <c r="K1499" s="128">
        <v>6.92</v>
      </c>
      <c r="L1499" s="128">
        <v>79062.42</v>
      </c>
      <c r="M1499" s="128">
        <v>58640.08</v>
      </c>
      <c r="N1499" s="128">
        <v>20422.34</v>
      </c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</row>
    <row r="1500">
      <c r="A1500" s="125" t="s">
        <v>475</v>
      </c>
      <c r="B1500" s="125" t="s">
        <v>575</v>
      </c>
      <c r="C1500" s="125" t="s">
        <v>478</v>
      </c>
      <c r="D1500" s="125" t="s">
        <v>454</v>
      </c>
      <c r="E1500" s="125" t="s">
        <v>284</v>
      </c>
      <c r="F1500" s="126">
        <v>42080.0</v>
      </c>
      <c r="G1500" s="127">
        <v>9.9E8</v>
      </c>
      <c r="H1500" s="126">
        <v>42118.0</v>
      </c>
      <c r="I1500" s="128">
        <v>8812.0</v>
      </c>
      <c r="J1500" s="128">
        <v>651.21</v>
      </c>
      <c r="K1500" s="128">
        <v>524.96</v>
      </c>
      <c r="L1500" s="128">
        <v>5738463.0</v>
      </c>
      <c r="M1500" s="128">
        <v>4625948.0</v>
      </c>
      <c r="N1500" s="128">
        <v>1112515.0</v>
      </c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</row>
    <row r="1501">
      <c r="A1501" s="125" t="s">
        <v>469</v>
      </c>
      <c r="B1501" s="125" t="s">
        <v>503</v>
      </c>
      <c r="C1501" s="125" t="s">
        <v>453</v>
      </c>
      <c r="D1501" s="125" t="s">
        <v>457</v>
      </c>
      <c r="E1501" s="125" t="s">
        <v>189</v>
      </c>
      <c r="F1501" s="126">
        <v>42516.0</v>
      </c>
      <c r="G1501" s="127">
        <v>8.13E8</v>
      </c>
      <c r="H1501" s="126">
        <v>42516.0</v>
      </c>
      <c r="I1501" s="128">
        <v>5728.0</v>
      </c>
      <c r="J1501" s="128">
        <v>255.28</v>
      </c>
      <c r="K1501" s="128">
        <v>159.42</v>
      </c>
      <c r="L1501" s="128">
        <v>1462244.0</v>
      </c>
      <c r="M1501" s="128">
        <v>913157.8</v>
      </c>
      <c r="N1501" s="128">
        <v>549086.1</v>
      </c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</row>
    <row r="1502">
      <c r="A1502" s="125" t="s">
        <v>475</v>
      </c>
      <c r="B1502" s="125" t="s">
        <v>571</v>
      </c>
      <c r="C1502" s="125" t="s">
        <v>468</v>
      </c>
      <c r="D1502" s="125" t="s">
        <v>454</v>
      </c>
      <c r="E1502" s="125" t="s">
        <v>284</v>
      </c>
      <c r="F1502" s="126">
        <v>41701.0</v>
      </c>
      <c r="G1502" s="127">
        <v>7.47E8</v>
      </c>
      <c r="H1502" s="126">
        <v>41732.0</v>
      </c>
      <c r="I1502" s="128">
        <v>1571.0</v>
      </c>
      <c r="J1502" s="128">
        <v>81.73</v>
      </c>
      <c r="K1502" s="128">
        <v>56.67</v>
      </c>
      <c r="L1502" s="128">
        <v>128397.8</v>
      </c>
      <c r="M1502" s="128">
        <v>89028.57</v>
      </c>
      <c r="N1502" s="128">
        <v>39369.26</v>
      </c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</row>
    <row r="1503">
      <c r="A1503" s="125" t="s">
        <v>458</v>
      </c>
      <c r="B1503" s="125" t="s">
        <v>553</v>
      </c>
      <c r="C1503" s="125" t="s">
        <v>463</v>
      </c>
      <c r="D1503" s="125" t="s">
        <v>454</v>
      </c>
      <c r="E1503" s="125" t="s">
        <v>189</v>
      </c>
      <c r="F1503" s="126">
        <v>40817.0</v>
      </c>
      <c r="G1503" s="127">
        <v>9.85E8</v>
      </c>
      <c r="H1503" s="126">
        <v>40837.0</v>
      </c>
      <c r="I1503" s="128">
        <v>5720.0</v>
      </c>
      <c r="J1503" s="128">
        <v>205.7</v>
      </c>
      <c r="K1503" s="128">
        <v>117.11</v>
      </c>
      <c r="L1503" s="128">
        <v>1176604.0</v>
      </c>
      <c r="M1503" s="128">
        <v>669869.2</v>
      </c>
      <c r="N1503" s="128">
        <v>506734.8</v>
      </c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</row>
    <row r="1504">
      <c r="A1504" s="125" t="s">
        <v>458</v>
      </c>
      <c r="B1504" s="125" t="s">
        <v>541</v>
      </c>
      <c r="C1504" s="125" t="s">
        <v>463</v>
      </c>
      <c r="D1504" s="125" t="s">
        <v>457</v>
      </c>
      <c r="E1504" s="125" t="s">
        <v>189</v>
      </c>
      <c r="F1504" s="126">
        <v>41440.0</v>
      </c>
      <c r="G1504" s="127">
        <v>4.43E8</v>
      </c>
      <c r="H1504" s="126">
        <v>41464.0</v>
      </c>
      <c r="I1504" s="128">
        <v>9586.0</v>
      </c>
      <c r="J1504" s="128">
        <v>205.7</v>
      </c>
      <c r="K1504" s="128">
        <v>117.11</v>
      </c>
      <c r="L1504" s="128">
        <v>1971840.0</v>
      </c>
      <c r="M1504" s="128">
        <v>1122616.0</v>
      </c>
      <c r="N1504" s="128">
        <v>849223.7</v>
      </c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</row>
    <row r="1505">
      <c r="A1505" s="125" t="s">
        <v>475</v>
      </c>
      <c r="B1505" s="125" t="s">
        <v>574</v>
      </c>
      <c r="C1505" s="125" t="s">
        <v>506</v>
      </c>
      <c r="D1505" s="125" t="s">
        <v>457</v>
      </c>
      <c r="E1505" s="125" t="s">
        <v>284</v>
      </c>
      <c r="F1505" s="126">
        <v>41382.0</v>
      </c>
      <c r="G1505" s="127">
        <v>8.04E8</v>
      </c>
      <c r="H1505" s="126">
        <v>41421.0</v>
      </c>
      <c r="I1505" s="128">
        <v>1613.0</v>
      </c>
      <c r="J1505" s="128">
        <v>154.06</v>
      </c>
      <c r="K1505" s="128">
        <v>90.93</v>
      </c>
      <c r="L1505" s="128">
        <v>248498.8</v>
      </c>
      <c r="M1505" s="128">
        <v>146670.1</v>
      </c>
      <c r="N1505" s="128">
        <v>101828.7</v>
      </c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</row>
    <row r="1506">
      <c r="A1506" s="125" t="s">
        <v>451</v>
      </c>
      <c r="B1506" s="125" t="s">
        <v>609</v>
      </c>
      <c r="C1506" s="125" t="s">
        <v>480</v>
      </c>
      <c r="D1506" s="125" t="s">
        <v>454</v>
      </c>
      <c r="E1506" s="125" t="s">
        <v>472</v>
      </c>
      <c r="F1506" s="126">
        <v>41612.0</v>
      </c>
      <c r="G1506" s="127">
        <v>6.74E8</v>
      </c>
      <c r="H1506" s="126">
        <v>41632.0</v>
      </c>
      <c r="I1506" s="128">
        <v>2273.0</v>
      </c>
      <c r="J1506" s="128">
        <v>437.2</v>
      </c>
      <c r="K1506" s="128">
        <v>263.33</v>
      </c>
      <c r="L1506" s="128">
        <v>993755.6</v>
      </c>
      <c r="M1506" s="128">
        <v>598549.1</v>
      </c>
      <c r="N1506" s="128">
        <v>395206.5</v>
      </c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</row>
    <row r="1507">
      <c r="A1507" s="125" t="s">
        <v>461</v>
      </c>
      <c r="B1507" s="125" t="s">
        <v>465</v>
      </c>
      <c r="C1507" s="125" t="s">
        <v>494</v>
      </c>
      <c r="D1507" s="125" t="s">
        <v>457</v>
      </c>
      <c r="E1507" s="125" t="s">
        <v>464</v>
      </c>
      <c r="F1507" s="126">
        <v>42103.0</v>
      </c>
      <c r="G1507" s="127">
        <v>5.26E8</v>
      </c>
      <c r="H1507" s="126">
        <v>42116.0</v>
      </c>
      <c r="I1507" s="128">
        <v>9071.0</v>
      </c>
      <c r="J1507" s="128">
        <v>9.33</v>
      </c>
      <c r="K1507" s="128">
        <v>6.92</v>
      </c>
      <c r="L1507" s="128">
        <v>84632.43</v>
      </c>
      <c r="M1507" s="128">
        <v>62771.32</v>
      </c>
      <c r="N1507" s="128">
        <v>21861.11</v>
      </c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</row>
    <row r="1508">
      <c r="A1508" s="125" t="s">
        <v>451</v>
      </c>
      <c r="B1508" s="125" t="s">
        <v>620</v>
      </c>
      <c r="C1508" s="125" t="s">
        <v>471</v>
      </c>
      <c r="D1508" s="125" t="s">
        <v>457</v>
      </c>
      <c r="E1508" s="125" t="s">
        <v>464</v>
      </c>
      <c r="F1508" s="126">
        <v>40454.0</v>
      </c>
      <c r="G1508" s="127">
        <v>4.58E8</v>
      </c>
      <c r="H1508" s="126">
        <v>40484.0</v>
      </c>
      <c r="I1508" s="128">
        <v>1544.0</v>
      </c>
      <c r="J1508" s="128">
        <v>109.28</v>
      </c>
      <c r="K1508" s="128">
        <v>35.84</v>
      </c>
      <c r="L1508" s="128">
        <v>168728.3</v>
      </c>
      <c r="M1508" s="128">
        <v>55336.96</v>
      </c>
      <c r="N1508" s="128">
        <v>113391.4</v>
      </c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</row>
    <row r="1509">
      <c r="A1509" s="125" t="s">
        <v>475</v>
      </c>
      <c r="B1509" s="125" t="s">
        <v>521</v>
      </c>
      <c r="C1509" s="125" t="s">
        <v>463</v>
      </c>
      <c r="D1509" s="125" t="s">
        <v>457</v>
      </c>
      <c r="E1509" s="125" t="s">
        <v>472</v>
      </c>
      <c r="F1509" s="126">
        <v>41566.0</v>
      </c>
      <c r="G1509" s="127">
        <v>6.33E8</v>
      </c>
      <c r="H1509" s="126">
        <v>41581.0</v>
      </c>
      <c r="I1509" s="128">
        <v>6260.0</v>
      </c>
      <c r="J1509" s="128">
        <v>205.7</v>
      </c>
      <c r="K1509" s="128">
        <v>117.11</v>
      </c>
      <c r="L1509" s="128">
        <v>1287682.0</v>
      </c>
      <c r="M1509" s="128">
        <v>733108.6</v>
      </c>
      <c r="N1509" s="128">
        <v>554573.4</v>
      </c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</row>
    <row r="1510">
      <c r="A1510" s="125" t="s">
        <v>469</v>
      </c>
      <c r="B1510" s="125" t="s">
        <v>617</v>
      </c>
      <c r="C1510" s="125" t="s">
        <v>478</v>
      </c>
      <c r="D1510" s="125" t="s">
        <v>457</v>
      </c>
      <c r="E1510" s="125" t="s">
        <v>472</v>
      </c>
      <c r="F1510" s="126">
        <v>42431.0</v>
      </c>
      <c r="G1510" s="127">
        <v>8.39E8</v>
      </c>
      <c r="H1510" s="126">
        <v>42462.0</v>
      </c>
      <c r="I1510" s="128">
        <v>1815.0</v>
      </c>
      <c r="J1510" s="128">
        <v>651.21</v>
      </c>
      <c r="K1510" s="128">
        <v>524.96</v>
      </c>
      <c r="L1510" s="128">
        <v>1181946.0</v>
      </c>
      <c r="M1510" s="128">
        <v>952802.4</v>
      </c>
      <c r="N1510" s="128">
        <v>229143.8</v>
      </c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</row>
    <row r="1511">
      <c r="A1511" s="125" t="s">
        <v>458</v>
      </c>
      <c r="B1511" s="125" t="s">
        <v>517</v>
      </c>
      <c r="C1511" s="125" t="s">
        <v>460</v>
      </c>
      <c r="D1511" s="125" t="s">
        <v>454</v>
      </c>
      <c r="E1511" s="125" t="s">
        <v>464</v>
      </c>
      <c r="F1511" s="126">
        <v>41813.0</v>
      </c>
      <c r="G1511" s="127">
        <v>9.31E8</v>
      </c>
      <c r="H1511" s="126">
        <v>41839.0</v>
      </c>
      <c r="I1511" s="128">
        <v>3841.0</v>
      </c>
      <c r="J1511" s="128">
        <v>47.45</v>
      </c>
      <c r="K1511" s="128">
        <v>31.79</v>
      </c>
      <c r="L1511" s="128">
        <v>182255.5</v>
      </c>
      <c r="M1511" s="128">
        <v>122105.4</v>
      </c>
      <c r="N1511" s="128">
        <v>60150.06</v>
      </c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</row>
    <row r="1512">
      <c r="A1512" s="125" t="s">
        <v>458</v>
      </c>
      <c r="B1512" s="125" t="s">
        <v>553</v>
      </c>
      <c r="C1512" s="125" t="s">
        <v>468</v>
      </c>
      <c r="D1512" s="125" t="s">
        <v>457</v>
      </c>
      <c r="E1512" s="125" t="s">
        <v>472</v>
      </c>
      <c r="F1512" s="126">
        <v>41631.0</v>
      </c>
      <c r="G1512" s="127">
        <v>3.87E8</v>
      </c>
      <c r="H1512" s="126">
        <v>41643.0</v>
      </c>
      <c r="I1512" s="128">
        <v>9999.0</v>
      </c>
      <c r="J1512" s="128">
        <v>81.73</v>
      </c>
      <c r="K1512" s="128">
        <v>56.67</v>
      </c>
      <c r="L1512" s="128">
        <v>817218.3</v>
      </c>
      <c r="M1512" s="128">
        <v>566643.3</v>
      </c>
      <c r="N1512" s="128">
        <v>250574.9</v>
      </c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</row>
    <row r="1513">
      <c r="A1513" s="125" t="s">
        <v>475</v>
      </c>
      <c r="B1513" s="125" t="s">
        <v>636</v>
      </c>
      <c r="C1513" s="125" t="s">
        <v>485</v>
      </c>
      <c r="D1513" s="125" t="s">
        <v>454</v>
      </c>
      <c r="E1513" s="125" t="s">
        <v>464</v>
      </c>
      <c r="F1513" s="126">
        <v>42810.0</v>
      </c>
      <c r="G1513" s="127">
        <v>5.53E8</v>
      </c>
      <c r="H1513" s="126">
        <v>42850.0</v>
      </c>
      <c r="I1513" s="128">
        <v>4981.0</v>
      </c>
      <c r="J1513" s="128">
        <v>421.89</v>
      </c>
      <c r="K1513" s="128">
        <v>364.69</v>
      </c>
      <c r="L1513" s="128">
        <v>2101434.0</v>
      </c>
      <c r="M1513" s="128">
        <v>1816521.0</v>
      </c>
      <c r="N1513" s="128">
        <v>284913.2</v>
      </c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</row>
    <row r="1514">
      <c r="A1514" s="125" t="s">
        <v>458</v>
      </c>
      <c r="B1514" s="125" t="s">
        <v>573</v>
      </c>
      <c r="C1514" s="125" t="s">
        <v>485</v>
      </c>
      <c r="D1514" s="125" t="s">
        <v>457</v>
      </c>
      <c r="E1514" s="125" t="s">
        <v>189</v>
      </c>
      <c r="F1514" s="126">
        <v>41133.0</v>
      </c>
      <c r="G1514" s="127">
        <v>5.96E8</v>
      </c>
      <c r="H1514" s="126">
        <v>41156.0</v>
      </c>
      <c r="I1514" s="128">
        <v>5510.0</v>
      </c>
      <c r="J1514" s="128">
        <v>421.89</v>
      </c>
      <c r="K1514" s="128">
        <v>364.69</v>
      </c>
      <c r="L1514" s="128">
        <v>2324614.0</v>
      </c>
      <c r="M1514" s="128">
        <v>2009442.0</v>
      </c>
      <c r="N1514" s="128">
        <v>315172.0</v>
      </c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</row>
    <row r="1515">
      <c r="A1515" s="125" t="s">
        <v>458</v>
      </c>
      <c r="B1515" s="125" t="s">
        <v>633</v>
      </c>
      <c r="C1515" s="125" t="s">
        <v>478</v>
      </c>
      <c r="D1515" s="125" t="s">
        <v>454</v>
      </c>
      <c r="E1515" s="125" t="s">
        <v>189</v>
      </c>
      <c r="F1515" s="126">
        <v>42452.0</v>
      </c>
      <c r="G1515" s="127">
        <v>6.54E8</v>
      </c>
      <c r="H1515" s="126">
        <v>42466.0</v>
      </c>
      <c r="I1515" s="128">
        <v>5342.0</v>
      </c>
      <c r="J1515" s="128">
        <v>651.21</v>
      </c>
      <c r="K1515" s="128">
        <v>524.96</v>
      </c>
      <c r="L1515" s="128">
        <v>3478764.0</v>
      </c>
      <c r="M1515" s="128">
        <v>2804336.0</v>
      </c>
      <c r="N1515" s="128">
        <v>674427.5</v>
      </c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</row>
    <row r="1516">
      <c r="A1516" s="125" t="s">
        <v>475</v>
      </c>
      <c r="B1516" s="125" t="s">
        <v>549</v>
      </c>
      <c r="C1516" s="125" t="s">
        <v>460</v>
      </c>
      <c r="D1516" s="125" t="s">
        <v>454</v>
      </c>
      <c r="E1516" s="125" t="s">
        <v>189</v>
      </c>
      <c r="F1516" s="126">
        <v>41943.0</v>
      </c>
      <c r="G1516" s="127">
        <v>4.85E8</v>
      </c>
      <c r="H1516" s="126">
        <v>41972.0</v>
      </c>
      <c r="I1516" s="128">
        <v>263.0</v>
      </c>
      <c r="J1516" s="128">
        <v>47.45</v>
      </c>
      <c r="K1516" s="128">
        <v>31.79</v>
      </c>
      <c r="L1516" s="128">
        <v>12479.35</v>
      </c>
      <c r="M1516" s="128">
        <v>8360.77</v>
      </c>
      <c r="N1516" s="128">
        <v>4118.58</v>
      </c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</row>
    <row r="1517">
      <c r="A1517" s="125" t="s">
        <v>475</v>
      </c>
      <c r="B1517" s="125" t="s">
        <v>657</v>
      </c>
      <c r="C1517" s="125" t="s">
        <v>456</v>
      </c>
      <c r="D1517" s="125" t="s">
        <v>454</v>
      </c>
      <c r="E1517" s="125" t="s">
        <v>472</v>
      </c>
      <c r="F1517" s="126">
        <v>42088.0</v>
      </c>
      <c r="G1517" s="127">
        <v>8.16E8</v>
      </c>
      <c r="H1517" s="126">
        <v>42107.0</v>
      </c>
      <c r="I1517" s="128">
        <v>3090.0</v>
      </c>
      <c r="J1517" s="128">
        <v>152.58</v>
      </c>
      <c r="K1517" s="128">
        <v>97.44</v>
      </c>
      <c r="L1517" s="128">
        <v>471472.2</v>
      </c>
      <c r="M1517" s="128">
        <v>301089.6</v>
      </c>
      <c r="N1517" s="128">
        <v>170382.6</v>
      </c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</row>
    <row r="1518">
      <c r="A1518" s="125" t="s">
        <v>461</v>
      </c>
      <c r="B1518" s="125" t="s">
        <v>581</v>
      </c>
      <c r="C1518" s="125" t="s">
        <v>468</v>
      </c>
      <c r="D1518" s="125" t="s">
        <v>454</v>
      </c>
      <c r="E1518" s="125" t="s">
        <v>189</v>
      </c>
      <c r="F1518" s="126">
        <v>40225.0</v>
      </c>
      <c r="G1518" s="127">
        <v>1.97E8</v>
      </c>
      <c r="H1518" s="126">
        <v>40229.0</v>
      </c>
      <c r="I1518" s="128">
        <v>8671.0</v>
      </c>
      <c r="J1518" s="128">
        <v>81.73</v>
      </c>
      <c r="K1518" s="128">
        <v>56.67</v>
      </c>
      <c r="L1518" s="128">
        <v>708680.8</v>
      </c>
      <c r="M1518" s="128">
        <v>491385.6</v>
      </c>
      <c r="N1518" s="128">
        <v>217295.3</v>
      </c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</row>
    <row r="1519">
      <c r="A1519" s="125" t="s">
        <v>461</v>
      </c>
      <c r="B1519" s="125" t="s">
        <v>539</v>
      </c>
      <c r="C1519" s="125" t="s">
        <v>456</v>
      </c>
      <c r="D1519" s="125" t="s">
        <v>457</v>
      </c>
      <c r="E1519" s="125" t="s">
        <v>464</v>
      </c>
      <c r="F1519" s="126">
        <v>40995.0</v>
      </c>
      <c r="G1519" s="127">
        <v>8.47E8</v>
      </c>
      <c r="H1519" s="126">
        <v>41032.0</v>
      </c>
      <c r="I1519" s="128">
        <v>8887.0</v>
      </c>
      <c r="J1519" s="128">
        <v>152.58</v>
      </c>
      <c r="K1519" s="128">
        <v>97.44</v>
      </c>
      <c r="L1519" s="128">
        <v>1355978.0</v>
      </c>
      <c r="M1519" s="128">
        <v>865949.3</v>
      </c>
      <c r="N1519" s="128">
        <v>490029.2</v>
      </c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</row>
    <row r="1520">
      <c r="A1520" s="125" t="s">
        <v>458</v>
      </c>
      <c r="B1520" s="125" t="s">
        <v>541</v>
      </c>
      <c r="C1520" s="125" t="s">
        <v>460</v>
      </c>
      <c r="D1520" s="125" t="s">
        <v>457</v>
      </c>
      <c r="E1520" s="125" t="s">
        <v>472</v>
      </c>
      <c r="F1520" s="126">
        <v>41132.0</v>
      </c>
      <c r="G1520" s="127">
        <v>1.03E8</v>
      </c>
      <c r="H1520" s="126">
        <v>41170.0</v>
      </c>
      <c r="I1520" s="128">
        <v>7648.0</v>
      </c>
      <c r="J1520" s="128">
        <v>47.45</v>
      </c>
      <c r="K1520" s="128">
        <v>31.79</v>
      </c>
      <c r="L1520" s="128">
        <v>362897.6</v>
      </c>
      <c r="M1520" s="128">
        <v>243129.9</v>
      </c>
      <c r="N1520" s="128">
        <v>119767.7</v>
      </c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</row>
    <row r="1521">
      <c r="A1521" s="125" t="s">
        <v>451</v>
      </c>
      <c r="B1521" s="125" t="s">
        <v>592</v>
      </c>
      <c r="C1521" s="125" t="s">
        <v>494</v>
      </c>
      <c r="D1521" s="125" t="s">
        <v>454</v>
      </c>
      <c r="E1521" s="125" t="s">
        <v>472</v>
      </c>
      <c r="F1521" s="126">
        <v>41907.0</v>
      </c>
      <c r="G1521" s="127">
        <v>7.77E8</v>
      </c>
      <c r="H1521" s="126">
        <v>41919.0</v>
      </c>
      <c r="I1521" s="128">
        <v>5898.0</v>
      </c>
      <c r="J1521" s="128">
        <v>9.33</v>
      </c>
      <c r="K1521" s="128">
        <v>6.92</v>
      </c>
      <c r="L1521" s="128">
        <v>55028.34</v>
      </c>
      <c r="M1521" s="128">
        <v>40814.16</v>
      </c>
      <c r="N1521" s="128">
        <v>14214.18</v>
      </c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</row>
    <row r="1522">
      <c r="A1522" s="125" t="s">
        <v>475</v>
      </c>
      <c r="B1522" s="125" t="s">
        <v>640</v>
      </c>
      <c r="C1522" s="125" t="s">
        <v>453</v>
      </c>
      <c r="D1522" s="125" t="s">
        <v>457</v>
      </c>
      <c r="E1522" s="125" t="s">
        <v>464</v>
      </c>
      <c r="F1522" s="126">
        <v>42213.0</v>
      </c>
      <c r="G1522" s="127">
        <v>7.97E8</v>
      </c>
      <c r="H1522" s="126">
        <v>42244.0</v>
      </c>
      <c r="I1522" s="128">
        <v>6609.0</v>
      </c>
      <c r="J1522" s="128">
        <v>255.28</v>
      </c>
      <c r="K1522" s="128">
        <v>159.42</v>
      </c>
      <c r="L1522" s="128">
        <v>1687146.0</v>
      </c>
      <c r="M1522" s="128">
        <v>1053607.0</v>
      </c>
      <c r="N1522" s="128">
        <v>633538.7</v>
      </c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</row>
    <row r="1523">
      <c r="A1523" s="125" t="s">
        <v>458</v>
      </c>
      <c r="B1523" s="125" t="s">
        <v>610</v>
      </c>
      <c r="C1523" s="125" t="s">
        <v>485</v>
      </c>
      <c r="D1523" s="125" t="s">
        <v>457</v>
      </c>
      <c r="E1523" s="125" t="s">
        <v>464</v>
      </c>
      <c r="F1523" s="126">
        <v>42716.0</v>
      </c>
      <c r="G1523" s="127">
        <v>8.63E8</v>
      </c>
      <c r="H1523" s="126">
        <v>42717.0</v>
      </c>
      <c r="I1523" s="128">
        <v>9787.0</v>
      </c>
      <c r="J1523" s="128">
        <v>421.89</v>
      </c>
      <c r="K1523" s="128">
        <v>364.69</v>
      </c>
      <c r="L1523" s="128">
        <v>4129037.0</v>
      </c>
      <c r="M1523" s="128">
        <v>3569221.0</v>
      </c>
      <c r="N1523" s="128">
        <v>559816.4</v>
      </c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</row>
    <row r="1524">
      <c r="A1524" s="125" t="s">
        <v>458</v>
      </c>
      <c r="B1524" s="125" t="s">
        <v>559</v>
      </c>
      <c r="C1524" s="125" t="s">
        <v>471</v>
      </c>
      <c r="D1524" s="125" t="s">
        <v>457</v>
      </c>
      <c r="E1524" s="125" t="s">
        <v>189</v>
      </c>
      <c r="F1524" s="126">
        <v>41706.0</v>
      </c>
      <c r="G1524" s="127">
        <v>3.97E8</v>
      </c>
      <c r="H1524" s="126">
        <v>41753.0</v>
      </c>
      <c r="I1524" s="128">
        <v>7468.0</v>
      </c>
      <c r="J1524" s="128">
        <v>109.28</v>
      </c>
      <c r="K1524" s="128">
        <v>35.84</v>
      </c>
      <c r="L1524" s="128">
        <v>816103.0</v>
      </c>
      <c r="M1524" s="128">
        <v>267653.1</v>
      </c>
      <c r="N1524" s="128">
        <v>548449.9</v>
      </c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</row>
    <row r="1525">
      <c r="A1525" s="125" t="s">
        <v>461</v>
      </c>
      <c r="B1525" s="125" t="s">
        <v>516</v>
      </c>
      <c r="C1525" s="125" t="s">
        <v>460</v>
      </c>
      <c r="D1525" s="125" t="s">
        <v>457</v>
      </c>
      <c r="E1525" s="125" t="s">
        <v>284</v>
      </c>
      <c r="F1525" s="126">
        <v>42008.0</v>
      </c>
      <c r="G1525" s="127">
        <v>6.87E8</v>
      </c>
      <c r="H1525" s="126">
        <v>42034.0</v>
      </c>
      <c r="I1525" s="128">
        <v>8719.0</v>
      </c>
      <c r="J1525" s="128">
        <v>47.45</v>
      </c>
      <c r="K1525" s="128">
        <v>31.79</v>
      </c>
      <c r="L1525" s="128">
        <v>413716.6</v>
      </c>
      <c r="M1525" s="128">
        <v>277177.0</v>
      </c>
      <c r="N1525" s="128">
        <v>136539.5</v>
      </c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</row>
    <row r="1526">
      <c r="A1526" s="125" t="s">
        <v>475</v>
      </c>
      <c r="B1526" s="125" t="s">
        <v>507</v>
      </c>
      <c r="C1526" s="125" t="s">
        <v>456</v>
      </c>
      <c r="D1526" s="125" t="s">
        <v>454</v>
      </c>
      <c r="E1526" s="125" t="s">
        <v>472</v>
      </c>
      <c r="F1526" s="126">
        <v>41306.0</v>
      </c>
      <c r="G1526" s="127">
        <v>8.47E8</v>
      </c>
      <c r="H1526" s="126">
        <v>41317.0</v>
      </c>
      <c r="I1526" s="128">
        <v>4638.0</v>
      </c>
      <c r="J1526" s="128">
        <v>152.58</v>
      </c>
      <c r="K1526" s="128">
        <v>97.44</v>
      </c>
      <c r="L1526" s="128">
        <v>707666.0</v>
      </c>
      <c r="M1526" s="128">
        <v>451926.7</v>
      </c>
      <c r="N1526" s="128">
        <v>255739.3</v>
      </c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</row>
    <row r="1527">
      <c r="A1527" s="125" t="s">
        <v>466</v>
      </c>
      <c r="B1527" s="125" t="s">
        <v>474</v>
      </c>
      <c r="C1527" s="125" t="s">
        <v>468</v>
      </c>
      <c r="D1527" s="125" t="s">
        <v>454</v>
      </c>
      <c r="E1527" s="125" t="s">
        <v>189</v>
      </c>
      <c r="F1527" s="126">
        <v>41823.0</v>
      </c>
      <c r="G1527" s="127">
        <v>9.56E8</v>
      </c>
      <c r="H1527" s="126">
        <v>41839.0</v>
      </c>
      <c r="I1527" s="128">
        <v>3356.0</v>
      </c>
      <c r="J1527" s="128">
        <v>81.73</v>
      </c>
      <c r="K1527" s="128">
        <v>56.67</v>
      </c>
      <c r="L1527" s="128">
        <v>274285.9</v>
      </c>
      <c r="M1527" s="128">
        <v>190184.5</v>
      </c>
      <c r="N1527" s="128">
        <v>84101.36</v>
      </c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</row>
    <row r="1528">
      <c r="A1528" s="125" t="s">
        <v>451</v>
      </c>
      <c r="B1528" s="125" t="s">
        <v>550</v>
      </c>
      <c r="C1528" s="125" t="s">
        <v>471</v>
      </c>
      <c r="D1528" s="125" t="s">
        <v>457</v>
      </c>
      <c r="E1528" s="125" t="s">
        <v>472</v>
      </c>
      <c r="F1528" s="126">
        <v>40637.0</v>
      </c>
      <c r="G1528" s="127">
        <v>7.17E8</v>
      </c>
      <c r="H1528" s="126">
        <v>40650.0</v>
      </c>
      <c r="I1528" s="128">
        <v>5034.0</v>
      </c>
      <c r="J1528" s="128">
        <v>109.28</v>
      </c>
      <c r="K1528" s="128">
        <v>35.84</v>
      </c>
      <c r="L1528" s="128">
        <v>550115.5</v>
      </c>
      <c r="M1528" s="128">
        <v>180418.6</v>
      </c>
      <c r="N1528" s="128">
        <v>369697.0</v>
      </c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</row>
    <row r="1529">
      <c r="A1529" s="125" t="s">
        <v>458</v>
      </c>
      <c r="B1529" s="125" t="s">
        <v>553</v>
      </c>
      <c r="C1529" s="125" t="s">
        <v>480</v>
      </c>
      <c r="D1529" s="125" t="s">
        <v>457</v>
      </c>
      <c r="E1529" s="125" t="s">
        <v>189</v>
      </c>
      <c r="F1529" s="126">
        <v>42130.0</v>
      </c>
      <c r="G1529" s="127">
        <v>8.01E8</v>
      </c>
      <c r="H1529" s="126">
        <v>42147.0</v>
      </c>
      <c r="I1529" s="128">
        <v>6864.0</v>
      </c>
      <c r="J1529" s="128">
        <v>437.2</v>
      </c>
      <c r="K1529" s="128">
        <v>263.33</v>
      </c>
      <c r="L1529" s="128">
        <v>3000941.0</v>
      </c>
      <c r="M1529" s="128">
        <v>1807497.0</v>
      </c>
      <c r="N1529" s="128">
        <v>1193444.0</v>
      </c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</row>
    <row r="1530">
      <c r="A1530" s="125" t="s">
        <v>466</v>
      </c>
      <c r="B1530" s="125" t="s">
        <v>491</v>
      </c>
      <c r="C1530" s="125" t="s">
        <v>478</v>
      </c>
      <c r="D1530" s="125" t="s">
        <v>457</v>
      </c>
      <c r="E1530" s="125" t="s">
        <v>189</v>
      </c>
      <c r="F1530" s="126">
        <v>42777.0</v>
      </c>
      <c r="G1530" s="127">
        <v>6.01E8</v>
      </c>
      <c r="H1530" s="126">
        <v>42781.0</v>
      </c>
      <c r="I1530" s="128">
        <v>8070.0</v>
      </c>
      <c r="J1530" s="128">
        <v>651.21</v>
      </c>
      <c r="K1530" s="128">
        <v>524.96</v>
      </c>
      <c r="L1530" s="128">
        <v>5255265.0</v>
      </c>
      <c r="M1530" s="128">
        <v>4236427.0</v>
      </c>
      <c r="N1530" s="128">
        <v>1018838.0</v>
      </c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</row>
    <row r="1531">
      <c r="A1531" s="125" t="s">
        <v>458</v>
      </c>
      <c r="B1531" s="125" t="s">
        <v>505</v>
      </c>
      <c r="C1531" s="125" t="s">
        <v>494</v>
      </c>
      <c r="D1531" s="125" t="s">
        <v>454</v>
      </c>
      <c r="E1531" s="125" t="s">
        <v>472</v>
      </c>
      <c r="F1531" s="126">
        <v>40823.0</v>
      </c>
      <c r="G1531" s="127">
        <v>4.79E8</v>
      </c>
      <c r="H1531" s="126">
        <v>40861.0</v>
      </c>
      <c r="I1531" s="128">
        <v>4906.0</v>
      </c>
      <c r="J1531" s="128">
        <v>9.33</v>
      </c>
      <c r="K1531" s="128">
        <v>6.92</v>
      </c>
      <c r="L1531" s="128">
        <v>45772.98</v>
      </c>
      <c r="M1531" s="128">
        <v>33949.52</v>
      </c>
      <c r="N1531" s="128">
        <v>11823.46</v>
      </c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</row>
    <row r="1532">
      <c r="A1532" s="125" t="s">
        <v>475</v>
      </c>
      <c r="B1532" s="125" t="s">
        <v>566</v>
      </c>
      <c r="C1532" s="125" t="s">
        <v>453</v>
      </c>
      <c r="D1532" s="125" t="s">
        <v>457</v>
      </c>
      <c r="E1532" s="125" t="s">
        <v>464</v>
      </c>
      <c r="F1532" s="126">
        <v>40434.0</v>
      </c>
      <c r="G1532" s="127">
        <v>4.18E8</v>
      </c>
      <c r="H1532" s="126">
        <v>40481.0</v>
      </c>
      <c r="I1532" s="128">
        <v>5659.0</v>
      </c>
      <c r="J1532" s="128">
        <v>255.28</v>
      </c>
      <c r="K1532" s="128">
        <v>159.42</v>
      </c>
      <c r="L1532" s="128">
        <v>1444630.0</v>
      </c>
      <c r="M1532" s="128">
        <v>902157.8</v>
      </c>
      <c r="N1532" s="128">
        <v>542471.7</v>
      </c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</row>
    <row r="1533">
      <c r="A1533" s="125" t="s">
        <v>466</v>
      </c>
      <c r="B1533" s="125" t="s">
        <v>477</v>
      </c>
      <c r="C1533" s="125" t="s">
        <v>480</v>
      </c>
      <c r="D1533" s="125" t="s">
        <v>457</v>
      </c>
      <c r="E1533" s="125" t="s">
        <v>464</v>
      </c>
      <c r="F1533" s="126">
        <v>42016.0</v>
      </c>
      <c r="G1533" s="127">
        <v>4.72E8</v>
      </c>
      <c r="H1533" s="126">
        <v>42063.0</v>
      </c>
      <c r="I1533" s="128">
        <v>5647.0</v>
      </c>
      <c r="J1533" s="128">
        <v>437.2</v>
      </c>
      <c r="K1533" s="128">
        <v>263.33</v>
      </c>
      <c r="L1533" s="128">
        <v>2468868.0</v>
      </c>
      <c r="M1533" s="128">
        <v>1487025.0</v>
      </c>
      <c r="N1533" s="128">
        <v>981843.9</v>
      </c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</row>
    <row r="1534">
      <c r="A1534" s="125" t="s">
        <v>475</v>
      </c>
      <c r="B1534" s="125" t="s">
        <v>513</v>
      </c>
      <c r="C1534" s="125" t="s">
        <v>453</v>
      </c>
      <c r="D1534" s="125" t="s">
        <v>454</v>
      </c>
      <c r="E1534" s="125" t="s">
        <v>472</v>
      </c>
      <c r="F1534" s="126">
        <v>40834.0</v>
      </c>
      <c r="G1534" s="127">
        <v>3.13E8</v>
      </c>
      <c r="H1534" s="126">
        <v>40850.0</v>
      </c>
      <c r="I1534" s="128">
        <v>2217.0</v>
      </c>
      <c r="J1534" s="128">
        <v>255.28</v>
      </c>
      <c r="K1534" s="128">
        <v>159.42</v>
      </c>
      <c r="L1534" s="128">
        <v>565955.8</v>
      </c>
      <c r="M1534" s="128">
        <v>353434.1</v>
      </c>
      <c r="N1534" s="128">
        <v>212521.6</v>
      </c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</row>
    <row r="1535">
      <c r="A1535" s="125" t="s">
        <v>475</v>
      </c>
      <c r="B1535" s="125" t="s">
        <v>600</v>
      </c>
      <c r="C1535" s="125" t="s">
        <v>456</v>
      </c>
      <c r="D1535" s="125" t="s">
        <v>457</v>
      </c>
      <c r="E1535" s="125" t="s">
        <v>189</v>
      </c>
      <c r="F1535" s="126">
        <v>42221.0</v>
      </c>
      <c r="G1535" s="127">
        <v>5.85E8</v>
      </c>
      <c r="H1535" s="126">
        <v>42246.0</v>
      </c>
      <c r="I1535" s="128">
        <v>9749.0</v>
      </c>
      <c r="J1535" s="128">
        <v>152.58</v>
      </c>
      <c r="K1535" s="128">
        <v>97.44</v>
      </c>
      <c r="L1535" s="128">
        <v>1487502.0</v>
      </c>
      <c r="M1535" s="128">
        <v>949942.6</v>
      </c>
      <c r="N1535" s="128">
        <v>537559.9</v>
      </c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</row>
    <row r="1536">
      <c r="A1536" s="125" t="s">
        <v>466</v>
      </c>
      <c r="B1536" s="125" t="s">
        <v>598</v>
      </c>
      <c r="C1536" s="125" t="s">
        <v>456</v>
      </c>
      <c r="D1536" s="125" t="s">
        <v>454</v>
      </c>
      <c r="E1536" s="125" t="s">
        <v>284</v>
      </c>
      <c r="F1536" s="126">
        <v>40836.0</v>
      </c>
      <c r="G1536" s="127">
        <v>6.53E8</v>
      </c>
      <c r="H1536" s="126">
        <v>40838.0</v>
      </c>
      <c r="I1536" s="128">
        <v>4656.0</v>
      </c>
      <c r="J1536" s="128">
        <v>152.58</v>
      </c>
      <c r="K1536" s="128">
        <v>97.44</v>
      </c>
      <c r="L1536" s="128">
        <v>710412.5</v>
      </c>
      <c r="M1536" s="128">
        <v>453680.6</v>
      </c>
      <c r="N1536" s="128">
        <v>256731.8</v>
      </c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</row>
    <row r="1537">
      <c r="A1537" s="125" t="s">
        <v>475</v>
      </c>
      <c r="B1537" s="125" t="s">
        <v>562</v>
      </c>
      <c r="C1537" s="125" t="s">
        <v>463</v>
      </c>
      <c r="D1537" s="125" t="s">
        <v>454</v>
      </c>
      <c r="E1537" s="125" t="s">
        <v>284</v>
      </c>
      <c r="F1537" s="126">
        <v>41406.0</v>
      </c>
      <c r="G1537" s="127">
        <v>8.51E8</v>
      </c>
      <c r="H1537" s="126">
        <v>41425.0</v>
      </c>
      <c r="I1537" s="128">
        <v>379.0</v>
      </c>
      <c r="J1537" s="128">
        <v>205.7</v>
      </c>
      <c r="K1537" s="128">
        <v>117.11</v>
      </c>
      <c r="L1537" s="128">
        <v>77960.3</v>
      </c>
      <c r="M1537" s="128">
        <v>44384.69</v>
      </c>
      <c r="N1537" s="128">
        <v>33575.61</v>
      </c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</row>
    <row r="1538">
      <c r="A1538" s="125" t="s">
        <v>475</v>
      </c>
      <c r="B1538" s="125" t="s">
        <v>579</v>
      </c>
      <c r="C1538" s="125" t="s">
        <v>514</v>
      </c>
      <c r="D1538" s="125" t="s">
        <v>457</v>
      </c>
      <c r="E1538" s="125" t="s">
        <v>284</v>
      </c>
      <c r="F1538" s="126">
        <v>40751.0</v>
      </c>
      <c r="G1538" s="127">
        <v>2.34E8</v>
      </c>
      <c r="H1538" s="126">
        <v>40757.0</v>
      </c>
      <c r="I1538" s="128">
        <v>2391.0</v>
      </c>
      <c r="J1538" s="128">
        <v>668.27</v>
      </c>
      <c r="K1538" s="128">
        <v>502.54</v>
      </c>
      <c r="L1538" s="128">
        <v>1597834.0</v>
      </c>
      <c r="M1538" s="128">
        <v>1201573.0</v>
      </c>
      <c r="N1538" s="128">
        <v>396260.4</v>
      </c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</row>
    <row r="1539">
      <c r="A1539" s="125" t="s">
        <v>458</v>
      </c>
      <c r="B1539" s="125" t="s">
        <v>652</v>
      </c>
      <c r="C1539" s="125" t="s">
        <v>485</v>
      </c>
      <c r="D1539" s="125" t="s">
        <v>457</v>
      </c>
      <c r="E1539" s="125" t="s">
        <v>189</v>
      </c>
      <c r="F1539" s="126">
        <v>40228.0</v>
      </c>
      <c r="G1539" s="127">
        <v>6.27E8</v>
      </c>
      <c r="H1539" s="126">
        <v>40263.0</v>
      </c>
      <c r="I1539" s="128">
        <v>3199.0</v>
      </c>
      <c r="J1539" s="128">
        <v>421.89</v>
      </c>
      <c r="K1539" s="128">
        <v>364.69</v>
      </c>
      <c r="L1539" s="128">
        <v>1349626.0</v>
      </c>
      <c r="M1539" s="128">
        <v>1166643.0</v>
      </c>
      <c r="N1539" s="128">
        <v>182982.8</v>
      </c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</row>
    <row r="1540">
      <c r="A1540" s="125" t="s">
        <v>466</v>
      </c>
      <c r="B1540" s="125" t="s">
        <v>658</v>
      </c>
      <c r="C1540" s="125" t="s">
        <v>506</v>
      </c>
      <c r="D1540" s="125" t="s">
        <v>457</v>
      </c>
      <c r="E1540" s="125" t="s">
        <v>284</v>
      </c>
      <c r="F1540" s="126">
        <v>41584.0</v>
      </c>
      <c r="G1540" s="127">
        <v>7.75E8</v>
      </c>
      <c r="H1540" s="126">
        <v>41625.0</v>
      </c>
      <c r="I1540" s="128">
        <v>7337.0</v>
      </c>
      <c r="J1540" s="128">
        <v>154.06</v>
      </c>
      <c r="K1540" s="128">
        <v>90.93</v>
      </c>
      <c r="L1540" s="128">
        <v>1130338.0</v>
      </c>
      <c r="M1540" s="128">
        <v>667153.4</v>
      </c>
      <c r="N1540" s="128">
        <v>463184.8</v>
      </c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</row>
    <row r="1541">
      <c r="A1541" s="125" t="s">
        <v>458</v>
      </c>
      <c r="B1541" s="125" t="s">
        <v>603</v>
      </c>
      <c r="C1541" s="125" t="s">
        <v>494</v>
      </c>
      <c r="D1541" s="125" t="s">
        <v>457</v>
      </c>
      <c r="E1541" s="125" t="s">
        <v>284</v>
      </c>
      <c r="F1541" s="126">
        <v>42806.0</v>
      </c>
      <c r="G1541" s="127">
        <v>3.94E8</v>
      </c>
      <c r="H1541" s="126">
        <v>42850.0</v>
      </c>
      <c r="I1541" s="128">
        <v>6373.0</v>
      </c>
      <c r="J1541" s="128">
        <v>9.33</v>
      </c>
      <c r="K1541" s="128">
        <v>6.92</v>
      </c>
      <c r="L1541" s="128">
        <v>59460.09</v>
      </c>
      <c r="M1541" s="128">
        <v>44101.16</v>
      </c>
      <c r="N1541" s="128">
        <v>15358.93</v>
      </c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</row>
    <row r="1542">
      <c r="A1542" s="125" t="s">
        <v>475</v>
      </c>
      <c r="B1542" s="125" t="s">
        <v>536</v>
      </c>
      <c r="C1542" s="125" t="s">
        <v>514</v>
      </c>
      <c r="D1542" s="125" t="s">
        <v>454</v>
      </c>
      <c r="E1542" s="125" t="s">
        <v>284</v>
      </c>
      <c r="F1542" s="126">
        <v>42267.0</v>
      </c>
      <c r="G1542" s="127">
        <v>6.19E8</v>
      </c>
      <c r="H1542" s="126">
        <v>42298.0</v>
      </c>
      <c r="I1542" s="128">
        <v>3906.0</v>
      </c>
      <c r="J1542" s="128">
        <v>668.27</v>
      </c>
      <c r="K1542" s="128">
        <v>502.54</v>
      </c>
      <c r="L1542" s="128">
        <v>2610263.0</v>
      </c>
      <c r="M1542" s="128">
        <v>1962921.0</v>
      </c>
      <c r="N1542" s="128">
        <v>647341.4</v>
      </c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</row>
    <row r="1543">
      <c r="A1543" s="125" t="s">
        <v>461</v>
      </c>
      <c r="B1543" s="125" t="s">
        <v>511</v>
      </c>
      <c r="C1543" s="125" t="s">
        <v>478</v>
      </c>
      <c r="D1543" s="125" t="s">
        <v>454</v>
      </c>
      <c r="E1543" s="125" t="s">
        <v>189</v>
      </c>
      <c r="F1543" s="126">
        <v>42882.0</v>
      </c>
      <c r="G1543" s="127">
        <v>8.58E8</v>
      </c>
      <c r="H1543" s="126">
        <v>42909.0</v>
      </c>
      <c r="I1543" s="128">
        <v>566.0</v>
      </c>
      <c r="J1543" s="128">
        <v>651.21</v>
      </c>
      <c r="K1543" s="128">
        <v>524.96</v>
      </c>
      <c r="L1543" s="128">
        <v>368584.9</v>
      </c>
      <c r="M1543" s="128">
        <v>297127.4</v>
      </c>
      <c r="N1543" s="128">
        <v>71457.5</v>
      </c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</row>
    <row r="1544">
      <c r="A1544" s="125" t="s">
        <v>458</v>
      </c>
      <c r="B1544" s="125" t="s">
        <v>540</v>
      </c>
      <c r="C1544" s="125" t="s">
        <v>460</v>
      </c>
      <c r="D1544" s="125" t="s">
        <v>457</v>
      </c>
      <c r="E1544" s="125" t="s">
        <v>464</v>
      </c>
      <c r="F1544" s="126">
        <v>42420.0</v>
      </c>
      <c r="G1544" s="127">
        <v>1.37E8</v>
      </c>
      <c r="H1544" s="126">
        <v>42437.0</v>
      </c>
      <c r="I1544" s="128">
        <v>9014.0</v>
      </c>
      <c r="J1544" s="128">
        <v>47.45</v>
      </c>
      <c r="K1544" s="128">
        <v>31.79</v>
      </c>
      <c r="L1544" s="128">
        <v>427714.3</v>
      </c>
      <c r="M1544" s="128">
        <v>286555.1</v>
      </c>
      <c r="N1544" s="128">
        <v>141159.2</v>
      </c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</row>
    <row r="1545">
      <c r="A1545" s="125" t="s">
        <v>458</v>
      </c>
      <c r="B1545" s="125" t="s">
        <v>553</v>
      </c>
      <c r="C1545" s="125" t="s">
        <v>471</v>
      </c>
      <c r="D1545" s="125" t="s">
        <v>454</v>
      </c>
      <c r="E1545" s="125" t="s">
        <v>464</v>
      </c>
      <c r="F1545" s="126">
        <v>40424.0</v>
      </c>
      <c r="G1545" s="127">
        <v>2.52E8</v>
      </c>
      <c r="H1545" s="126">
        <v>40452.0</v>
      </c>
      <c r="I1545" s="128">
        <v>8942.0</v>
      </c>
      <c r="J1545" s="128">
        <v>109.28</v>
      </c>
      <c r="K1545" s="128">
        <v>35.84</v>
      </c>
      <c r="L1545" s="128">
        <v>977181.8</v>
      </c>
      <c r="M1545" s="128">
        <v>320481.3</v>
      </c>
      <c r="N1545" s="128">
        <v>656700.5</v>
      </c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</row>
    <row r="1546">
      <c r="A1546" s="125" t="s">
        <v>461</v>
      </c>
      <c r="B1546" s="125" t="s">
        <v>599</v>
      </c>
      <c r="C1546" s="125" t="s">
        <v>494</v>
      </c>
      <c r="D1546" s="125" t="s">
        <v>454</v>
      </c>
      <c r="E1546" s="125" t="s">
        <v>472</v>
      </c>
      <c r="F1546" s="126">
        <v>42358.0</v>
      </c>
      <c r="G1546" s="127">
        <v>8.21E8</v>
      </c>
      <c r="H1546" s="126">
        <v>42408.0</v>
      </c>
      <c r="I1546" s="128">
        <v>2074.0</v>
      </c>
      <c r="J1546" s="128">
        <v>9.33</v>
      </c>
      <c r="K1546" s="128">
        <v>6.92</v>
      </c>
      <c r="L1546" s="128">
        <v>19350.42</v>
      </c>
      <c r="M1546" s="128">
        <v>14352.08</v>
      </c>
      <c r="N1546" s="128">
        <v>4998.34</v>
      </c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</row>
    <row r="1547">
      <c r="A1547" s="125" t="s">
        <v>475</v>
      </c>
      <c r="B1547" s="125" t="s">
        <v>552</v>
      </c>
      <c r="C1547" s="125" t="s">
        <v>456</v>
      </c>
      <c r="D1547" s="125" t="s">
        <v>454</v>
      </c>
      <c r="E1547" s="125" t="s">
        <v>189</v>
      </c>
      <c r="F1547" s="126">
        <v>41625.0</v>
      </c>
      <c r="G1547" s="127">
        <v>6.32E8</v>
      </c>
      <c r="H1547" s="126">
        <v>41631.0</v>
      </c>
      <c r="I1547" s="128">
        <v>7165.0</v>
      </c>
      <c r="J1547" s="128">
        <v>152.58</v>
      </c>
      <c r="K1547" s="128">
        <v>97.44</v>
      </c>
      <c r="L1547" s="128">
        <v>1093236.0</v>
      </c>
      <c r="M1547" s="128">
        <v>698157.6</v>
      </c>
      <c r="N1547" s="128">
        <v>395078.1</v>
      </c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</row>
    <row r="1548">
      <c r="A1548" s="125" t="s">
        <v>461</v>
      </c>
      <c r="B1548" s="125" t="s">
        <v>599</v>
      </c>
      <c r="C1548" s="125" t="s">
        <v>514</v>
      </c>
      <c r="D1548" s="125" t="s">
        <v>454</v>
      </c>
      <c r="E1548" s="125" t="s">
        <v>284</v>
      </c>
      <c r="F1548" s="126">
        <v>40318.0</v>
      </c>
      <c r="G1548" s="127">
        <v>7.91E8</v>
      </c>
      <c r="H1548" s="126">
        <v>40359.0</v>
      </c>
      <c r="I1548" s="128">
        <v>5001.0</v>
      </c>
      <c r="J1548" s="128">
        <v>668.27</v>
      </c>
      <c r="K1548" s="128">
        <v>502.54</v>
      </c>
      <c r="L1548" s="128">
        <v>3342018.0</v>
      </c>
      <c r="M1548" s="128">
        <v>2513203.0</v>
      </c>
      <c r="N1548" s="128">
        <v>828815.7</v>
      </c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</row>
    <row r="1549">
      <c r="A1549" s="125" t="s">
        <v>451</v>
      </c>
      <c r="B1549" s="125" t="s">
        <v>483</v>
      </c>
      <c r="C1549" s="125" t="s">
        <v>460</v>
      </c>
      <c r="D1549" s="125" t="s">
        <v>454</v>
      </c>
      <c r="E1549" s="125" t="s">
        <v>189</v>
      </c>
      <c r="F1549" s="126">
        <v>42301.0</v>
      </c>
      <c r="G1549" s="127">
        <v>6.79E8</v>
      </c>
      <c r="H1549" s="126">
        <v>42332.0</v>
      </c>
      <c r="I1549" s="128">
        <v>3399.0</v>
      </c>
      <c r="J1549" s="128">
        <v>47.45</v>
      </c>
      <c r="K1549" s="128">
        <v>31.79</v>
      </c>
      <c r="L1549" s="128">
        <v>161282.6</v>
      </c>
      <c r="M1549" s="128">
        <v>108054.2</v>
      </c>
      <c r="N1549" s="128">
        <v>53228.34</v>
      </c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</row>
    <row r="1550">
      <c r="A1550" s="125" t="s">
        <v>469</v>
      </c>
      <c r="B1550" s="125" t="s">
        <v>650</v>
      </c>
      <c r="C1550" s="125" t="s">
        <v>514</v>
      </c>
      <c r="D1550" s="125" t="s">
        <v>454</v>
      </c>
      <c r="E1550" s="125" t="s">
        <v>284</v>
      </c>
      <c r="F1550" s="126">
        <v>40763.0</v>
      </c>
      <c r="G1550" s="127">
        <v>1.92E8</v>
      </c>
      <c r="H1550" s="126">
        <v>40781.0</v>
      </c>
      <c r="I1550" s="128">
        <v>2208.0</v>
      </c>
      <c r="J1550" s="128">
        <v>668.27</v>
      </c>
      <c r="K1550" s="128">
        <v>502.54</v>
      </c>
      <c r="L1550" s="128">
        <v>1475540.0</v>
      </c>
      <c r="M1550" s="128">
        <v>1109608.0</v>
      </c>
      <c r="N1550" s="128">
        <v>365931.8</v>
      </c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</row>
    <row r="1551">
      <c r="A1551" s="125" t="s">
        <v>458</v>
      </c>
      <c r="B1551" s="125" t="s">
        <v>613</v>
      </c>
      <c r="C1551" s="125" t="s">
        <v>453</v>
      </c>
      <c r="D1551" s="125" t="s">
        <v>457</v>
      </c>
      <c r="E1551" s="125" t="s">
        <v>472</v>
      </c>
      <c r="F1551" s="126">
        <v>41730.0</v>
      </c>
      <c r="G1551" s="127">
        <v>2.0E8</v>
      </c>
      <c r="H1551" s="126">
        <v>41763.0</v>
      </c>
      <c r="I1551" s="128">
        <v>8307.0</v>
      </c>
      <c r="J1551" s="128">
        <v>255.28</v>
      </c>
      <c r="K1551" s="128">
        <v>159.42</v>
      </c>
      <c r="L1551" s="128">
        <v>2120611.0</v>
      </c>
      <c r="M1551" s="128">
        <v>1324302.0</v>
      </c>
      <c r="N1551" s="128">
        <v>796309.0</v>
      </c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</row>
    <row r="1552">
      <c r="A1552" s="125" t="s">
        <v>488</v>
      </c>
      <c r="B1552" s="125" t="s">
        <v>577</v>
      </c>
      <c r="C1552" s="125" t="s">
        <v>471</v>
      </c>
      <c r="D1552" s="125" t="s">
        <v>457</v>
      </c>
      <c r="E1552" s="125" t="s">
        <v>472</v>
      </c>
      <c r="F1552" s="126">
        <v>40550.0</v>
      </c>
      <c r="G1552" s="127">
        <v>2.92E8</v>
      </c>
      <c r="H1552" s="126">
        <v>40569.0</v>
      </c>
      <c r="I1552" s="128">
        <v>609.0</v>
      </c>
      <c r="J1552" s="128">
        <v>109.28</v>
      </c>
      <c r="K1552" s="128">
        <v>35.84</v>
      </c>
      <c r="L1552" s="128">
        <v>66551.52</v>
      </c>
      <c r="M1552" s="128">
        <v>21826.56</v>
      </c>
      <c r="N1552" s="128">
        <v>44724.96</v>
      </c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</row>
    <row r="1553">
      <c r="A1553" s="125" t="s">
        <v>461</v>
      </c>
      <c r="B1553" s="125" t="s">
        <v>621</v>
      </c>
      <c r="C1553" s="125" t="s">
        <v>460</v>
      </c>
      <c r="D1553" s="125" t="s">
        <v>457</v>
      </c>
      <c r="E1553" s="125" t="s">
        <v>284</v>
      </c>
      <c r="F1553" s="126">
        <v>42644.0</v>
      </c>
      <c r="G1553" s="127">
        <v>1.28E8</v>
      </c>
      <c r="H1553" s="126">
        <v>42652.0</v>
      </c>
      <c r="I1553" s="128">
        <v>5055.0</v>
      </c>
      <c r="J1553" s="128">
        <v>47.45</v>
      </c>
      <c r="K1553" s="128">
        <v>31.79</v>
      </c>
      <c r="L1553" s="128">
        <v>239859.8</v>
      </c>
      <c r="M1553" s="128">
        <v>160698.5</v>
      </c>
      <c r="N1553" s="128">
        <v>79161.3</v>
      </c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</row>
    <row r="1554">
      <c r="A1554" s="125" t="s">
        <v>469</v>
      </c>
      <c r="B1554" s="125" t="s">
        <v>503</v>
      </c>
      <c r="C1554" s="125" t="s">
        <v>463</v>
      </c>
      <c r="D1554" s="125" t="s">
        <v>454</v>
      </c>
      <c r="E1554" s="125" t="s">
        <v>464</v>
      </c>
      <c r="F1554" s="126">
        <v>42757.0</v>
      </c>
      <c r="G1554" s="127">
        <v>7.86E8</v>
      </c>
      <c r="H1554" s="126">
        <v>42803.0</v>
      </c>
      <c r="I1554" s="128">
        <v>9619.0</v>
      </c>
      <c r="J1554" s="128">
        <v>205.7</v>
      </c>
      <c r="K1554" s="128">
        <v>117.11</v>
      </c>
      <c r="L1554" s="128">
        <v>1978628.0</v>
      </c>
      <c r="M1554" s="128">
        <v>1126481.0</v>
      </c>
      <c r="N1554" s="128">
        <v>852147.2</v>
      </c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</row>
    <row r="1555">
      <c r="A1555" s="125" t="s">
        <v>469</v>
      </c>
      <c r="B1555" s="125" t="s">
        <v>495</v>
      </c>
      <c r="C1555" s="125" t="s">
        <v>480</v>
      </c>
      <c r="D1555" s="125" t="s">
        <v>454</v>
      </c>
      <c r="E1555" s="125" t="s">
        <v>284</v>
      </c>
      <c r="F1555" s="126">
        <v>42937.0</v>
      </c>
      <c r="G1555" s="127">
        <v>7.18E8</v>
      </c>
      <c r="H1555" s="126">
        <v>42951.0</v>
      </c>
      <c r="I1555" s="128">
        <v>9305.0</v>
      </c>
      <c r="J1555" s="128">
        <v>437.2</v>
      </c>
      <c r="K1555" s="128">
        <v>263.33</v>
      </c>
      <c r="L1555" s="128">
        <v>4068146.0</v>
      </c>
      <c r="M1555" s="128">
        <v>2450286.0</v>
      </c>
      <c r="N1555" s="128">
        <v>1617860.0</v>
      </c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</row>
    <row r="1556">
      <c r="A1556" s="125" t="s">
        <v>458</v>
      </c>
      <c r="B1556" s="125" t="s">
        <v>622</v>
      </c>
      <c r="C1556" s="125" t="s">
        <v>485</v>
      </c>
      <c r="D1556" s="125" t="s">
        <v>457</v>
      </c>
      <c r="E1556" s="125" t="s">
        <v>472</v>
      </c>
      <c r="F1556" s="126">
        <v>42857.0</v>
      </c>
      <c r="G1556" s="127">
        <v>6.93E8</v>
      </c>
      <c r="H1556" s="126">
        <v>42867.0</v>
      </c>
      <c r="I1556" s="128">
        <v>1151.0</v>
      </c>
      <c r="J1556" s="128">
        <v>421.89</v>
      </c>
      <c r="K1556" s="128">
        <v>364.69</v>
      </c>
      <c r="L1556" s="128">
        <v>485595.4</v>
      </c>
      <c r="M1556" s="128">
        <v>419758.2</v>
      </c>
      <c r="N1556" s="128">
        <v>65837.2</v>
      </c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</row>
    <row r="1557">
      <c r="A1557" s="125" t="s">
        <v>458</v>
      </c>
      <c r="B1557" s="125" t="s">
        <v>551</v>
      </c>
      <c r="C1557" s="125" t="s">
        <v>453</v>
      </c>
      <c r="D1557" s="125" t="s">
        <v>457</v>
      </c>
      <c r="E1557" s="125" t="s">
        <v>464</v>
      </c>
      <c r="F1557" s="126">
        <v>41194.0</v>
      </c>
      <c r="G1557" s="127">
        <v>6.52E8</v>
      </c>
      <c r="H1557" s="126">
        <v>41214.0</v>
      </c>
      <c r="I1557" s="128">
        <v>9223.0</v>
      </c>
      <c r="J1557" s="128">
        <v>255.28</v>
      </c>
      <c r="K1557" s="128">
        <v>159.42</v>
      </c>
      <c r="L1557" s="128">
        <v>2354447.0</v>
      </c>
      <c r="M1557" s="128">
        <v>1470331.0</v>
      </c>
      <c r="N1557" s="128">
        <v>884116.8</v>
      </c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</row>
    <row r="1558">
      <c r="A1558" s="125" t="s">
        <v>458</v>
      </c>
      <c r="B1558" s="125" t="s">
        <v>590</v>
      </c>
      <c r="C1558" s="125" t="s">
        <v>471</v>
      </c>
      <c r="D1558" s="125" t="s">
        <v>457</v>
      </c>
      <c r="E1558" s="125" t="s">
        <v>284</v>
      </c>
      <c r="F1558" s="126">
        <v>42547.0</v>
      </c>
      <c r="G1558" s="127">
        <v>1.56E8</v>
      </c>
      <c r="H1558" s="126">
        <v>42587.0</v>
      </c>
      <c r="I1558" s="128">
        <v>9620.0</v>
      </c>
      <c r="J1558" s="128">
        <v>109.28</v>
      </c>
      <c r="K1558" s="128">
        <v>35.84</v>
      </c>
      <c r="L1558" s="128">
        <v>1051274.0</v>
      </c>
      <c r="M1558" s="128">
        <v>344780.8</v>
      </c>
      <c r="N1558" s="128">
        <v>706492.8</v>
      </c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</row>
    <row r="1559">
      <c r="A1559" s="125" t="s">
        <v>461</v>
      </c>
      <c r="B1559" s="125" t="s">
        <v>595</v>
      </c>
      <c r="C1559" s="125" t="s">
        <v>478</v>
      </c>
      <c r="D1559" s="125" t="s">
        <v>457</v>
      </c>
      <c r="E1559" s="125" t="s">
        <v>464</v>
      </c>
      <c r="F1559" s="126">
        <v>42222.0</v>
      </c>
      <c r="G1559" s="127">
        <v>6.37E8</v>
      </c>
      <c r="H1559" s="126">
        <v>42229.0</v>
      </c>
      <c r="I1559" s="128">
        <v>5472.0</v>
      </c>
      <c r="J1559" s="128">
        <v>651.21</v>
      </c>
      <c r="K1559" s="128">
        <v>524.96</v>
      </c>
      <c r="L1559" s="128">
        <v>3563421.0</v>
      </c>
      <c r="M1559" s="128">
        <v>2872581.0</v>
      </c>
      <c r="N1559" s="128">
        <v>690840.0</v>
      </c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</row>
    <row r="1560">
      <c r="A1560" s="125" t="s">
        <v>475</v>
      </c>
      <c r="B1560" s="125" t="s">
        <v>648</v>
      </c>
      <c r="C1560" s="125" t="s">
        <v>480</v>
      </c>
      <c r="D1560" s="125" t="s">
        <v>457</v>
      </c>
      <c r="E1560" s="125" t="s">
        <v>472</v>
      </c>
      <c r="F1560" s="126">
        <v>41448.0</v>
      </c>
      <c r="G1560" s="127">
        <v>4.46E8</v>
      </c>
      <c r="H1560" s="126">
        <v>41470.0</v>
      </c>
      <c r="I1560" s="128">
        <v>1940.0</v>
      </c>
      <c r="J1560" s="128">
        <v>437.2</v>
      </c>
      <c r="K1560" s="128">
        <v>263.33</v>
      </c>
      <c r="L1560" s="128">
        <v>848168.0</v>
      </c>
      <c r="M1560" s="128">
        <v>510860.2</v>
      </c>
      <c r="N1560" s="128">
        <v>337307.8</v>
      </c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</row>
    <row r="1561">
      <c r="A1561" s="125" t="s">
        <v>475</v>
      </c>
      <c r="B1561" s="125" t="s">
        <v>526</v>
      </c>
      <c r="C1561" s="125" t="s">
        <v>506</v>
      </c>
      <c r="D1561" s="125" t="s">
        <v>457</v>
      </c>
      <c r="E1561" s="125" t="s">
        <v>472</v>
      </c>
      <c r="F1561" s="126">
        <v>40458.0</v>
      </c>
      <c r="G1561" s="127">
        <v>7.04E8</v>
      </c>
      <c r="H1561" s="126">
        <v>40480.0</v>
      </c>
      <c r="I1561" s="128">
        <v>1216.0</v>
      </c>
      <c r="J1561" s="128">
        <v>154.06</v>
      </c>
      <c r="K1561" s="128">
        <v>90.93</v>
      </c>
      <c r="L1561" s="128">
        <v>187337.0</v>
      </c>
      <c r="M1561" s="128">
        <v>110570.9</v>
      </c>
      <c r="N1561" s="128">
        <v>76766.08</v>
      </c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</row>
    <row r="1562">
      <c r="A1562" s="125" t="s">
        <v>475</v>
      </c>
      <c r="B1562" s="125" t="s">
        <v>575</v>
      </c>
      <c r="C1562" s="125" t="s">
        <v>460</v>
      </c>
      <c r="D1562" s="125" t="s">
        <v>454</v>
      </c>
      <c r="E1562" s="125" t="s">
        <v>464</v>
      </c>
      <c r="F1562" s="126">
        <v>42640.0</v>
      </c>
      <c r="G1562" s="127">
        <v>3.55E8</v>
      </c>
      <c r="H1562" s="126">
        <v>42648.0</v>
      </c>
      <c r="I1562" s="128">
        <v>7524.0</v>
      </c>
      <c r="J1562" s="128">
        <v>47.45</v>
      </c>
      <c r="K1562" s="128">
        <v>31.79</v>
      </c>
      <c r="L1562" s="128">
        <v>357013.8</v>
      </c>
      <c r="M1562" s="128">
        <v>239188.0</v>
      </c>
      <c r="N1562" s="128">
        <v>117825.8</v>
      </c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</row>
    <row r="1563">
      <c r="A1563" s="125" t="s">
        <v>469</v>
      </c>
      <c r="B1563" s="125" t="s">
        <v>634</v>
      </c>
      <c r="C1563" s="125" t="s">
        <v>463</v>
      </c>
      <c r="D1563" s="125" t="s">
        <v>454</v>
      </c>
      <c r="E1563" s="125" t="s">
        <v>189</v>
      </c>
      <c r="F1563" s="126">
        <v>42092.0</v>
      </c>
      <c r="G1563" s="127">
        <v>2.11E8</v>
      </c>
      <c r="H1563" s="126">
        <v>42113.0</v>
      </c>
      <c r="I1563" s="128">
        <v>2119.0</v>
      </c>
      <c r="J1563" s="128">
        <v>205.7</v>
      </c>
      <c r="K1563" s="128">
        <v>117.11</v>
      </c>
      <c r="L1563" s="128">
        <v>435878.3</v>
      </c>
      <c r="M1563" s="128">
        <v>248156.1</v>
      </c>
      <c r="N1563" s="128">
        <v>187722.2</v>
      </c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</row>
    <row r="1564">
      <c r="A1564" s="125" t="s">
        <v>458</v>
      </c>
      <c r="B1564" s="125" t="s">
        <v>541</v>
      </c>
      <c r="C1564" s="125" t="s">
        <v>456</v>
      </c>
      <c r="D1564" s="125" t="s">
        <v>457</v>
      </c>
      <c r="E1564" s="125" t="s">
        <v>284</v>
      </c>
      <c r="F1564" s="126">
        <v>41596.0</v>
      </c>
      <c r="G1564" s="127">
        <v>7.04E8</v>
      </c>
      <c r="H1564" s="126">
        <v>41608.0</v>
      </c>
      <c r="I1564" s="128">
        <v>8288.0</v>
      </c>
      <c r="J1564" s="128">
        <v>152.58</v>
      </c>
      <c r="K1564" s="128">
        <v>97.44</v>
      </c>
      <c r="L1564" s="128">
        <v>1264583.0</v>
      </c>
      <c r="M1564" s="128">
        <v>807582.7</v>
      </c>
      <c r="N1564" s="128">
        <v>457000.3</v>
      </c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</row>
    <row r="1565">
      <c r="A1565" s="125" t="s">
        <v>475</v>
      </c>
      <c r="B1565" s="125" t="s">
        <v>548</v>
      </c>
      <c r="C1565" s="125" t="s">
        <v>480</v>
      </c>
      <c r="D1565" s="125" t="s">
        <v>454</v>
      </c>
      <c r="E1565" s="125" t="s">
        <v>284</v>
      </c>
      <c r="F1565" s="126">
        <v>42942.0</v>
      </c>
      <c r="G1565" s="127">
        <v>5.38E8</v>
      </c>
      <c r="H1565" s="126">
        <v>42965.0</v>
      </c>
      <c r="I1565" s="128">
        <v>6346.0</v>
      </c>
      <c r="J1565" s="128">
        <v>437.2</v>
      </c>
      <c r="K1565" s="128">
        <v>263.33</v>
      </c>
      <c r="L1565" s="128">
        <v>2774471.0</v>
      </c>
      <c r="M1565" s="128">
        <v>1671092.0</v>
      </c>
      <c r="N1565" s="128">
        <v>1103379.0</v>
      </c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</row>
    <row r="1566">
      <c r="A1566" s="125" t="s">
        <v>458</v>
      </c>
      <c r="B1566" s="125" t="s">
        <v>554</v>
      </c>
      <c r="C1566" s="125" t="s">
        <v>514</v>
      </c>
      <c r="D1566" s="125" t="s">
        <v>457</v>
      </c>
      <c r="E1566" s="125" t="s">
        <v>464</v>
      </c>
      <c r="F1566" s="126">
        <v>42777.0</v>
      </c>
      <c r="G1566" s="127">
        <v>7.36E8</v>
      </c>
      <c r="H1566" s="126">
        <v>42786.0</v>
      </c>
      <c r="I1566" s="128">
        <v>8644.0</v>
      </c>
      <c r="J1566" s="128">
        <v>668.27</v>
      </c>
      <c r="K1566" s="128">
        <v>502.54</v>
      </c>
      <c r="L1566" s="128">
        <v>5776526.0</v>
      </c>
      <c r="M1566" s="128">
        <v>4343956.0</v>
      </c>
      <c r="N1566" s="128">
        <v>1432570.0</v>
      </c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</row>
    <row r="1567">
      <c r="A1567" s="125" t="s">
        <v>466</v>
      </c>
      <c r="B1567" s="125" t="s">
        <v>535</v>
      </c>
      <c r="C1567" s="125" t="s">
        <v>478</v>
      </c>
      <c r="D1567" s="125" t="s">
        <v>454</v>
      </c>
      <c r="E1567" s="125" t="s">
        <v>472</v>
      </c>
      <c r="F1567" s="126">
        <v>42286.0</v>
      </c>
      <c r="G1567" s="127">
        <v>5.93E8</v>
      </c>
      <c r="H1567" s="126">
        <v>42298.0</v>
      </c>
      <c r="I1567" s="128">
        <v>4560.0</v>
      </c>
      <c r="J1567" s="128">
        <v>651.21</v>
      </c>
      <c r="K1567" s="128">
        <v>524.96</v>
      </c>
      <c r="L1567" s="128">
        <v>2969518.0</v>
      </c>
      <c r="M1567" s="128">
        <v>2393818.0</v>
      </c>
      <c r="N1567" s="128">
        <v>575700.0</v>
      </c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</row>
    <row r="1568">
      <c r="A1568" s="125" t="s">
        <v>451</v>
      </c>
      <c r="B1568" s="125" t="s">
        <v>550</v>
      </c>
      <c r="C1568" s="125" t="s">
        <v>456</v>
      </c>
      <c r="D1568" s="125" t="s">
        <v>454</v>
      </c>
      <c r="E1568" s="125" t="s">
        <v>464</v>
      </c>
      <c r="F1568" s="126">
        <v>40275.0</v>
      </c>
      <c r="G1568" s="127">
        <v>8.21E8</v>
      </c>
      <c r="H1568" s="126">
        <v>40313.0</v>
      </c>
      <c r="I1568" s="128">
        <v>5507.0</v>
      </c>
      <c r="J1568" s="128">
        <v>152.58</v>
      </c>
      <c r="K1568" s="128">
        <v>97.44</v>
      </c>
      <c r="L1568" s="128">
        <v>840258.1</v>
      </c>
      <c r="M1568" s="128">
        <v>536602.1</v>
      </c>
      <c r="N1568" s="128">
        <v>303656.0</v>
      </c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</row>
    <row r="1569">
      <c r="A1569" s="125" t="s">
        <v>475</v>
      </c>
      <c r="B1569" s="125" t="s">
        <v>648</v>
      </c>
      <c r="C1569" s="125" t="s">
        <v>514</v>
      </c>
      <c r="D1569" s="125" t="s">
        <v>457</v>
      </c>
      <c r="E1569" s="125" t="s">
        <v>464</v>
      </c>
      <c r="F1569" s="126">
        <v>42856.0</v>
      </c>
      <c r="G1569" s="127">
        <v>4.06E8</v>
      </c>
      <c r="H1569" s="126">
        <v>42887.0</v>
      </c>
      <c r="I1569" s="128">
        <v>9926.0</v>
      </c>
      <c r="J1569" s="128">
        <v>668.27</v>
      </c>
      <c r="K1569" s="128">
        <v>502.54</v>
      </c>
      <c r="L1569" s="128">
        <v>6633248.0</v>
      </c>
      <c r="M1569" s="128">
        <v>4988212.0</v>
      </c>
      <c r="N1569" s="128">
        <v>1645036.0</v>
      </c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</row>
    <row r="1570">
      <c r="A1570" s="125" t="s">
        <v>475</v>
      </c>
      <c r="B1570" s="125" t="s">
        <v>565</v>
      </c>
      <c r="C1570" s="125" t="s">
        <v>478</v>
      </c>
      <c r="D1570" s="125" t="s">
        <v>454</v>
      </c>
      <c r="E1570" s="125" t="s">
        <v>472</v>
      </c>
      <c r="F1570" s="126">
        <v>42699.0</v>
      </c>
      <c r="G1570" s="127">
        <v>6.53E8</v>
      </c>
      <c r="H1570" s="126">
        <v>42749.0</v>
      </c>
      <c r="I1570" s="128">
        <v>8291.0</v>
      </c>
      <c r="J1570" s="128">
        <v>651.21</v>
      </c>
      <c r="K1570" s="128">
        <v>524.96</v>
      </c>
      <c r="L1570" s="128">
        <v>5399182.0</v>
      </c>
      <c r="M1570" s="128">
        <v>4352443.0</v>
      </c>
      <c r="N1570" s="128">
        <v>1046739.0</v>
      </c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</row>
    <row r="1571">
      <c r="A1571" s="125" t="s">
        <v>461</v>
      </c>
      <c r="B1571" s="125" t="s">
        <v>539</v>
      </c>
      <c r="C1571" s="125" t="s">
        <v>485</v>
      </c>
      <c r="D1571" s="125" t="s">
        <v>457</v>
      </c>
      <c r="E1571" s="125" t="s">
        <v>472</v>
      </c>
      <c r="F1571" s="126">
        <v>42545.0</v>
      </c>
      <c r="G1571" s="127">
        <v>2.35E8</v>
      </c>
      <c r="H1571" s="126">
        <v>42584.0</v>
      </c>
      <c r="I1571" s="128">
        <v>8107.0</v>
      </c>
      <c r="J1571" s="128">
        <v>421.89</v>
      </c>
      <c r="K1571" s="128">
        <v>364.69</v>
      </c>
      <c r="L1571" s="128">
        <v>3420262.0</v>
      </c>
      <c r="M1571" s="128">
        <v>2956542.0</v>
      </c>
      <c r="N1571" s="128">
        <v>463720.4</v>
      </c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</row>
    <row r="1572">
      <c r="A1572" s="125" t="s">
        <v>475</v>
      </c>
      <c r="B1572" s="125" t="s">
        <v>512</v>
      </c>
      <c r="C1572" s="125" t="s">
        <v>494</v>
      </c>
      <c r="D1572" s="125" t="s">
        <v>457</v>
      </c>
      <c r="E1572" s="125" t="s">
        <v>189</v>
      </c>
      <c r="F1572" s="126">
        <v>42758.0</v>
      </c>
      <c r="G1572" s="127">
        <v>1.5E8</v>
      </c>
      <c r="H1572" s="126">
        <v>42765.0</v>
      </c>
      <c r="I1572" s="128">
        <v>8910.0</v>
      </c>
      <c r="J1572" s="128">
        <v>9.33</v>
      </c>
      <c r="K1572" s="128">
        <v>6.92</v>
      </c>
      <c r="L1572" s="128">
        <v>83130.3</v>
      </c>
      <c r="M1572" s="128">
        <v>61657.2</v>
      </c>
      <c r="N1572" s="128">
        <v>21473.1</v>
      </c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</row>
    <row r="1573">
      <c r="A1573" s="125" t="s">
        <v>466</v>
      </c>
      <c r="B1573" s="125" t="s">
        <v>612</v>
      </c>
      <c r="C1573" s="125" t="s">
        <v>480</v>
      </c>
      <c r="D1573" s="125" t="s">
        <v>457</v>
      </c>
      <c r="E1573" s="125" t="s">
        <v>189</v>
      </c>
      <c r="F1573" s="126">
        <v>42705.0</v>
      </c>
      <c r="G1573" s="127">
        <v>5.62E8</v>
      </c>
      <c r="H1573" s="126">
        <v>42708.0</v>
      </c>
      <c r="I1573" s="128">
        <v>7268.0</v>
      </c>
      <c r="J1573" s="128">
        <v>437.2</v>
      </c>
      <c r="K1573" s="128">
        <v>263.33</v>
      </c>
      <c r="L1573" s="128">
        <v>3177570.0</v>
      </c>
      <c r="M1573" s="128">
        <v>1913882.0</v>
      </c>
      <c r="N1573" s="128">
        <v>1263687.0</v>
      </c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</row>
    <row r="1574">
      <c r="A1574" s="125" t="s">
        <v>458</v>
      </c>
      <c r="B1574" s="125" t="s">
        <v>498</v>
      </c>
      <c r="C1574" s="125" t="s">
        <v>480</v>
      </c>
      <c r="D1574" s="125" t="s">
        <v>454</v>
      </c>
      <c r="E1574" s="125" t="s">
        <v>284</v>
      </c>
      <c r="F1574" s="126">
        <v>42146.0</v>
      </c>
      <c r="G1574" s="127">
        <v>3.57E8</v>
      </c>
      <c r="H1574" s="126">
        <v>42184.0</v>
      </c>
      <c r="I1574" s="128">
        <v>1779.0</v>
      </c>
      <c r="J1574" s="128">
        <v>437.2</v>
      </c>
      <c r="K1574" s="128">
        <v>263.33</v>
      </c>
      <c r="L1574" s="128">
        <v>777778.8</v>
      </c>
      <c r="M1574" s="128">
        <v>468464.1</v>
      </c>
      <c r="N1574" s="128">
        <v>309314.7</v>
      </c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</row>
    <row r="1575">
      <c r="A1575" s="125" t="s">
        <v>461</v>
      </c>
      <c r="B1575" s="125" t="s">
        <v>539</v>
      </c>
      <c r="C1575" s="125" t="s">
        <v>514</v>
      </c>
      <c r="D1575" s="125" t="s">
        <v>457</v>
      </c>
      <c r="E1575" s="125" t="s">
        <v>472</v>
      </c>
      <c r="F1575" s="126">
        <v>42611.0</v>
      </c>
      <c r="G1575" s="127">
        <v>2.93E8</v>
      </c>
      <c r="H1575" s="126">
        <v>42620.0</v>
      </c>
      <c r="I1575" s="128">
        <v>8073.0</v>
      </c>
      <c r="J1575" s="128">
        <v>668.27</v>
      </c>
      <c r="K1575" s="128">
        <v>502.54</v>
      </c>
      <c r="L1575" s="128">
        <v>5394944.0</v>
      </c>
      <c r="M1575" s="128">
        <v>4057005.0</v>
      </c>
      <c r="N1575" s="128">
        <v>1337938.0</v>
      </c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</row>
    <row r="1576">
      <c r="A1576" s="125" t="s">
        <v>461</v>
      </c>
      <c r="B1576" s="125" t="s">
        <v>611</v>
      </c>
      <c r="C1576" s="125" t="s">
        <v>485</v>
      </c>
      <c r="D1576" s="125" t="s">
        <v>454</v>
      </c>
      <c r="E1576" s="125" t="s">
        <v>472</v>
      </c>
      <c r="F1576" s="126">
        <v>40487.0</v>
      </c>
      <c r="G1576" s="127">
        <v>7.44E8</v>
      </c>
      <c r="H1576" s="126">
        <v>40516.0</v>
      </c>
      <c r="I1576" s="128">
        <v>3811.0</v>
      </c>
      <c r="J1576" s="128">
        <v>421.89</v>
      </c>
      <c r="K1576" s="128">
        <v>364.69</v>
      </c>
      <c r="L1576" s="128">
        <v>1607823.0</v>
      </c>
      <c r="M1576" s="128">
        <v>1389834.0</v>
      </c>
      <c r="N1576" s="128">
        <v>217989.2</v>
      </c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</row>
    <row r="1577">
      <c r="A1577" s="125" t="s">
        <v>458</v>
      </c>
      <c r="B1577" s="125" t="s">
        <v>533</v>
      </c>
      <c r="C1577" s="125" t="s">
        <v>471</v>
      </c>
      <c r="D1577" s="125" t="s">
        <v>457</v>
      </c>
      <c r="E1577" s="125" t="s">
        <v>472</v>
      </c>
      <c r="F1577" s="126">
        <v>42231.0</v>
      </c>
      <c r="G1577" s="127">
        <v>3.59E8</v>
      </c>
      <c r="H1577" s="126">
        <v>42280.0</v>
      </c>
      <c r="I1577" s="128">
        <v>3685.0</v>
      </c>
      <c r="J1577" s="128">
        <v>109.28</v>
      </c>
      <c r="K1577" s="128">
        <v>35.84</v>
      </c>
      <c r="L1577" s="128">
        <v>402696.8</v>
      </c>
      <c r="M1577" s="128">
        <v>132070.4</v>
      </c>
      <c r="N1577" s="128">
        <v>270626.4</v>
      </c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</row>
    <row r="1578">
      <c r="A1578" s="125" t="s">
        <v>458</v>
      </c>
      <c r="B1578" s="125" t="s">
        <v>606</v>
      </c>
      <c r="C1578" s="125" t="s">
        <v>506</v>
      </c>
      <c r="D1578" s="125" t="s">
        <v>454</v>
      </c>
      <c r="E1578" s="125" t="s">
        <v>189</v>
      </c>
      <c r="F1578" s="126">
        <v>40859.0</v>
      </c>
      <c r="G1578" s="127">
        <v>1.04E8</v>
      </c>
      <c r="H1578" s="126">
        <v>40891.0</v>
      </c>
      <c r="I1578" s="128">
        <v>4419.0</v>
      </c>
      <c r="J1578" s="128">
        <v>154.06</v>
      </c>
      <c r="K1578" s="128">
        <v>90.93</v>
      </c>
      <c r="L1578" s="128">
        <v>680791.1</v>
      </c>
      <c r="M1578" s="128">
        <v>401819.7</v>
      </c>
      <c r="N1578" s="128">
        <v>278971.5</v>
      </c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</row>
    <row r="1579">
      <c r="A1579" s="125" t="s">
        <v>451</v>
      </c>
      <c r="B1579" s="125" t="s">
        <v>646</v>
      </c>
      <c r="C1579" s="125" t="s">
        <v>463</v>
      </c>
      <c r="D1579" s="125" t="s">
        <v>454</v>
      </c>
      <c r="E1579" s="125" t="s">
        <v>472</v>
      </c>
      <c r="F1579" s="126">
        <v>42224.0</v>
      </c>
      <c r="G1579" s="127">
        <v>1.17E8</v>
      </c>
      <c r="H1579" s="126">
        <v>42255.0</v>
      </c>
      <c r="I1579" s="128">
        <v>9769.0</v>
      </c>
      <c r="J1579" s="128">
        <v>205.7</v>
      </c>
      <c r="K1579" s="128">
        <v>117.11</v>
      </c>
      <c r="L1579" s="128">
        <v>2009483.0</v>
      </c>
      <c r="M1579" s="128">
        <v>1144048.0</v>
      </c>
      <c r="N1579" s="128">
        <v>865435.7</v>
      </c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</row>
    <row r="1580">
      <c r="A1580" s="125" t="s">
        <v>461</v>
      </c>
      <c r="B1580" s="125" t="s">
        <v>522</v>
      </c>
      <c r="C1580" s="125" t="s">
        <v>514</v>
      </c>
      <c r="D1580" s="125" t="s">
        <v>454</v>
      </c>
      <c r="E1580" s="125" t="s">
        <v>284</v>
      </c>
      <c r="F1580" s="126">
        <v>41502.0</v>
      </c>
      <c r="G1580" s="127">
        <v>1.56E8</v>
      </c>
      <c r="H1580" s="126">
        <v>41512.0</v>
      </c>
      <c r="I1580" s="128">
        <v>5520.0</v>
      </c>
      <c r="J1580" s="128">
        <v>668.27</v>
      </c>
      <c r="K1580" s="128">
        <v>502.54</v>
      </c>
      <c r="L1580" s="128">
        <v>3688850.0</v>
      </c>
      <c r="M1580" s="128">
        <v>2774021.0</v>
      </c>
      <c r="N1580" s="128">
        <v>914829.6</v>
      </c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</row>
    <row r="1581">
      <c r="A1581" s="125" t="s">
        <v>475</v>
      </c>
      <c r="B1581" s="125" t="s">
        <v>528</v>
      </c>
      <c r="C1581" s="125" t="s">
        <v>471</v>
      </c>
      <c r="D1581" s="125" t="s">
        <v>454</v>
      </c>
      <c r="E1581" s="125" t="s">
        <v>189</v>
      </c>
      <c r="F1581" s="126">
        <v>41174.0</v>
      </c>
      <c r="G1581" s="127">
        <v>9.49E8</v>
      </c>
      <c r="H1581" s="126">
        <v>41198.0</v>
      </c>
      <c r="I1581" s="128">
        <v>4489.0</v>
      </c>
      <c r="J1581" s="128">
        <v>109.28</v>
      </c>
      <c r="K1581" s="128">
        <v>35.84</v>
      </c>
      <c r="L1581" s="128">
        <v>490557.9</v>
      </c>
      <c r="M1581" s="128">
        <v>160885.8</v>
      </c>
      <c r="N1581" s="128">
        <v>329672.2</v>
      </c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</row>
    <row r="1582">
      <c r="A1582" s="125" t="s">
        <v>458</v>
      </c>
      <c r="B1582" s="125" t="s">
        <v>554</v>
      </c>
      <c r="C1582" s="125" t="s">
        <v>453</v>
      </c>
      <c r="D1582" s="125" t="s">
        <v>457</v>
      </c>
      <c r="E1582" s="125" t="s">
        <v>189</v>
      </c>
      <c r="F1582" s="126">
        <v>41345.0</v>
      </c>
      <c r="G1582" s="127">
        <v>1.45E8</v>
      </c>
      <c r="H1582" s="126">
        <v>41385.0</v>
      </c>
      <c r="I1582" s="128">
        <v>1525.0</v>
      </c>
      <c r="J1582" s="128">
        <v>255.28</v>
      </c>
      <c r="K1582" s="128">
        <v>159.42</v>
      </c>
      <c r="L1582" s="128">
        <v>389302.0</v>
      </c>
      <c r="M1582" s="128">
        <v>243115.5</v>
      </c>
      <c r="N1582" s="128">
        <v>146186.5</v>
      </c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</row>
    <row r="1583">
      <c r="A1583" s="125" t="s">
        <v>461</v>
      </c>
      <c r="B1583" s="125" t="s">
        <v>629</v>
      </c>
      <c r="C1583" s="125" t="s">
        <v>453</v>
      </c>
      <c r="D1583" s="125" t="s">
        <v>454</v>
      </c>
      <c r="E1583" s="125" t="s">
        <v>189</v>
      </c>
      <c r="F1583" s="126">
        <v>41124.0</v>
      </c>
      <c r="G1583" s="127">
        <v>8.62E8</v>
      </c>
      <c r="H1583" s="126">
        <v>41135.0</v>
      </c>
      <c r="I1583" s="128">
        <v>8509.0</v>
      </c>
      <c r="J1583" s="128">
        <v>255.28</v>
      </c>
      <c r="K1583" s="128">
        <v>159.42</v>
      </c>
      <c r="L1583" s="128">
        <v>2172178.0</v>
      </c>
      <c r="M1583" s="128">
        <v>1356505.0</v>
      </c>
      <c r="N1583" s="128">
        <v>815672.7</v>
      </c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</row>
    <row r="1584">
      <c r="A1584" s="125" t="s">
        <v>458</v>
      </c>
      <c r="B1584" s="125" t="s">
        <v>627</v>
      </c>
      <c r="C1584" s="125" t="s">
        <v>460</v>
      </c>
      <c r="D1584" s="125" t="s">
        <v>454</v>
      </c>
      <c r="E1584" s="125" t="s">
        <v>464</v>
      </c>
      <c r="F1584" s="126">
        <v>42777.0</v>
      </c>
      <c r="G1584" s="127">
        <v>4.39E8</v>
      </c>
      <c r="H1584" s="126">
        <v>42785.0</v>
      </c>
      <c r="I1584" s="128">
        <v>9350.0</v>
      </c>
      <c r="J1584" s="128">
        <v>47.45</v>
      </c>
      <c r="K1584" s="128">
        <v>31.79</v>
      </c>
      <c r="L1584" s="128">
        <v>443657.5</v>
      </c>
      <c r="M1584" s="128">
        <v>297236.5</v>
      </c>
      <c r="N1584" s="128">
        <v>146421.0</v>
      </c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</row>
    <row r="1585">
      <c r="A1585" s="125" t="s">
        <v>475</v>
      </c>
      <c r="B1585" s="125" t="s">
        <v>552</v>
      </c>
      <c r="C1585" s="125" t="s">
        <v>478</v>
      </c>
      <c r="D1585" s="125" t="s">
        <v>457</v>
      </c>
      <c r="E1585" s="125" t="s">
        <v>464</v>
      </c>
      <c r="F1585" s="126">
        <v>42041.0</v>
      </c>
      <c r="G1585" s="127">
        <v>7.87E8</v>
      </c>
      <c r="H1585" s="126">
        <v>42078.0</v>
      </c>
      <c r="I1585" s="128">
        <v>4993.0</v>
      </c>
      <c r="J1585" s="128">
        <v>651.21</v>
      </c>
      <c r="K1585" s="128">
        <v>524.96</v>
      </c>
      <c r="L1585" s="128">
        <v>3251492.0</v>
      </c>
      <c r="M1585" s="128">
        <v>2621125.0</v>
      </c>
      <c r="N1585" s="128">
        <v>630366.3</v>
      </c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</row>
    <row r="1586">
      <c r="A1586" s="125" t="s">
        <v>475</v>
      </c>
      <c r="B1586" s="125" t="s">
        <v>544</v>
      </c>
      <c r="C1586" s="125" t="s">
        <v>485</v>
      </c>
      <c r="D1586" s="125" t="s">
        <v>454</v>
      </c>
      <c r="E1586" s="125" t="s">
        <v>284</v>
      </c>
      <c r="F1586" s="126">
        <v>40578.0</v>
      </c>
      <c r="G1586" s="127">
        <v>7.34E8</v>
      </c>
      <c r="H1586" s="126">
        <v>40596.0</v>
      </c>
      <c r="I1586" s="128">
        <v>8409.0</v>
      </c>
      <c r="J1586" s="128">
        <v>421.89</v>
      </c>
      <c r="K1586" s="128">
        <v>364.69</v>
      </c>
      <c r="L1586" s="128">
        <v>3547673.0</v>
      </c>
      <c r="M1586" s="128">
        <v>3066678.0</v>
      </c>
      <c r="N1586" s="128">
        <v>480994.8</v>
      </c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</row>
    <row r="1587">
      <c r="A1587" s="125" t="s">
        <v>475</v>
      </c>
      <c r="B1587" s="125" t="s">
        <v>476</v>
      </c>
      <c r="C1587" s="125" t="s">
        <v>468</v>
      </c>
      <c r="D1587" s="125" t="s">
        <v>454</v>
      </c>
      <c r="E1587" s="125" t="s">
        <v>284</v>
      </c>
      <c r="F1587" s="126">
        <v>41819.0</v>
      </c>
      <c r="G1587" s="127">
        <v>9.8E8</v>
      </c>
      <c r="H1587" s="126">
        <v>41827.0</v>
      </c>
      <c r="I1587" s="128">
        <v>9605.0</v>
      </c>
      <c r="J1587" s="128">
        <v>81.73</v>
      </c>
      <c r="K1587" s="128">
        <v>56.67</v>
      </c>
      <c r="L1587" s="128">
        <v>785016.7</v>
      </c>
      <c r="M1587" s="128">
        <v>544315.4</v>
      </c>
      <c r="N1587" s="128">
        <v>240701.3</v>
      </c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</row>
    <row r="1588">
      <c r="A1588" s="125" t="s">
        <v>466</v>
      </c>
      <c r="B1588" s="125" t="s">
        <v>534</v>
      </c>
      <c r="C1588" s="125" t="s">
        <v>468</v>
      </c>
      <c r="D1588" s="125" t="s">
        <v>454</v>
      </c>
      <c r="E1588" s="125" t="s">
        <v>189</v>
      </c>
      <c r="F1588" s="126">
        <v>41286.0</v>
      </c>
      <c r="G1588" s="127">
        <v>9.47E8</v>
      </c>
      <c r="H1588" s="126">
        <v>41318.0</v>
      </c>
      <c r="I1588" s="128">
        <v>615.0</v>
      </c>
      <c r="J1588" s="128">
        <v>81.73</v>
      </c>
      <c r="K1588" s="128">
        <v>56.67</v>
      </c>
      <c r="L1588" s="128">
        <v>50263.95</v>
      </c>
      <c r="M1588" s="128">
        <v>34852.05</v>
      </c>
      <c r="N1588" s="128">
        <v>15411.9</v>
      </c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</row>
    <row r="1589">
      <c r="A1589" s="125" t="s">
        <v>469</v>
      </c>
      <c r="B1589" s="125" t="s">
        <v>630</v>
      </c>
      <c r="C1589" s="125" t="s">
        <v>471</v>
      </c>
      <c r="D1589" s="125" t="s">
        <v>457</v>
      </c>
      <c r="E1589" s="125" t="s">
        <v>472</v>
      </c>
      <c r="F1589" s="126">
        <v>41807.0</v>
      </c>
      <c r="G1589" s="127">
        <v>1.24E8</v>
      </c>
      <c r="H1589" s="126">
        <v>41853.0</v>
      </c>
      <c r="I1589" s="128">
        <v>509.0</v>
      </c>
      <c r="J1589" s="128">
        <v>109.28</v>
      </c>
      <c r="K1589" s="128">
        <v>35.84</v>
      </c>
      <c r="L1589" s="128">
        <v>55623.52</v>
      </c>
      <c r="M1589" s="128">
        <v>18242.56</v>
      </c>
      <c r="N1589" s="128">
        <v>37380.96</v>
      </c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</row>
    <row r="1590">
      <c r="A1590" s="125" t="s">
        <v>475</v>
      </c>
      <c r="B1590" s="125" t="s">
        <v>552</v>
      </c>
      <c r="C1590" s="125" t="s">
        <v>460</v>
      </c>
      <c r="D1590" s="125" t="s">
        <v>454</v>
      </c>
      <c r="E1590" s="125" t="s">
        <v>472</v>
      </c>
      <c r="F1590" s="126">
        <v>41065.0</v>
      </c>
      <c r="G1590" s="127">
        <v>3.23E8</v>
      </c>
      <c r="H1590" s="126">
        <v>41090.0</v>
      </c>
      <c r="I1590" s="128">
        <v>383.0</v>
      </c>
      <c r="J1590" s="128">
        <v>47.45</v>
      </c>
      <c r="K1590" s="128">
        <v>31.79</v>
      </c>
      <c r="L1590" s="128">
        <v>18173.35</v>
      </c>
      <c r="M1590" s="128">
        <v>12175.57</v>
      </c>
      <c r="N1590" s="128">
        <v>5997.78</v>
      </c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</row>
    <row r="1591">
      <c r="A1591" s="125" t="s">
        <v>466</v>
      </c>
      <c r="B1591" s="125" t="s">
        <v>484</v>
      </c>
      <c r="C1591" s="125" t="s">
        <v>463</v>
      </c>
      <c r="D1591" s="125" t="s">
        <v>454</v>
      </c>
      <c r="E1591" s="125" t="s">
        <v>464</v>
      </c>
      <c r="F1591" s="126">
        <v>41282.0</v>
      </c>
      <c r="G1591" s="127">
        <v>7.25E8</v>
      </c>
      <c r="H1591" s="126">
        <v>41313.0</v>
      </c>
      <c r="I1591" s="128">
        <v>8369.0</v>
      </c>
      <c r="J1591" s="128">
        <v>205.7</v>
      </c>
      <c r="K1591" s="128">
        <v>117.11</v>
      </c>
      <c r="L1591" s="128">
        <v>1721503.0</v>
      </c>
      <c r="M1591" s="128">
        <v>980093.6</v>
      </c>
      <c r="N1591" s="128">
        <v>741409.7</v>
      </c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</row>
    <row r="1592">
      <c r="A1592" s="125" t="s">
        <v>475</v>
      </c>
      <c r="B1592" s="125" t="s">
        <v>572</v>
      </c>
      <c r="C1592" s="125" t="s">
        <v>460</v>
      </c>
      <c r="D1592" s="125" t="s">
        <v>454</v>
      </c>
      <c r="E1592" s="125" t="s">
        <v>189</v>
      </c>
      <c r="F1592" s="126">
        <v>42303.0</v>
      </c>
      <c r="G1592" s="127">
        <v>1.32E8</v>
      </c>
      <c r="H1592" s="126">
        <v>42341.0</v>
      </c>
      <c r="I1592" s="128">
        <v>4627.0</v>
      </c>
      <c r="J1592" s="128">
        <v>47.45</v>
      </c>
      <c r="K1592" s="128">
        <v>31.79</v>
      </c>
      <c r="L1592" s="128">
        <v>219551.2</v>
      </c>
      <c r="M1592" s="128">
        <v>147092.3</v>
      </c>
      <c r="N1592" s="128">
        <v>72458.82</v>
      </c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</row>
    <row r="1593">
      <c r="A1593" s="125" t="s">
        <v>458</v>
      </c>
      <c r="B1593" s="125" t="s">
        <v>555</v>
      </c>
      <c r="C1593" s="125" t="s">
        <v>494</v>
      </c>
      <c r="D1593" s="125" t="s">
        <v>457</v>
      </c>
      <c r="E1593" s="125" t="s">
        <v>284</v>
      </c>
      <c r="F1593" s="126">
        <v>40212.0</v>
      </c>
      <c r="G1593" s="127">
        <v>1.15E8</v>
      </c>
      <c r="H1593" s="126">
        <v>40220.0</v>
      </c>
      <c r="I1593" s="128">
        <v>6349.0</v>
      </c>
      <c r="J1593" s="128">
        <v>9.33</v>
      </c>
      <c r="K1593" s="128">
        <v>6.92</v>
      </c>
      <c r="L1593" s="128">
        <v>59236.17</v>
      </c>
      <c r="M1593" s="128">
        <v>43935.08</v>
      </c>
      <c r="N1593" s="128">
        <v>15301.09</v>
      </c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</row>
    <row r="1594">
      <c r="A1594" s="125" t="s">
        <v>466</v>
      </c>
      <c r="B1594" s="125" t="s">
        <v>474</v>
      </c>
      <c r="C1594" s="125" t="s">
        <v>468</v>
      </c>
      <c r="D1594" s="125" t="s">
        <v>454</v>
      </c>
      <c r="E1594" s="125" t="s">
        <v>284</v>
      </c>
      <c r="F1594" s="126">
        <v>42547.0</v>
      </c>
      <c r="G1594" s="127">
        <v>9.67E8</v>
      </c>
      <c r="H1594" s="126">
        <v>42567.0</v>
      </c>
      <c r="I1594" s="128">
        <v>2760.0</v>
      </c>
      <c r="J1594" s="128">
        <v>81.73</v>
      </c>
      <c r="K1594" s="128">
        <v>56.67</v>
      </c>
      <c r="L1594" s="128">
        <v>225574.8</v>
      </c>
      <c r="M1594" s="128">
        <v>156409.2</v>
      </c>
      <c r="N1594" s="128">
        <v>69165.6</v>
      </c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</row>
    <row r="1595">
      <c r="A1595" s="125" t="s">
        <v>475</v>
      </c>
      <c r="B1595" s="125" t="s">
        <v>591</v>
      </c>
      <c r="C1595" s="125" t="s">
        <v>471</v>
      </c>
      <c r="D1595" s="125" t="s">
        <v>457</v>
      </c>
      <c r="E1595" s="125" t="s">
        <v>464</v>
      </c>
      <c r="F1595" s="126">
        <v>42021.0</v>
      </c>
      <c r="G1595" s="127">
        <v>3.5E8</v>
      </c>
      <c r="H1595" s="126">
        <v>42057.0</v>
      </c>
      <c r="I1595" s="128">
        <v>114.0</v>
      </c>
      <c r="J1595" s="128">
        <v>109.28</v>
      </c>
      <c r="K1595" s="128">
        <v>35.84</v>
      </c>
      <c r="L1595" s="128">
        <v>12457.92</v>
      </c>
      <c r="M1595" s="128">
        <v>4085.76</v>
      </c>
      <c r="N1595" s="128">
        <v>8372.16</v>
      </c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</row>
    <row r="1596">
      <c r="A1596" s="125" t="s">
        <v>469</v>
      </c>
      <c r="B1596" s="125" t="s">
        <v>530</v>
      </c>
      <c r="C1596" s="125" t="s">
        <v>453</v>
      </c>
      <c r="D1596" s="125" t="s">
        <v>454</v>
      </c>
      <c r="E1596" s="125" t="s">
        <v>464</v>
      </c>
      <c r="F1596" s="126">
        <v>42802.0</v>
      </c>
      <c r="G1596" s="127">
        <v>9.47E8</v>
      </c>
      <c r="H1596" s="126">
        <v>42837.0</v>
      </c>
      <c r="I1596" s="128">
        <v>6697.0</v>
      </c>
      <c r="J1596" s="128">
        <v>255.28</v>
      </c>
      <c r="K1596" s="128">
        <v>159.42</v>
      </c>
      <c r="L1596" s="128">
        <v>1709610.0</v>
      </c>
      <c r="M1596" s="128">
        <v>1067636.0</v>
      </c>
      <c r="N1596" s="128">
        <v>641974.4</v>
      </c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</row>
    <row r="1597">
      <c r="A1597" s="125" t="s">
        <v>475</v>
      </c>
      <c r="B1597" s="125" t="s">
        <v>605</v>
      </c>
      <c r="C1597" s="125" t="s">
        <v>460</v>
      </c>
      <c r="D1597" s="125" t="s">
        <v>454</v>
      </c>
      <c r="E1597" s="125" t="s">
        <v>284</v>
      </c>
      <c r="F1597" s="126">
        <v>42529.0</v>
      </c>
      <c r="G1597" s="127">
        <v>1.12E8</v>
      </c>
      <c r="H1597" s="126">
        <v>42562.0</v>
      </c>
      <c r="I1597" s="128">
        <v>7827.0</v>
      </c>
      <c r="J1597" s="128">
        <v>47.45</v>
      </c>
      <c r="K1597" s="128">
        <v>31.79</v>
      </c>
      <c r="L1597" s="128">
        <v>371391.2</v>
      </c>
      <c r="M1597" s="128">
        <v>248820.3</v>
      </c>
      <c r="N1597" s="128">
        <v>122570.8</v>
      </c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</row>
    <row r="1598">
      <c r="A1598" s="125" t="s">
        <v>469</v>
      </c>
      <c r="B1598" s="125" t="s">
        <v>519</v>
      </c>
      <c r="C1598" s="125" t="s">
        <v>514</v>
      </c>
      <c r="D1598" s="125" t="s">
        <v>457</v>
      </c>
      <c r="E1598" s="125" t="s">
        <v>189</v>
      </c>
      <c r="F1598" s="126">
        <v>41998.0</v>
      </c>
      <c r="G1598" s="127">
        <v>2.18E8</v>
      </c>
      <c r="H1598" s="126">
        <v>42006.0</v>
      </c>
      <c r="I1598" s="128">
        <v>852.0</v>
      </c>
      <c r="J1598" s="128">
        <v>668.27</v>
      </c>
      <c r="K1598" s="128">
        <v>502.54</v>
      </c>
      <c r="L1598" s="128">
        <v>569366.0</v>
      </c>
      <c r="M1598" s="128">
        <v>428164.1</v>
      </c>
      <c r="N1598" s="128">
        <v>141202.0</v>
      </c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</row>
    <row r="1599">
      <c r="A1599" s="125" t="s">
        <v>475</v>
      </c>
      <c r="B1599" s="125" t="s">
        <v>552</v>
      </c>
      <c r="C1599" s="125" t="s">
        <v>471</v>
      </c>
      <c r="D1599" s="125" t="s">
        <v>457</v>
      </c>
      <c r="E1599" s="125" t="s">
        <v>284</v>
      </c>
      <c r="F1599" s="126">
        <v>41010.0</v>
      </c>
      <c r="G1599" s="127">
        <v>1.08E8</v>
      </c>
      <c r="H1599" s="126">
        <v>41041.0</v>
      </c>
      <c r="I1599" s="128">
        <v>153.0</v>
      </c>
      <c r="J1599" s="128">
        <v>109.28</v>
      </c>
      <c r="K1599" s="128">
        <v>35.84</v>
      </c>
      <c r="L1599" s="128">
        <v>16719.84</v>
      </c>
      <c r="M1599" s="128">
        <v>5483.52</v>
      </c>
      <c r="N1599" s="128">
        <v>11236.32</v>
      </c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</row>
    <row r="1600">
      <c r="A1600" s="125" t="s">
        <v>475</v>
      </c>
      <c r="B1600" s="125" t="s">
        <v>544</v>
      </c>
      <c r="C1600" s="125" t="s">
        <v>463</v>
      </c>
      <c r="D1600" s="125" t="s">
        <v>454</v>
      </c>
      <c r="E1600" s="125" t="s">
        <v>284</v>
      </c>
      <c r="F1600" s="126">
        <v>42523.0</v>
      </c>
      <c r="G1600" s="127">
        <v>9.47E8</v>
      </c>
      <c r="H1600" s="126">
        <v>42553.0</v>
      </c>
      <c r="I1600" s="128">
        <v>2139.0</v>
      </c>
      <c r="J1600" s="128">
        <v>205.7</v>
      </c>
      <c r="K1600" s="128">
        <v>117.11</v>
      </c>
      <c r="L1600" s="128">
        <v>439992.3</v>
      </c>
      <c r="M1600" s="128">
        <v>250498.3</v>
      </c>
      <c r="N1600" s="128">
        <v>189494.0</v>
      </c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</row>
    <row r="1601">
      <c r="A1601" s="125" t="s">
        <v>466</v>
      </c>
      <c r="B1601" s="125" t="s">
        <v>612</v>
      </c>
      <c r="C1601" s="125" t="s">
        <v>463</v>
      </c>
      <c r="D1601" s="125" t="s">
        <v>454</v>
      </c>
      <c r="E1601" s="125" t="s">
        <v>472</v>
      </c>
      <c r="F1601" s="126">
        <v>40200.0</v>
      </c>
      <c r="G1601" s="127">
        <v>3.69E8</v>
      </c>
      <c r="H1601" s="126">
        <v>40226.0</v>
      </c>
      <c r="I1601" s="128">
        <v>255.0</v>
      </c>
      <c r="J1601" s="128">
        <v>205.7</v>
      </c>
      <c r="K1601" s="128">
        <v>117.11</v>
      </c>
      <c r="L1601" s="128">
        <v>52453.5</v>
      </c>
      <c r="M1601" s="128">
        <v>29863.05</v>
      </c>
      <c r="N1601" s="128">
        <v>22590.45</v>
      </c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</row>
    <row r="1602">
      <c r="A1602" s="125" t="s">
        <v>475</v>
      </c>
      <c r="B1602" s="125" t="s">
        <v>656</v>
      </c>
      <c r="C1602" s="125" t="s">
        <v>478</v>
      </c>
      <c r="D1602" s="125" t="s">
        <v>454</v>
      </c>
      <c r="E1602" s="125" t="s">
        <v>464</v>
      </c>
      <c r="F1602" s="126">
        <v>41925.0</v>
      </c>
      <c r="G1602" s="127">
        <v>1.29E8</v>
      </c>
      <c r="H1602" s="126">
        <v>41925.0</v>
      </c>
      <c r="I1602" s="128">
        <v>9972.0</v>
      </c>
      <c r="J1602" s="128">
        <v>651.21</v>
      </c>
      <c r="K1602" s="128">
        <v>524.96</v>
      </c>
      <c r="L1602" s="128">
        <v>6493866.0</v>
      </c>
      <c r="M1602" s="128">
        <v>5234901.0</v>
      </c>
      <c r="N1602" s="128">
        <v>1258965.0</v>
      </c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</row>
    <row r="1603">
      <c r="A1603" s="125" t="s">
        <v>469</v>
      </c>
      <c r="B1603" s="125" t="s">
        <v>520</v>
      </c>
      <c r="C1603" s="125" t="s">
        <v>506</v>
      </c>
      <c r="D1603" s="125" t="s">
        <v>457</v>
      </c>
      <c r="E1603" s="125" t="s">
        <v>464</v>
      </c>
      <c r="F1603" s="126">
        <v>40757.0</v>
      </c>
      <c r="G1603" s="127">
        <v>2.52E8</v>
      </c>
      <c r="H1603" s="126">
        <v>40781.0</v>
      </c>
      <c r="I1603" s="128">
        <v>3797.0</v>
      </c>
      <c r="J1603" s="128">
        <v>154.06</v>
      </c>
      <c r="K1603" s="128">
        <v>90.93</v>
      </c>
      <c r="L1603" s="128">
        <v>584965.8</v>
      </c>
      <c r="M1603" s="128">
        <v>345261.2</v>
      </c>
      <c r="N1603" s="128">
        <v>239704.6</v>
      </c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</row>
    <row r="1604">
      <c r="A1604" s="125" t="s">
        <v>475</v>
      </c>
      <c r="B1604" s="125" t="s">
        <v>604</v>
      </c>
      <c r="C1604" s="125" t="s">
        <v>485</v>
      </c>
      <c r="D1604" s="125" t="s">
        <v>454</v>
      </c>
      <c r="E1604" s="125" t="s">
        <v>189</v>
      </c>
      <c r="F1604" s="126">
        <v>41208.0</v>
      </c>
      <c r="G1604" s="127">
        <v>3.83E8</v>
      </c>
      <c r="H1604" s="126">
        <v>41240.0</v>
      </c>
      <c r="I1604" s="128">
        <v>6265.0</v>
      </c>
      <c r="J1604" s="128">
        <v>421.89</v>
      </c>
      <c r="K1604" s="128">
        <v>364.69</v>
      </c>
      <c r="L1604" s="128">
        <v>2643141.0</v>
      </c>
      <c r="M1604" s="128">
        <v>2284783.0</v>
      </c>
      <c r="N1604" s="128">
        <v>358358.0</v>
      </c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</row>
    <row r="1605">
      <c r="A1605" s="125" t="s">
        <v>458</v>
      </c>
      <c r="B1605" s="125" t="s">
        <v>563</v>
      </c>
      <c r="C1605" s="125" t="s">
        <v>460</v>
      </c>
      <c r="D1605" s="125" t="s">
        <v>457</v>
      </c>
      <c r="E1605" s="125" t="s">
        <v>464</v>
      </c>
      <c r="F1605" s="126">
        <v>41265.0</v>
      </c>
      <c r="G1605" s="127">
        <v>2.38E8</v>
      </c>
      <c r="H1605" s="126">
        <v>41312.0</v>
      </c>
      <c r="I1605" s="128">
        <v>8944.0</v>
      </c>
      <c r="J1605" s="128">
        <v>47.45</v>
      </c>
      <c r="K1605" s="128">
        <v>31.79</v>
      </c>
      <c r="L1605" s="128">
        <v>424392.8</v>
      </c>
      <c r="M1605" s="128">
        <v>284329.8</v>
      </c>
      <c r="N1605" s="128">
        <v>140063.0</v>
      </c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</row>
    <row r="1606">
      <c r="A1606" s="125" t="s">
        <v>475</v>
      </c>
      <c r="B1606" s="125" t="s">
        <v>585</v>
      </c>
      <c r="C1606" s="125" t="s">
        <v>453</v>
      </c>
      <c r="D1606" s="125" t="s">
        <v>457</v>
      </c>
      <c r="E1606" s="125" t="s">
        <v>189</v>
      </c>
      <c r="F1606" s="126">
        <v>42069.0</v>
      </c>
      <c r="G1606" s="127">
        <v>9.53E8</v>
      </c>
      <c r="H1606" s="126">
        <v>42071.0</v>
      </c>
      <c r="I1606" s="128">
        <v>5433.0</v>
      </c>
      <c r="J1606" s="128">
        <v>255.28</v>
      </c>
      <c r="K1606" s="128">
        <v>159.42</v>
      </c>
      <c r="L1606" s="128">
        <v>1386936.0</v>
      </c>
      <c r="M1606" s="128">
        <v>866128.9</v>
      </c>
      <c r="N1606" s="128">
        <v>520807.4</v>
      </c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</row>
    <row r="1607">
      <c r="A1607" s="125" t="s">
        <v>458</v>
      </c>
      <c r="B1607" s="125" t="s">
        <v>616</v>
      </c>
      <c r="C1607" s="125" t="s">
        <v>471</v>
      </c>
      <c r="D1607" s="125" t="s">
        <v>454</v>
      </c>
      <c r="E1607" s="125" t="s">
        <v>189</v>
      </c>
      <c r="F1607" s="126">
        <v>41001.0</v>
      </c>
      <c r="G1607" s="127">
        <v>1.35E8</v>
      </c>
      <c r="H1607" s="126">
        <v>41025.0</v>
      </c>
      <c r="I1607" s="128">
        <v>6360.0</v>
      </c>
      <c r="J1607" s="128">
        <v>109.28</v>
      </c>
      <c r="K1607" s="128">
        <v>35.84</v>
      </c>
      <c r="L1607" s="128">
        <v>695020.8</v>
      </c>
      <c r="M1607" s="128">
        <v>227942.4</v>
      </c>
      <c r="N1607" s="128">
        <v>467078.4</v>
      </c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</row>
    <row r="1608">
      <c r="A1608" s="125" t="s">
        <v>458</v>
      </c>
      <c r="B1608" s="125" t="s">
        <v>498</v>
      </c>
      <c r="C1608" s="125" t="s">
        <v>506</v>
      </c>
      <c r="D1608" s="125" t="s">
        <v>454</v>
      </c>
      <c r="E1608" s="125" t="s">
        <v>472</v>
      </c>
      <c r="F1608" s="126">
        <v>41363.0</v>
      </c>
      <c r="G1608" s="127">
        <v>4.09E8</v>
      </c>
      <c r="H1608" s="126">
        <v>41412.0</v>
      </c>
      <c r="I1608" s="128">
        <v>4388.0</v>
      </c>
      <c r="J1608" s="128">
        <v>154.06</v>
      </c>
      <c r="K1608" s="128">
        <v>90.93</v>
      </c>
      <c r="L1608" s="128">
        <v>676015.3</v>
      </c>
      <c r="M1608" s="128">
        <v>399000.8</v>
      </c>
      <c r="N1608" s="128">
        <v>277014.4</v>
      </c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</row>
    <row r="1609">
      <c r="A1609" s="125" t="s">
        <v>475</v>
      </c>
      <c r="B1609" s="125" t="s">
        <v>558</v>
      </c>
      <c r="C1609" s="125" t="s">
        <v>468</v>
      </c>
      <c r="D1609" s="125" t="s">
        <v>457</v>
      </c>
      <c r="E1609" s="125" t="s">
        <v>464</v>
      </c>
      <c r="F1609" s="126">
        <v>42698.0</v>
      </c>
      <c r="G1609" s="127">
        <v>8.73E8</v>
      </c>
      <c r="H1609" s="126">
        <v>42699.0</v>
      </c>
      <c r="I1609" s="128">
        <v>9209.0</v>
      </c>
      <c r="J1609" s="128">
        <v>81.73</v>
      </c>
      <c r="K1609" s="128">
        <v>56.67</v>
      </c>
      <c r="L1609" s="128">
        <v>752651.6</v>
      </c>
      <c r="M1609" s="128">
        <v>521874.0</v>
      </c>
      <c r="N1609" s="128">
        <v>230777.5</v>
      </c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</row>
    <row r="1610">
      <c r="A1610" s="125" t="s">
        <v>475</v>
      </c>
      <c r="B1610" s="125" t="s">
        <v>562</v>
      </c>
      <c r="C1610" s="125" t="s">
        <v>514</v>
      </c>
      <c r="D1610" s="125" t="s">
        <v>457</v>
      </c>
      <c r="E1610" s="125" t="s">
        <v>284</v>
      </c>
      <c r="F1610" s="126">
        <v>42170.0</v>
      </c>
      <c r="G1610" s="127">
        <v>2.44E8</v>
      </c>
      <c r="H1610" s="126">
        <v>42192.0</v>
      </c>
      <c r="I1610" s="128">
        <v>2546.0</v>
      </c>
      <c r="J1610" s="128">
        <v>668.27</v>
      </c>
      <c r="K1610" s="128">
        <v>502.54</v>
      </c>
      <c r="L1610" s="128">
        <v>1701415.0</v>
      </c>
      <c r="M1610" s="128">
        <v>1279467.0</v>
      </c>
      <c r="N1610" s="128">
        <v>421948.6</v>
      </c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</row>
    <row r="1611">
      <c r="A1611" s="125" t="s">
        <v>488</v>
      </c>
      <c r="B1611" s="125" t="s">
        <v>577</v>
      </c>
      <c r="C1611" s="125" t="s">
        <v>463</v>
      </c>
      <c r="D1611" s="125" t="s">
        <v>454</v>
      </c>
      <c r="E1611" s="125" t="s">
        <v>284</v>
      </c>
      <c r="F1611" s="126">
        <v>41483.0</v>
      </c>
      <c r="G1611" s="127">
        <v>9.1E8</v>
      </c>
      <c r="H1611" s="126">
        <v>41520.0</v>
      </c>
      <c r="I1611" s="128">
        <v>3154.0</v>
      </c>
      <c r="J1611" s="128">
        <v>205.7</v>
      </c>
      <c r="K1611" s="128">
        <v>117.11</v>
      </c>
      <c r="L1611" s="128">
        <v>648777.8</v>
      </c>
      <c r="M1611" s="128">
        <v>369364.9</v>
      </c>
      <c r="N1611" s="128">
        <v>279412.9</v>
      </c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</row>
    <row r="1612">
      <c r="A1612" s="125" t="s">
        <v>461</v>
      </c>
      <c r="B1612" s="125" t="s">
        <v>629</v>
      </c>
      <c r="C1612" s="125" t="s">
        <v>460</v>
      </c>
      <c r="D1612" s="125" t="s">
        <v>454</v>
      </c>
      <c r="E1612" s="125" t="s">
        <v>472</v>
      </c>
      <c r="F1612" s="126">
        <v>42729.0</v>
      </c>
      <c r="G1612" s="127">
        <v>3.78E8</v>
      </c>
      <c r="H1612" s="126">
        <v>42765.0</v>
      </c>
      <c r="I1612" s="128">
        <v>1820.0</v>
      </c>
      <c r="J1612" s="128">
        <v>47.45</v>
      </c>
      <c r="K1612" s="128">
        <v>31.79</v>
      </c>
      <c r="L1612" s="128">
        <v>86359.0</v>
      </c>
      <c r="M1612" s="128">
        <v>57857.8</v>
      </c>
      <c r="N1612" s="128">
        <v>28501.2</v>
      </c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</row>
    <row r="1613">
      <c r="A1613" s="125" t="s">
        <v>458</v>
      </c>
      <c r="B1613" s="125" t="s">
        <v>616</v>
      </c>
      <c r="C1613" s="125" t="s">
        <v>485</v>
      </c>
      <c r="D1613" s="125" t="s">
        <v>457</v>
      </c>
      <c r="E1613" s="125" t="s">
        <v>472</v>
      </c>
      <c r="F1613" s="126">
        <v>41474.0</v>
      </c>
      <c r="G1613" s="127">
        <v>7.27E8</v>
      </c>
      <c r="H1613" s="126">
        <v>41524.0</v>
      </c>
      <c r="I1613" s="128">
        <v>6360.0</v>
      </c>
      <c r="J1613" s="128">
        <v>421.89</v>
      </c>
      <c r="K1613" s="128">
        <v>364.69</v>
      </c>
      <c r="L1613" s="128">
        <v>2683220.0</v>
      </c>
      <c r="M1613" s="128">
        <v>2319428.0</v>
      </c>
      <c r="N1613" s="128">
        <v>363792.0</v>
      </c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</row>
    <row r="1614">
      <c r="A1614" s="125" t="s">
        <v>475</v>
      </c>
      <c r="B1614" s="125" t="s">
        <v>585</v>
      </c>
      <c r="C1614" s="125" t="s">
        <v>514</v>
      </c>
      <c r="D1614" s="125" t="s">
        <v>457</v>
      </c>
      <c r="E1614" s="125" t="s">
        <v>189</v>
      </c>
      <c r="F1614" s="126">
        <v>41970.0</v>
      </c>
      <c r="G1614" s="127">
        <v>9.55E8</v>
      </c>
      <c r="H1614" s="126">
        <v>41987.0</v>
      </c>
      <c r="I1614" s="128">
        <v>6624.0</v>
      </c>
      <c r="J1614" s="128">
        <v>668.27</v>
      </c>
      <c r="K1614" s="128">
        <v>502.54</v>
      </c>
      <c r="L1614" s="128">
        <v>4426620.0</v>
      </c>
      <c r="M1614" s="128">
        <v>3328825.0</v>
      </c>
      <c r="N1614" s="128">
        <v>1097796.0</v>
      </c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</row>
    <row r="1615">
      <c r="A1615" s="125" t="s">
        <v>475</v>
      </c>
      <c r="B1615" s="125" t="s">
        <v>527</v>
      </c>
      <c r="C1615" s="125" t="s">
        <v>471</v>
      </c>
      <c r="D1615" s="125" t="s">
        <v>457</v>
      </c>
      <c r="E1615" s="125" t="s">
        <v>464</v>
      </c>
      <c r="F1615" s="126">
        <v>41945.0</v>
      </c>
      <c r="G1615" s="127">
        <v>1.31E8</v>
      </c>
      <c r="H1615" s="126">
        <v>41966.0</v>
      </c>
      <c r="I1615" s="128">
        <v>9492.0</v>
      </c>
      <c r="J1615" s="128">
        <v>109.28</v>
      </c>
      <c r="K1615" s="128">
        <v>35.84</v>
      </c>
      <c r="L1615" s="128">
        <v>1037286.0</v>
      </c>
      <c r="M1615" s="128">
        <v>340193.3</v>
      </c>
      <c r="N1615" s="128">
        <v>697092.5</v>
      </c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</row>
    <row r="1616">
      <c r="A1616" s="125" t="s">
        <v>469</v>
      </c>
      <c r="B1616" s="125" t="s">
        <v>634</v>
      </c>
      <c r="C1616" s="125" t="s">
        <v>478</v>
      </c>
      <c r="D1616" s="125" t="s">
        <v>454</v>
      </c>
      <c r="E1616" s="125" t="s">
        <v>189</v>
      </c>
      <c r="F1616" s="126">
        <v>42280.0</v>
      </c>
      <c r="G1616" s="127">
        <v>5.44E8</v>
      </c>
      <c r="H1616" s="126">
        <v>42284.0</v>
      </c>
      <c r="I1616" s="128">
        <v>3873.0</v>
      </c>
      <c r="J1616" s="128">
        <v>651.21</v>
      </c>
      <c r="K1616" s="128">
        <v>524.96</v>
      </c>
      <c r="L1616" s="128">
        <v>2522136.0</v>
      </c>
      <c r="M1616" s="128">
        <v>2033170.0</v>
      </c>
      <c r="N1616" s="128">
        <v>488966.3</v>
      </c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</row>
    <row r="1617">
      <c r="A1617" s="125" t="s">
        <v>469</v>
      </c>
      <c r="B1617" s="125" t="s">
        <v>632</v>
      </c>
      <c r="C1617" s="125" t="s">
        <v>514</v>
      </c>
      <c r="D1617" s="125" t="s">
        <v>457</v>
      </c>
      <c r="E1617" s="125" t="s">
        <v>472</v>
      </c>
      <c r="F1617" s="126">
        <v>42865.0</v>
      </c>
      <c r="G1617" s="127">
        <v>9.53E8</v>
      </c>
      <c r="H1617" s="126">
        <v>42913.0</v>
      </c>
      <c r="I1617" s="128">
        <v>5712.0</v>
      </c>
      <c r="J1617" s="128">
        <v>668.27</v>
      </c>
      <c r="K1617" s="128">
        <v>502.54</v>
      </c>
      <c r="L1617" s="128">
        <v>3817158.0</v>
      </c>
      <c r="M1617" s="128">
        <v>2870508.0</v>
      </c>
      <c r="N1617" s="128">
        <v>946649.8</v>
      </c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</row>
    <row r="1618">
      <c r="A1618" s="125" t="s">
        <v>458</v>
      </c>
      <c r="B1618" s="125" t="s">
        <v>610</v>
      </c>
      <c r="C1618" s="125" t="s">
        <v>480</v>
      </c>
      <c r="D1618" s="125" t="s">
        <v>454</v>
      </c>
      <c r="E1618" s="125" t="s">
        <v>464</v>
      </c>
      <c r="F1618" s="126">
        <v>41208.0</v>
      </c>
      <c r="G1618" s="127">
        <v>6.39E8</v>
      </c>
      <c r="H1618" s="126">
        <v>41255.0</v>
      </c>
      <c r="I1618" s="128">
        <v>2981.0</v>
      </c>
      <c r="J1618" s="128">
        <v>437.2</v>
      </c>
      <c r="K1618" s="128">
        <v>263.33</v>
      </c>
      <c r="L1618" s="128">
        <v>1303293.0</v>
      </c>
      <c r="M1618" s="128">
        <v>784986.7</v>
      </c>
      <c r="N1618" s="128">
        <v>518306.5</v>
      </c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</row>
    <row r="1619">
      <c r="A1619" s="125" t="s">
        <v>475</v>
      </c>
      <c r="B1619" s="125" t="s">
        <v>635</v>
      </c>
      <c r="C1619" s="125" t="s">
        <v>456</v>
      </c>
      <c r="D1619" s="125" t="s">
        <v>454</v>
      </c>
      <c r="E1619" s="125" t="s">
        <v>284</v>
      </c>
      <c r="F1619" s="126">
        <v>42126.0</v>
      </c>
      <c r="G1619" s="127">
        <v>7.5E8</v>
      </c>
      <c r="H1619" s="126">
        <v>42162.0</v>
      </c>
      <c r="I1619" s="128">
        <v>685.0</v>
      </c>
      <c r="J1619" s="128">
        <v>152.58</v>
      </c>
      <c r="K1619" s="128">
        <v>97.44</v>
      </c>
      <c r="L1619" s="128">
        <v>104517.3</v>
      </c>
      <c r="M1619" s="128">
        <v>66746.4</v>
      </c>
      <c r="N1619" s="128">
        <v>37770.9</v>
      </c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</row>
    <row r="1620">
      <c r="A1620" s="125" t="s">
        <v>475</v>
      </c>
      <c r="B1620" s="125" t="s">
        <v>605</v>
      </c>
      <c r="C1620" s="125" t="s">
        <v>453</v>
      </c>
      <c r="D1620" s="125" t="s">
        <v>454</v>
      </c>
      <c r="E1620" s="125" t="s">
        <v>472</v>
      </c>
      <c r="F1620" s="126">
        <v>42524.0</v>
      </c>
      <c r="G1620" s="127">
        <v>2.59E8</v>
      </c>
      <c r="H1620" s="126">
        <v>42533.0</v>
      </c>
      <c r="I1620" s="128">
        <v>5861.0</v>
      </c>
      <c r="J1620" s="128">
        <v>255.28</v>
      </c>
      <c r="K1620" s="128">
        <v>159.42</v>
      </c>
      <c r="L1620" s="128">
        <v>1496196.0</v>
      </c>
      <c r="M1620" s="128">
        <v>934360.6</v>
      </c>
      <c r="N1620" s="128">
        <v>561835.5</v>
      </c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</row>
    <row r="1621">
      <c r="A1621" s="125" t="s">
        <v>475</v>
      </c>
      <c r="B1621" s="125" t="s">
        <v>500</v>
      </c>
      <c r="C1621" s="125" t="s">
        <v>478</v>
      </c>
      <c r="D1621" s="125" t="s">
        <v>457</v>
      </c>
      <c r="E1621" s="125" t="s">
        <v>189</v>
      </c>
      <c r="F1621" s="126">
        <v>41080.0</v>
      </c>
      <c r="G1621" s="127">
        <v>9.04E8</v>
      </c>
      <c r="H1621" s="126">
        <v>41084.0</v>
      </c>
      <c r="I1621" s="128">
        <v>2575.0</v>
      </c>
      <c r="J1621" s="128">
        <v>651.21</v>
      </c>
      <c r="K1621" s="128">
        <v>524.96</v>
      </c>
      <c r="L1621" s="128">
        <v>1676866.0</v>
      </c>
      <c r="M1621" s="128">
        <v>1351772.0</v>
      </c>
      <c r="N1621" s="128">
        <v>325093.8</v>
      </c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</row>
    <row r="1622">
      <c r="A1622" s="125" t="s">
        <v>466</v>
      </c>
      <c r="B1622" s="125" t="s">
        <v>535</v>
      </c>
      <c r="C1622" s="125" t="s">
        <v>478</v>
      </c>
      <c r="D1622" s="125" t="s">
        <v>457</v>
      </c>
      <c r="E1622" s="125" t="s">
        <v>464</v>
      </c>
      <c r="F1622" s="126">
        <v>42392.0</v>
      </c>
      <c r="G1622" s="127">
        <v>4.48E8</v>
      </c>
      <c r="H1622" s="126">
        <v>42410.0</v>
      </c>
      <c r="I1622" s="128">
        <v>6927.0</v>
      </c>
      <c r="J1622" s="128">
        <v>651.21</v>
      </c>
      <c r="K1622" s="128">
        <v>524.96</v>
      </c>
      <c r="L1622" s="128">
        <v>4510932.0</v>
      </c>
      <c r="M1622" s="128">
        <v>3636398.0</v>
      </c>
      <c r="N1622" s="128">
        <v>874533.8</v>
      </c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</row>
    <row r="1623">
      <c r="A1623" s="125" t="s">
        <v>451</v>
      </c>
      <c r="B1623" s="125" t="s">
        <v>587</v>
      </c>
      <c r="C1623" s="125" t="s">
        <v>485</v>
      </c>
      <c r="D1623" s="125" t="s">
        <v>457</v>
      </c>
      <c r="E1623" s="125" t="s">
        <v>189</v>
      </c>
      <c r="F1623" s="126">
        <v>41768.0</v>
      </c>
      <c r="G1623" s="127">
        <v>3.21E8</v>
      </c>
      <c r="H1623" s="126">
        <v>41805.0</v>
      </c>
      <c r="I1623" s="128">
        <v>2047.0</v>
      </c>
      <c r="J1623" s="128">
        <v>421.89</v>
      </c>
      <c r="K1623" s="128">
        <v>364.69</v>
      </c>
      <c r="L1623" s="128">
        <v>863608.8</v>
      </c>
      <c r="M1623" s="128">
        <v>746520.4</v>
      </c>
      <c r="N1623" s="128">
        <v>117088.4</v>
      </c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</row>
    <row r="1624">
      <c r="A1624" s="125" t="s">
        <v>475</v>
      </c>
      <c r="B1624" s="125" t="s">
        <v>657</v>
      </c>
      <c r="C1624" s="125" t="s">
        <v>460</v>
      </c>
      <c r="D1624" s="125" t="s">
        <v>454</v>
      </c>
      <c r="E1624" s="125" t="s">
        <v>472</v>
      </c>
      <c r="F1624" s="126">
        <v>40434.0</v>
      </c>
      <c r="G1624" s="127">
        <v>6.76E8</v>
      </c>
      <c r="H1624" s="126">
        <v>40444.0</v>
      </c>
      <c r="I1624" s="128">
        <v>3095.0</v>
      </c>
      <c r="J1624" s="128">
        <v>47.45</v>
      </c>
      <c r="K1624" s="128">
        <v>31.79</v>
      </c>
      <c r="L1624" s="128">
        <v>146857.8</v>
      </c>
      <c r="M1624" s="128">
        <v>98390.05</v>
      </c>
      <c r="N1624" s="128">
        <v>48467.7</v>
      </c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</row>
    <row r="1625">
      <c r="A1625" s="125" t="s">
        <v>458</v>
      </c>
      <c r="B1625" s="125" t="s">
        <v>594</v>
      </c>
      <c r="C1625" s="125" t="s">
        <v>460</v>
      </c>
      <c r="D1625" s="125" t="s">
        <v>457</v>
      </c>
      <c r="E1625" s="125" t="s">
        <v>472</v>
      </c>
      <c r="F1625" s="126">
        <v>41392.0</v>
      </c>
      <c r="G1625" s="127">
        <v>8.33E8</v>
      </c>
      <c r="H1625" s="126">
        <v>41419.0</v>
      </c>
      <c r="I1625" s="128">
        <v>2264.0</v>
      </c>
      <c r="J1625" s="128">
        <v>47.45</v>
      </c>
      <c r="K1625" s="128">
        <v>31.79</v>
      </c>
      <c r="L1625" s="128">
        <v>107426.8</v>
      </c>
      <c r="M1625" s="128">
        <v>71972.56</v>
      </c>
      <c r="N1625" s="128">
        <v>35454.24</v>
      </c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</row>
    <row r="1626">
      <c r="A1626" s="125" t="s">
        <v>466</v>
      </c>
      <c r="B1626" s="125" t="s">
        <v>502</v>
      </c>
      <c r="C1626" s="125" t="s">
        <v>514</v>
      </c>
      <c r="D1626" s="125" t="s">
        <v>454</v>
      </c>
      <c r="E1626" s="125" t="s">
        <v>464</v>
      </c>
      <c r="F1626" s="126">
        <v>42496.0</v>
      </c>
      <c r="G1626" s="127">
        <v>6.36E8</v>
      </c>
      <c r="H1626" s="126">
        <v>42534.0</v>
      </c>
      <c r="I1626" s="128">
        <v>3777.0</v>
      </c>
      <c r="J1626" s="128">
        <v>668.27</v>
      </c>
      <c r="K1626" s="128">
        <v>502.54</v>
      </c>
      <c r="L1626" s="128">
        <v>2524056.0</v>
      </c>
      <c r="M1626" s="128">
        <v>1898094.0</v>
      </c>
      <c r="N1626" s="128">
        <v>625962.2</v>
      </c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</row>
    <row r="1627">
      <c r="A1627" s="125" t="s">
        <v>475</v>
      </c>
      <c r="B1627" s="125" t="s">
        <v>527</v>
      </c>
      <c r="C1627" s="125" t="s">
        <v>480</v>
      </c>
      <c r="D1627" s="125" t="s">
        <v>457</v>
      </c>
      <c r="E1627" s="125" t="s">
        <v>464</v>
      </c>
      <c r="F1627" s="126">
        <v>40611.0</v>
      </c>
      <c r="G1627" s="127">
        <v>8.97E8</v>
      </c>
      <c r="H1627" s="126">
        <v>40644.0</v>
      </c>
      <c r="I1627" s="128">
        <v>8890.0</v>
      </c>
      <c r="J1627" s="128">
        <v>437.2</v>
      </c>
      <c r="K1627" s="128">
        <v>263.33</v>
      </c>
      <c r="L1627" s="128">
        <v>3886708.0</v>
      </c>
      <c r="M1627" s="128">
        <v>2341004.0</v>
      </c>
      <c r="N1627" s="128">
        <v>1545704.0</v>
      </c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</row>
    <row r="1628">
      <c r="A1628" s="125" t="s">
        <v>466</v>
      </c>
      <c r="B1628" s="125" t="s">
        <v>496</v>
      </c>
      <c r="C1628" s="125" t="s">
        <v>478</v>
      </c>
      <c r="D1628" s="125" t="s">
        <v>454</v>
      </c>
      <c r="E1628" s="125" t="s">
        <v>189</v>
      </c>
      <c r="F1628" s="126">
        <v>41284.0</v>
      </c>
      <c r="G1628" s="127">
        <v>2.49E8</v>
      </c>
      <c r="H1628" s="126">
        <v>41298.0</v>
      </c>
      <c r="I1628" s="128">
        <v>888.0</v>
      </c>
      <c r="J1628" s="128">
        <v>651.21</v>
      </c>
      <c r="K1628" s="128">
        <v>524.96</v>
      </c>
      <c r="L1628" s="128">
        <v>578274.5</v>
      </c>
      <c r="M1628" s="128">
        <v>466164.5</v>
      </c>
      <c r="N1628" s="128">
        <v>112110.0</v>
      </c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</row>
    <row r="1629">
      <c r="A1629" s="125" t="s">
        <v>475</v>
      </c>
      <c r="B1629" s="125" t="s">
        <v>574</v>
      </c>
      <c r="C1629" s="125" t="s">
        <v>485</v>
      </c>
      <c r="D1629" s="125" t="s">
        <v>454</v>
      </c>
      <c r="E1629" s="125" t="s">
        <v>464</v>
      </c>
      <c r="F1629" s="126">
        <v>40775.0</v>
      </c>
      <c r="G1629" s="127">
        <v>9.94E8</v>
      </c>
      <c r="H1629" s="126">
        <v>40799.0</v>
      </c>
      <c r="I1629" s="128">
        <v>89.0</v>
      </c>
      <c r="J1629" s="128">
        <v>421.89</v>
      </c>
      <c r="K1629" s="128">
        <v>364.69</v>
      </c>
      <c r="L1629" s="128">
        <v>37548.21</v>
      </c>
      <c r="M1629" s="128">
        <v>32457.41</v>
      </c>
      <c r="N1629" s="128">
        <v>5090.8</v>
      </c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</row>
    <row r="1630">
      <c r="A1630" s="125" t="s">
        <v>466</v>
      </c>
      <c r="B1630" s="125" t="s">
        <v>474</v>
      </c>
      <c r="C1630" s="125" t="s">
        <v>453</v>
      </c>
      <c r="D1630" s="125" t="s">
        <v>457</v>
      </c>
      <c r="E1630" s="125" t="s">
        <v>464</v>
      </c>
      <c r="F1630" s="126">
        <v>41261.0</v>
      </c>
      <c r="G1630" s="127">
        <v>5.57E8</v>
      </c>
      <c r="H1630" s="126">
        <v>41276.0</v>
      </c>
      <c r="I1630" s="128">
        <v>8842.0</v>
      </c>
      <c r="J1630" s="128">
        <v>255.28</v>
      </c>
      <c r="K1630" s="128">
        <v>159.42</v>
      </c>
      <c r="L1630" s="128">
        <v>2257186.0</v>
      </c>
      <c r="M1630" s="128">
        <v>1409592.0</v>
      </c>
      <c r="N1630" s="128">
        <v>847594.1</v>
      </c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</row>
    <row r="1631">
      <c r="A1631" s="125" t="s">
        <v>475</v>
      </c>
      <c r="B1631" s="125" t="s">
        <v>565</v>
      </c>
      <c r="C1631" s="125" t="s">
        <v>460</v>
      </c>
      <c r="D1631" s="125" t="s">
        <v>457</v>
      </c>
      <c r="E1631" s="125" t="s">
        <v>189</v>
      </c>
      <c r="F1631" s="126">
        <v>41161.0</v>
      </c>
      <c r="G1631" s="127">
        <v>9.31E8</v>
      </c>
      <c r="H1631" s="126">
        <v>41193.0</v>
      </c>
      <c r="I1631" s="128">
        <v>6526.0</v>
      </c>
      <c r="J1631" s="128">
        <v>47.45</v>
      </c>
      <c r="K1631" s="128">
        <v>31.79</v>
      </c>
      <c r="L1631" s="128">
        <v>309658.7</v>
      </c>
      <c r="M1631" s="128">
        <v>207461.5</v>
      </c>
      <c r="N1631" s="128">
        <v>102197.2</v>
      </c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</row>
    <row r="1632">
      <c r="A1632" s="125" t="s">
        <v>475</v>
      </c>
      <c r="B1632" s="125" t="s">
        <v>570</v>
      </c>
      <c r="C1632" s="125" t="s">
        <v>471</v>
      </c>
      <c r="D1632" s="125" t="s">
        <v>454</v>
      </c>
      <c r="E1632" s="125" t="s">
        <v>189</v>
      </c>
      <c r="F1632" s="126">
        <v>42049.0</v>
      </c>
      <c r="G1632" s="127">
        <v>1.3E8</v>
      </c>
      <c r="H1632" s="126">
        <v>42079.0</v>
      </c>
      <c r="I1632" s="128">
        <v>4553.0</v>
      </c>
      <c r="J1632" s="128">
        <v>109.28</v>
      </c>
      <c r="K1632" s="128">
        <v>35.84</v>
      </c>
      <c r="L1632" s="128">
        <v>497551.8</v>
      </c>
      <c r="M1632" s="128">
        <v>163179.5</v>
      </c>
      <c r="N1632" s="128">
        <v>334372.3</v>
      </c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</row>
    <row r="1633">
      <c r="A1633" s="125" t="s">
        <v>469</v>
      </c>
      <c r="B1633" s="125" t="s">
        <v>650</v>
      </c>
      <c r="C1633" s="125" t="s">
        <v>494</v>
      </c>
      <c r="D1633" s="125" t="s">
        <v>454</v>
      </c>
      <c r="E1633" s="125" t="s">
        <v>189</v>
      </c>
      <c r="F1633" s="126">
        <v>41737.0</v>
      </c>
      <c r="G1633" s="127">
        <v>7.39E8</v>
      </c>
      <c r="H1633" s="126">
        <v>41739.0</v>
      </c>
      <c r="I1633" s="128">
        <v>1364.0</v>
      </c>
      <c r="J1633" s="128">
        <v>9.33</v>
      </c>
      <c r="K1633" s="128">
        <v>6.92</v>
      </c>
      <c r="L1633" s="128">
        <v>12726.12</v>
      </c>
      <c r="M1633" s="128">
        <v>9438.88</v>
      </c>
      <c r="N1633" s="128">
        <v>3287.24</v>
      </c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</row>
    <row r="1634">
      <c r="A1634" s="125" t="s">
        <v>466</v>
      </c>
      <c r="B1634" s="125" t="s">
        <v>477</v>
      </c>
      <c r="C1634" s="125" t="s">
        <v>471</v>
      </c>
      <c r="D1634" s="125" t="s">
        <v>454</v>
      </c>
      <c r="E1634" s="125" t="s">
        <v>189</v>
      </c>
      <c r="F1634" s="126">
        <v>41194.0</v>
      </c>
      <c r="G1634" s="127">
        <v>4.63E8</v>
      </c>
      <c r="H1634" s="126">
        <v>41202.0</v>
      </c>
      <c r="I1634" s="128">
        <v>7435.0</v>
      </c>
      <c r="J1634" s="128">
        <v>109.28</v>
      </c>
      <c r="K1634" s="128">
        <v>35.84</v>
      </c>
      <c r="L1634" s="128">
        <v>812496.8</v>
      </c>
      <c r="M1634" s="128">
        <v>266470.4</v>
      </c>
      <c r="N1634" s="128">
        <v>546026.4</v>
      </c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</row>
    <row r="1635">
      <c r="A1635" s="125" t="s">
        <v>461</v>
      </c>
      <c r="B1635" s="125" t="s">
        <v>564</v>
      </c>
      <c r="C1635" s="125" t="s">
        <v>453</v>
      </c>
      <c r="D1635" s="125" t="s">
        <v>454</v>
      </c>
      <c r="E1635" s="125" t="s">
        <v>284</v>
      </c>
      <c r="F1635" s="126">
        <v>40394.0</v>
      </c>
      <c r="G1635" s="127">
        <v>6.76E8</v>
      </c>
      <c r="H1635" s="126">
        <v>40436.0</v>
      </c>
      <c r="I1635" s="128">
        <v>268.0</v>
      </c>
      <c r="J1635" s="128">
        <v>255.28</v>
      </c>
      <c r="K1635" s="128">
        <v>159.42</v>
      </c>
      <c r="L1635" s="128">
        <v>68415.04</v>
      </c>
      <c r="M1635" s="128">
        <v>42724.56</v>
      </c>
      <c r="N1635" s="128">
        <v>25690.48</v>
      </c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</row>
    <row r="1636">
      <c r="A1636" s="125" t="s">
        <v>475</v>
      </c>
      <c r="B1636" s="125" t="s">
        <v>575</v>
      </c>
      <c r="C1636" s="125" t="s">
        <v>453</v>
      </c>
      <c r="D1636" s="125" t="s">
        <v>457</v>
      </c>
      <c r="E1636" s="125" t="s">
        <v>464</v>
      </c>
      <c r="F1636" s="126">
        <v>42468.0</v>
      </c>
      <c r="G1636" s="127">
        <v>5.74E8</v>
      </c>
      <c r="H1636" s="126">
        <v>42481.0</v>
      </c>
      <c r="I1636" s="128">
        <v>9402.0</v>
      </c>
      <c r="J1636" s="128">
        <v>255.28</v>
      </c>
      <c r="K1636" s="128">
        <v>159.42</v>
      </c>
      <c r="L1636" s="128">
        <v>2400143.0</v>
      </c>
      <c r="M1636" s="128">
        <v>1498867.0</v>
      </c>
      <c r="N1636" s="128">
        <v>901275.7</v>
      </c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</row>
    <row r="1637">
      <c r="A1637" s="125" t="s">
        <v>475</v>
      </c>
      <c r="B1637" s="125" t="s">
        <v>565</v>
      </c>
      <c r="C1637" s="125" t="s">
        <v>478</v>
      </c>
      <c r="D1637" s="125" t="s">
        <v>457</v>
      </c>
      <c r="E1637" s="125" t="s">
        <v>284</v>
      </c>
      <c r="F1637" s="126">
        <v>41251.0</v>
      </c>
      <c r="G1637" s="127">
        <v>3.22E8</v>
      </c>
      <c r="H1637" s="126">
        <v>41271.0</v>
      </c>
      <c r="I1637" s="128">
        <v>1402.0</v>
      </c>
      <c r="J1637" s="128">
        <v>651.21</v>
      </c>
      <c r="K1637" s="128">
        <v>524.96</v>
      </c>
      <c r="L1637" s="128">
        <v>912996.4</v>
      </c>
      <c r="M1637" s="128">
        <v>735993.9</v>
      </c>
      <c r="N1637" s="128">
        <v>177002.5</v>
      </c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</row>
    <row r="1638">
      <c r="A1638" s="125" t="s">
        <v>469</v>
      </c>
      <c r="B1638" s="125" t="s">
        <v>530</v>
      </c>
      <c r="C1638" s="125" t="s">
        <v>480</v>
      </c>
      <c r="D1638" s="125" t="s">
        <v>454</v>
      </c>
      <c r="E1638" s="125" t="s">
        <v>472</v>
      </c>
      <c r="F1638" s="126">
        <v>42035.0</v>
      </c>
      <c r="G1638" s="127">
        <v>6.07E8</v>
      </c>
      <c r="H1638" s="126">
        <v>42058.0</v>
      </c>
      <c r="I1638" s="128">
        <v>4868.0</v>
      </c>
      <c r="J1638" s="128">
        <v>437.2</v>
      </c>
      <c r="K1638" s="128">
        <v>263.33</v>
      </c>
      <c r="L1638" s="128">
        <v>2128290.0</v>
      </c>
      <c r="M1638" s="128">
        <v>1281890.0</v>
      </c>
      <c r="N1638" s="128">
        <v>846399.2</v>
      </c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</row>
    <row r="1639">
      <c r="A1639" s="125" t="s">
        <v>469</v>
      </c>
      <c r="B1639" s="125" t="s">
        <v>632</v>
      </c>
      <c r="C1639" s="125" t="s">
        <v>468</v>
      </c>
      <c r="D1639" s="125" t="s">
        <v>454</v>
      </c>
      <c r="E1639" s="125" t="s">
        <v>464</v>
      </c>
      <c r="F1639" s="126">
        <v>40817.0</v>
      </c>
      <c r="G1639" s="127">
        <v>3.85E8</v>
      </c>
      <c r="H1639" s="126">
        <v>40837.0</v>
      </c>
      <c r="I1639" s="128">
        <v>5429.0</v>
      </c>
      <c r="J1639" s="128">
        <v>81.73</v>
      </c>
      <c r="K1639" s="128">
        <v>56.67</v>
      </c>
      <c r="L1639" s="128">
        <v>443712.2</v>
      </c>
      <c r="M1639" s="128">
        <v>307661.4</v>
      </c>
      <c r="N1639" s="128">
        <v>136050.7</v>
      </c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</row>
    <row r="1640">
      <c r="A1640" s="125" t="s">
        <v>451</v>
      </c>
      <c r="B1640" s="125" t="s">
        <v>499</v>
      </c>
      <c r="C1640" s="125" t="s">
        <v>468</v>
      </c>
      <c r="D1640" s="125" t="s">
        <v>457</v>
      </c>
      <c r="E1640" s="125" t="s">
        <v>189</v>
      </c>
      <c r="F1640" s="126">
        <v>42282.0</v>
      </c>
      <c r="G1640" s="127">
        <v>9.32E8</v>
      </c>
      <c r="H1640" s="126">
        <v>42306.0</v>
      </c>
      <c r="I1640" s="128">
        <v>747.0</v>
      </c>
      <c r="J1640" s="128">
        <v>81.73</v>
      </c>
      <c r="K1640" s="128">
        <v>56.67</v>
      </c>
      <c r="L1640" s="128">
        <v>61052.31</v>
      </c>
      <c r="M1640" s="128">
        <v>42332.49</v>
      </c>
      <c r="N1640" s="128">
        <v>18719.82</v>
      </c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</row>
    <row r="1641">
      <c r="A1641" s="125" t="s">
        <v>466</v>
      </c>
      <c r="B1641" s="125" t="s">
        <v>531</v>
      </c>
      <c r="C1641" s="125" t="s">
        <v>494</v>
      </c>
      <c r="D1641" s="125" t="s">
        <v>454</v>
      </c>
      <c r="E1641" s="125" t="s">
        <v>472</v>
      </c>
      <c r="F1641" s="126">
        <v>41825.0</v>
      </c>
      <c r="G1641" s="127">
        <v>8.96E8</v>
      </c>
      <c r="H1641" s="126">
        <v>41861.0</v>
      </c>
      <c r="I1641" s="128">
        <v>5514.0</v>
      </c>
      <c r="J1641" s="128">
        <v>9.33</v>
      </c>
      <c r="K1641" s="128">
        <v>6.92</v>
      </c>
      <c r="L1641" s="128">
        <v>51445.62</v>
      </c>
      <c r="M1641" s="128">
        <v>38156.88</v>
      </c>
      <c r="N1641" s="128">
        <v>13288.74</v>
      </c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</row>
    <row r="1642">
      <c r="A1642" s="125" t="s">
        <v>475</v>
      </c>
      <c r="B1642" s="125" t="s">
        <v>562</v>
      </c>
      <c r="C1642" s="125" t="s">
        <v>506</v>
      </c>
      <c r="D1642" s="125" t="s">
        <v>457</v>
      </c>
      <c r="E1642" s="125" t="s">
        <v>284</v>
      </c>
      <c r="F1642" s="126">
        <v>40758.0</v>
      </c>
      <c r="G1642" s="127">
        <v>3.43E8</v>
      </c>
      <c r="H1642" s="126">
        <v>40777.0</v>
      </c>
      <c r="I1642" s="128">
        <v>6453.0</v>
      </c>
      <c r="J1642" s="128">
        <v>154.06</v>
      </c>
      <c r="K1642" s="128">
        <v>90.93</v>
      </c>
      <c r="L1642" s="128">
        <v>994149.2</v>
      </c>
      <c r="M1642" s="128">
        <v>586771.3</v>
      </c>
      <c r="N1642" s="128">
        <v>407377.9</v>
      </c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</row>
    <row r="1643">
      <c r="A1643" s="125" t="s">
        <v>475</v>
      </c>
      <c r="B1643" s="125" t="s">
        <v>500</v>
      </c>
      <c r="C1643" s="125" t="s">
        <v>460</v>
      </c>
      <c r="D1643" s="125" t="s">
        <v>454</v>
      </c>
      <c r="E1643" s="125" t="s">
        <v>189</v>
      </c>
      <c r="F1643" s="126">
        <v>42169.0</v>
      </c>
      <c r="G1643" s="127">
        <v>3.11E8</v>
      </c>
      <c r="H1643" s="126">
        <v>42194.0</v>
      </c>
      <c r="I1643" s="128">
        <v>7321.0</v>
      </c>
      <c r="J1643" s="128">
        <v>47.45</v>
      </c>
      <c r="K1643" s="128">
        <v>31.79</v>
      </c>
      <c r="L1643" s="128">
        <v>347381.5</v>
      </c>
      <c r="M1643" s="128">
        <v>232734.6</v>
      </c>
      <c r="N1643" s="128">
        <v>114646.9</v>
      </c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</row>
    <row r="1644">
      <c r="A1644" s="125" t="s">
        <v>451</v>
      </c>
      <c r="B1644" s="125" t="s">
        <v>483</v>
      </c>
      <c r="C1644" s="125" t="s">
        <v>485</v>
      </c>
      <c r="D1644" s="125" t="s">
        <v>454</v>
      </c>
      <c r="E1644" s="125" t="s">
        <v>464</v>
      </c>
      <c r="F1644" s="126">
        <v>41233.0</v>
      </c>
      <c r="G1644" s="127">
        <v>5.59E8</v>
      </c>
      <c r="H1644" s="126">
        <v>41252.0</v>
      </c>
      <c r="I1644" s="128">
        <v>3901.0</v>
      </c>
      <c r="J1644" s="128">
        <v>421.89</v>
      </c>
      <c r="K1644" s="128">
        <v>364.69</v>
      </c>
      <c r="L1644" s="128">
        <v>1645793.0</v>
      </c>
      <c r="M1644" s="128">
        <v>1422656.0</v>
      </c>
      <c r="N1644" s="128">
        <v>223137.2</v>
      </c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</row>
    <row r="1645">
      <c r="A1645" s="125" t="s">
        <v>466</v>
      </c>
      <c r="B1645" s="125" t="s">
        <v>492</v>
      </c>
      <c r="C1645" s="125" t="s">
        <v>460</v>
      </c>
      <c r="D1645" s="125" t="s">
        <v>457</v>
      </c>
      <c r="E1645" s="125" t="s">
        <v>284</v>
      </c>
      <c r="F1645" s="126">
        <v>40433.0</v>
      </c>
      <c r="G1645" s="127">
        <v>9.13E8</v>
      </c>
      <c r="H1645" s="126">
        <v>40439.0</v>
      </c>
      <c r="I1645" s="128">
        <v>9013.0</v>
      </c>
      <c r="J1645" s="128">
        <v>47.45</v>
      </c>
      <c r="K1645" s="128">
        <v>31.79</v>
      </c>
      <c r="L1645" s="128">
        <v>427666.9</v>
      </c>
      <c r="M1645" s="128">
        <v>286523.3</v>
      </c>
      <c r="N1645" s="128">
        <v>141143.6</v>
      </c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</row>
    <row r="1646">
      <c r="A1646" s="125" t="s">
        <v>469</v>
      </c>
      <c r="B1646" s="125" t="s">
        <v>503</v>
      </c>
      <c r="C1646" s="125" t="s">
        <v>514</v>
      </c>
      <c r="D1646" s="125" t="s">
        <v>454</v>
      </c>
      <c r="E1646" s="125" t="s">
        <v>464</v>
      </c>
      <c r="F1646" s="126">
        <v>42638.0</v>
      </c>
      <c r="G1646" s="127">
        <v>8.23E8</v>
      </c>
      <c r="H1646" s="126">
        <v>42640.0</v>
      </c>
      <c r="I1646" s="128">
        <v>7505.0</v>
      </c>
      <c r="J1646" s="128">
        <v>668.27</v>
      </c>
      <c r="K1646" s="128">
        <v>502.54</v>
      </c>
      <c r="L1646" s="128">
        <v>5015366.0</v>
      </c>
      <c r="M1646" s="128">
        <v>3771563.0</v>
      </c>
      <c r="N1646" s="128">
        <v>1243804.0</v>
      </c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</row>
    <row r="1647">
      <c r="A1647" s="125" t="s">
        <v>461</v>
      </c>
      <c r="B1647" s="125" t="s">
        <v>644</v>
      </c>
      <c r="C1647" s="125" t="s">
        <v>494</v>
      </c>
      <c r="D1647" s="125" t="s">
        <v>454</v>
      </c>
      <c r="E1647" s="125" t="s">
        <v>464</v>
      </c>
      <c r="F1647" s="126">
        <v>41426.0</v>
      </c>
      <c r="G1647" s="127">
        <v>7.08E8</v>
      </c>
      <c r="H1647" s="126">
        <v>41439.0</v>
      </c>
      <c r="I1647" s="128">
        <v>1256.0</v>
      </c>
      <c r="J1647" s="128">
        <v>9.33</v>
      </c>
      <c r="K1647" s="128">
        <v>6.92</v>
      </c>
      <c r="L1647" s="128">
        <v>11718.48</v>
      </c>
      <c r="M1647" s="128">
        <v>8691.52</v>
      </c>
      <c r="N1647" s="128">
        <v>3026.96</v>
      </c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</row>
    <row r="1648">
      <c r="A1648" s="125" t="s">
        <v>458</v>
      </c>
      <c r="B1648" s="125" t="s">
        <v>573</v>
      </c>
      <c r="C1648" s="125" t="s">
        <v>480</v>
      </c>
      <c r="D1648" s="125" t="s">
        <v>457</v>
      </c>
      <c r="E1648" s="125" t="s">
        <v>189</v>
      </c>
      <c r="F1648" s="126">
        <v>41828.0</v>
      </c>
      <c r="G1648" s="127">
        <v>6.06E8</v>
      </c>
      <c r="H1648" s="126">
        <v>41835.0</v>
      </c>
      <c r="I1648" s="128">
        <v>4177.0</v>
      </c>
      <c r="J1648" s="128">
        <v>437.2</v>
      </c>
      <c r="K1648" s="128">
        <v>263.33</v>
      </c>
      <c r="L1648" s="128">
        <v>1826184.0</v>
      </c>
      <c r="M1648" s="128">
        <v>1099929.0</v>
      </c>
      <c r="N1648" s="128">
        <v>726255.0</v>
      </c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</row>
    <row r="1649">
      <c r="A1649" s="125" t="s">
        <v>466</v>
      </c>
      <c r="B1649" s="125" t="s">
        <v>508</v>
      </c>
      <c r="C1649" s="125" t="s">
        <v>471</v>
      </c>
      <c r="D1649" s="125" t="s">
        <v>457</v>
      </c>
      <c r="E1649" s="125" t="s">
        <v>189</v>
      </c>
      <c r="F1649" s="126">
        <v>42348.0</v>
      </c>
      <c r="G1649" s="127">
        <v>6.27E8</v>
      </c>
      <c r="H1649" s="126">
        <v>42388.0</v>
      </c>
      <c r="I1649" s="128">
        <v>7212.0</v>
      </c>
      <c r="J1649" s="128">
        <v>109.28</v>
      </c>
      <c r="K1649" s="128">
        <v>35.84</v>
      </c>
      <c r="L1649" s="128">
        <v>788127.4</v>
      </c>
      <c r="M1649" s="128">
        <v>258478.1</v>
      </c>
      <c r="N1649" s="128">
        <v>529649.3</v>
      </c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</row>
    <row r="1650">
      <c r="A1650" s="125" t="s">
        <v>469</v>
      </c>
      <c r="B1650" s="125" t="s">
        <v>632</v>
      </c>
      <c r="C1650" s="125" t="s">
        <v>480</v>
      </c>
      <c r="D1650" s="125" t="s">
        <v>454</v>
      </c>
      <c r="E1650" s="125" t="s">
        <v>464</v>
      </c>
      <c r="F1650" s="126">
        <v>41882.0</v>
      </c>
      <c r="G1650" s="127">
        <v>5.01E8</v>
      </c>
      <c r="H1650" s="126">
        <v>41915.0</v>
      </c>
      <c r="I1650" s="128">
        <v>3334.0</v>
      </c>
      <c r="J1650" s="128">
        <v>437.2</v>
      </c>
      <c r="K1650" s="128">
        <v>263.33</v>
      </c>
      <c r="L1650" s="128">
        <v>1457625.0</v>
      </c>
      <c r="M1650" s="128">
        <v>877942.2</v>
      </c>
      <c r="N1650" s="128">
        <v>579682.6</v>
      </c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</row>
    <row r="1651">
      <c r="A1651" s="125" t="s">
        <v>461</v>
      </c>
      <c r="B1651" s="125" t="s">
        <v>462</v>
      </c>
      <c r="C1651" s="125" t="s">
        <v>456</v>
      </c>
      <c r="D1651" s="125" t="s">
        <v>457</v>
      </c>
      <c r="E1651" s="125" t="s">
        <v>189</v>
      </c>
      <c r="F1651" s="126">
        <v>41094.0</v>
      </c>
      <c r="G1651" s="127">
        <v>9.28E8</v>
      </c>
      <c r="H1651" s="126">
        <v>41138.0</v>
      </c>
      <c r="I1651" s="128">
        <v>2547.0</v>
      </c>
      <c r="J1651" s="128">
        <v>152.58</v>
      </c>
      <c r="K1651" s="128">
        <v>97.44</v>
      </c>
      <c r="L1651" s="128">
        <v>388621.3</v>
      </c>
      <c r="M1651" s="128">
        <v>248179.7</v>
      </c>
      <c r="N1651" s="128">
        <v>140441.6</v>
      </c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</row>
    <row r="1652">
      <c r="A1652" s="125" t="s">
        <v>461</v>
      </c>
      <c r="B1652" s="125" t="s">
        <v>525</v>
      </c>
      <c r="C1652" s="125" t="s">
        <v>514</v>
      </c>
      <c r="D1652" s="125" t="s">
        <v>454</v>
      </c>
      <c r="E1652" s="125" t="s">
        <v>284</v>
      </c>
      <c r="F1652" s="126">
        <v>41039.0</v>
      </c>
      <c r="G1652" s="127">
        <v>4.28E8</v>
      </c>
      <c r="H1652" s="126">
        <v>41084.0</v>
      </c>
      <c r="I1652" s="128">
        <v>6888.0</v>
      </c>
      <c r="J1652" s="128">
        <v>668.27</v>
      </c>
      <c r="K1652" s="128">
        <v>502.54</v>
      </c>
      <c r="L1652" s="128">
        <v>4603044.0</v>
      </c>
      <c r="M1652" s="128">
        <v>3461496.0</v>
      </c>
      <c r="N1652" s="128">
        <v>1141548.0</v>
      </c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</row>
    <row r="1653">
      <c r="A1653" s="125" t="s">
        <v>475</v>
      </c>
      <c r="B1653" s="125" t="s">
        <v>628</v>
      </c>
      <c r="C1653" s="125" t="s">
        <v>456</v>
      </c>
      <c r="D1653" s="125" t="s">
        <v>457</v>
      </c>
      <c r="E1653" s="125" t="s">
        <v>189</v>
      </c>
      <c r="F1653" s="126">
        <v>41779.0</v>
      </c>
      <c r="G1653" s="127">
        <v>2.92E8</v>
      </c>
      <c r="H1653" s="126">
        <v>41824.0</v>
      </c>
      <c r="I1653" s="128">
        <v>5423.0</v>
      </c>
      <c r="J1653" s="128">
        <v>152.58</v>
      </c>
      <c r="K1653" s="128">
        <v>97.44</v>
      </c>
      <c r="L1653" s="128">
        <v>827441.3</v>
      </c>
      <c r="M1653" s="128">
        <v>528417.1</v>
      </c>
      <c r="N1653" s="128">
        <v>299024.2</v>
      </c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</row>
    <row r="1654">
      <c r="A1654" s="125" t="s">
        <v>466</v>
      </c>
      <c r="B1654" s="125" t="s">
        <v>479</v>
      </c>
      <c r="C1654" s="125" t="s">
        <v>494</v>
      </c>
      <c r="D1654" s="125" t="s">
        <v>454</v>
      </c>
      <c r="E1654" s="125" t="s">
        <v>464</v>
      </c>
      <c r="F1654" s="126">
        <v>40996.0</v>
      </c>
      <c r="G1654" s="127">
        <v>5.31E8</v>
      </c>
      <c r="H1654" s="126">
        <v>41013.0</v>
      </c>
      <c r="I1654" s="128">
        <v>9253.0</v>
      </c>
      <c r="J1654" s="128">
        <v>9.33</v>
      </c>
      <c r="K1654" s="128">
        <v>6.92</v>
      </c>
      <c r="L1654" s="128">
        <v>86330.49</v>
      </c>
      <c r="M1654" s="128">
        <v>64030.76</v>
      </c>
      <c r="N1654" s="128">
        <v>22299.73</v>
      </c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</row>
    <row r="1655">
      <c r="A1655" s="125" t="s">
        <v>458</v>
      </c>
      <c r="B1655" s="125" t="s">
        <v>559</v>
      </c>
      <c r="C1655" s="125" t="s">
        <v>471</v>
      </c>
      <c r="D1655" s="125" t="s">
        <v>454</v>
      </c>
      <c r="E1655" s="125" t="s">
        <v>472</v>
      </c>
      <c r="F1655" s="126">
        <v>40914.0</v>
      </c>
      <c r="G1655" s="127">
        <v>3.25E8</v>
      </c>
      <c r="H1655" s="126">
        <v>40938.0</v>
      </c>
      <c r="I1655" s="128">
        <v>6506.0</v>
      </c>
      <c r="J1655" s="128">
        <v>109.28</v>
      </c>
      <c r="K1655" s="128">
        <v>35.84</v>
      </c>
      <c r="L1655" s="128">
        <v>710975.7</v>
      </c>
      <c r="M1655" s="128">
        <v>233175.0</v>
      </c>
      <c r="N1655" s="128">
        <v>477800.6</v>
      </c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</row>
    <row r="1656">
      <c r="A1656" s="125" t="s">
        <v>466</v>
      </c>
      <c r="B1656" s="125" t="s">
        <v>524</v>
      </c>
      <c r="C1656" s="125" t="s">
        <v>494</v>
      </c>
      <c r="D1656" s="125" t="s">
        <v>454</v>
      </c>
      <c r="E1656" s="125" t="s">
        <v>284</v>
      </c>
      <c r="F1656" s="126">
        <v>41375.0</v>
      </c>
      <c r="G1656" s="127">
        <v>2.78E8</v>
      </c>
      <c r="H1656" s="126">
        <v>41415.0</v>
      </c>
      <c r="I1656" s="128">
        <v>7344.0</v>
      </c>
      <c r="J1656" s="128">
        <v>9.33</v>
      </c>
      <c r="K1656" s="128">
        <v>6.92</v>
      </c>
      <c r="L1656" s="128">
        <v>68519.52</v>
      </c>
      <c r="M1656" s="128">
        <v>50820.48</v>
      </c>
      <c r="N1656" s="128">
        <v>17699.04</v>
      </c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</row>
    <row r="1657">
      <c r="A1657" s="125" t="s">
        <v>458</v>
      </c>
      <c r="B1657" s="125" t="s">
        <v>582</v>
      </c>
      <c r="C1657" s="125" t="s">
        <v>485</v>
      </c>
      <c r="D1657" s="125" t="s">
        <v>457</v>
      </c>
      <c r="E1657" s="125" t="s">
        <v>189</v>
      </c>
      <c r="F1657" s="126">
        <v>41232.0</v>
      </c>
      <c r="G1657" s="127">
        <v>1.6E8</v>
      </c>
      <c r="H1657" s="126">
        <v>41260.0</v>
      </c>
      <c r="I1657" s="128">
        <v>8959.0</v>
      </c>
      <c r="J1657" s="128">
        <v>421.89</v>
      </c>
      <c r="K1657" s="128">
        <v>364.69</v>
      </c>
      <c r="L1657" s="128">
        <v>3779713.0</v>
      </c>
      <c r="M1657" s="128">
        <v>3267258.0</v>
      </c>
      <c r="N1657" s="128">
        <v>512454.8</v>
      </c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</row>
    <row r="1658">
      <c r="A1658" s="125" t="s">
        <v>461</v>
      </c>
      <c r="B1658" s="125" t="s">
        <v>621</v>
      </c>
      <c r="C1658" s="125" t="s">
        <v>460</v>
      </c>
      <c r="D1658" s="125" t="s">
        <v>454</v>
      </c>
      <c r="E1658" s="125" t="s">
        <v>464</v>
      </c>
      <c r="F1658" s="126">
        <v>42489.0</v>
      </c>
      <c r="G1658" s="127">
        <v>2.64E8</v>
      </c>
      <c r="H1658" s="126">
        <v>42502.0</v>
      </c>
      <c r="I1658" s="128">
        <v>575.0</v>
      </c>
      <c r="J1658" s="128">
        <v>47.45</v>
      </c>
      <c r="K1658" s="128">
        <v>31.79</v>
      </c>
      <c r="L1658" s="128">
        <v>27283.75</v>
      </c>
      <c r="M1658" s="128">
        <v>18279.25</v>
      </c>
      <c r="N1658" s="128">
        <v>9004.5</v>
      </c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</row>
    <row r="1659">
      <c r="A1659" s="125" t="s">
        <v>466</v>
      </c>
      <c r="B1659" s="125" t="s">
        <v>584</v>
      </c>
      <c r="C1659" s="125" t="s">
        <v>478</v>
      </c>
      <c r="D1659" s="125" t="s">
        <v>457</v>
      </c>
      <c r="E1659" s="125" t="s">
        <v>464</v>
      </c>
      <c r="F1659" s="126">
        <v>40626.0</v>
      </c>
      <c r="G1659" s="127">
        <v>9.52E8</v>
      </c>
      <c r="H1659" s="126">
        <v>40638.0</v>
      </c>
      <c r="I1659" s="128">
        <v>8447.0</v>
      </c>
      <c r="J1659" s="128">
        <v>651.21</v>
      </c>
      <c r="K1659" s="128">
        <v>524.96</v>
      </c>
      <c r="L1659" s="128">
        <v>5500771.0</v>
      </c>
      <c r="M1659" s="128">
        <v>4434337.0</v>
      </c>
      <c r="N1659" s="128">
        <v>1066434.0</v>
      </c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</row>
    <row r="1660">
      <c r="A1660" s="125" t="s">
        <v>466</v>
      </c>
      <c r="B1660" s="125" t="s">
        <v>502</v>
      </c>
      <c r="C1660" s="125" t="s">
        <v>480</v>
      </c>
      <c r="D1660" s="125" t="s">
        <v>457</v>
      </c>
      <c r="E1660" s="125" t="s">
        <v>464</v>
      </c>
      <c r="F1660" s="126">
        <v>42576.0</v>
      </c>
      <c r="G1660" s="127">
        <v>4.08E8</v>
      </c>
      <c r="H1660" s="126">
        <v>42577.0</v>
      </c>
      <c r="I1660" s="128">
        <v>860.0</v>
      </c>
      <c r="J1660" s="128">
        <v>437.2</v>
      </c>
      <c r="K1660" s="128">
        <v>263.33</v>
      </c>
      <c r="L1660" s="128">
        <v>375992.0</v>
      </c>
      <c r="M1660" s="128">
        <v>226463.8</v>
      </c>
      <c r="N1660" s="128">
        <v>149528.2</v>
      </c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</row>
    <row r="1661">
      <c r="A1661" s="125" t="s">
        <v>466</v>
      </c>
      <c r="B1661" s="125" t="s">
        <v>477</v>
      </c>
      <c r="C1661" s="125" t="s">
        <v>456</v>
      </c>
      <c r="D1661" s="125" t="s">
        <v>454</v>
      </c>
      <c r="E1661" s="125" t="s">
        <v>472</v>
      </c>
      <c r="F1661" s="126">
        <v>40448.0</v>
      </c>
      <c r="G1661" s="127">
        <v>4.84E8</v>
      </c>
      <c r="H1661" s="126">
        <v>40496.0</v>
      </c>
      <c r="I1661" s="128">
        <v>3133.0</v>
      </c>
      <c r="J1661" s="128">
        <v>152.58</v>
      </c>
      <c r="K1661" s="128">
        <v>97.44</v>
      </c>
      <c r="L1661" s="128">
        <v>478033.1</v>
      </c>
      <c r="M1661" s="128">
        <v>305279.5</v>
      </c>
      <c r="N1661" s="128">
        <v>172753.6</v>
      </c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</row>
    <row r="1662">
      <c r="A1662" s="125" t="s">
        <v>461</v>
      </c>
      <c r="B1662" s="125" t="s">
        <v>564</v>
      </c>
      <c r="C1662" s="125" t="s">
        <v>468</v>
      </c>
      <c r="D1662" s="125" t="s">
        <v>454</v>
      </c>
      <c r="E1662" s="125" t="s">
        <v>284</v>
      </c>
      <c r="F1662" s="126">
        <v>40568.0</v>
      </c>
      <c r="G1662" s="127">
        <v>8.54E8</v>
      </c>
      <c r="H1662" s="126">
        <v>40597.0</v>
      </c>
      <c r="I1662" s="128">
        <v>2613.0</v>
      </c>
      <c r="J1662" s="128">
        <v>81.73</v>
      </c>
      <c r="K1662" s="128">
        <v>56.67</v>
      </c>
      <c r="L1662" s="128">
        <v>213560.5</v>
      </c>
      <c r="M1662" s="128">
        <v>148078.7</v>
      </c>
      <c r="N1662" s="128">
        <v>65481.78</v>
      </c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</row>
    <row r="1663">
      <c r="A1663" s="125" t="s">
        <v>466</v>
      </c>
      <c r="B1663" s="125" t="s">
        <v>637</v>
      </c>
      <c r="C1663" s="125" t="s">
        <v>456</v>
      </c>
      <c r="D1663" s="125" t="s">
        <v>454</v>
      </c>
      <c r="E1663" s="125" t="s">
        <v>284</v>
      </c>
      <c r="F1663" s="126">
        <v>42738.0</v>
      </c>
      <c r="G1663" s="127">
        <v>3.62E8</v>
      </c>
      <c r="H1663" s="126">
        <v>42753.0</v>
      </c>
      <c r="I1663" s="128">
        <v>3681.0</v>
      </c>
      <c r="J1663" s="128">
        <v>152.58</v>
      </c>
      <c r="K1663" s="128">
        <v>97.44</v>
      </c>
      <c r="L1663" s="128">
        <v>561647.0</v>
      </c>
      <c r="M1663" s="128">
        <v>358676.6</v>
      </c>
      <c r="N1663" s="128">
        <v>202970.3</v>
      </c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</row>
    <row r="1664">
      <c r="A1664" s="125" t="s">
        <v>488</v>
      </c>
      <c r="B1664" s="125" t="s">
        <v>577</v>
      </c>
      <c r="C1664" s="125" t="s">
        <v>514</v>
      </c>
      <c r="D1664" s="125" t="s">
        <v>457</v>
      </c>
      <c r="E1664" s="125" t="s">
        <v>472</v>
      </c>
      <c r="F1664" s="126">
        <v>41617.0</v>
      </c>
      <c r="G1664" s="127">
        <v>1.72E8</v>
      </c>
      <c r="H1664" s="126">
        <v>41653.0</v>
      </c>
      <c r="I1664" s="128">
        <v>2747.0</v>
      </c>
      <c r="J1664" s="128">
        <v>668.27</v>
      </c>
      <c r="K1664" s="128">
        <v>502.54</v>
      </c>
      <c r="L1664" s="128">
        <v>1835738.0</v>
      </c>
      <c r="M1664" s="128">
        <v>1380477.0</v>
      </c>
      <c r="N1664" s="128">
        <v>455260.3</v>
      </c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</row>
    <row r="1665">
      <c r="A1665" s="125" t="s">
        <v>475</v>
      </c>
      <c r="B1665" s="125" t="s">
        <v>648</v>
      </c>
      <c r="C1665" s="125" t="s">
        <v>480</v>
      </c>
      <c r="D1665" s="125" t="s">
        <v>457</v>
      </c>
      <c r="E1665" s="125" t="s">
        <v>464</v>
      </c>
      <c r="F1665" s="126">
        <v>41933.0</v>
      </c>
      <c r="G1665" s="127">
        <v>6.18E8</v>
      </c>
      <c r="H1665" s="126">
        <v>41944.0</v>
      </c>
      <c r="I1665" s="128">
        <v>3255.0</v>
      </c>
      <c r="J1665" s="128">
        <v>437.2</v>
      </c>
      <c r="K1665" s="128">
        <v>263.33</v>
      </c>
      <c r="L1665" s="128">
        <v>1423086.0</v>
      </c>
      <c r="M1665" s="128">
        <v>857139.2</v>
      </c>
      <c r="N1665" s="128">
        <v>565946.9</v>
      </c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</row>
    <row r="1666">
      <c r="A1666" s="125" t="s">
        <v>451</v>
      </c>
      <c r="B1666" s="125" t="s">
        <v>608</v>
      </c>
      <c r="C1666" s="125" t="s">
        <v>478</v>
      </c>
      <c r="D1666" s="125" t="s">
        <v>454</v>
      </c>
      <c r="E1666" s="125" t="s">
        <v>189</v>
      </c>
      <c r="F1666" s="126">
        <v>40506.0</v>
      </c>
      <c r="G1666" s="127">
        <v>7.55E8</v>
      </c>
      <c r="H1666" s="126">
        <v>40528.0</v>
      </c>
      <c r="I1666" s="128">
        <v>678.0</v>
      </c>
      <c r="J1666" s="128">
        <v>651.21</v>
      </c>
      <c r="K1666" s="128">
        <v>524.96</v>
      </c>
      <c r="L1666" s="128">
        <v>441520.4</v>
      </c>
      <c r="M1666" s="128">
        <v>355922.9</v>
      </c>
      <c r="N1666" s="128">
        <v>85597.5</v>
      </c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</row>
    <row r="1667">
      <c r="A1667" s="125" t="s">
        <v>488</v>
      </c>
      <c r="B1667" s="125" t="s">
        <v>489</v>
      </c>
      <c r="C1667" s="125" t="s">
        <v>478</v>
      </c>
      <c r="D1667" s="125" t="s">
        <v>457</v>
      </c>
      <c r="E1667" s="125" t="s">
        <v>284</v>
      </c>
      <c r="F1667" s="126">
        <v>41458.0</v>
      </c>
      <c r="G1667" s="127">
        <v>6.08E8</v>
      </c>
      <c r="H1667" s="126">
        <v>41500.0</v>
      </c>
      <c r="I1667" s="128">
        <v>7521.0</v>
      </c>
      <c r="J1667" s="128">
        <v>651.21</v>
      </c>
      <c r="K1667" s="128">
        <v>524.96</v>
      </c>
      <c r="L1667" s="128">
        <v>4897750.0</v>
      </c>
      <c r="M1667" s="128">
        <v>3948224.0</v>
      </c>
      <c r="N1667" s="128">
        <v>949526.3</v>
      </c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</row>
    <row r="1668">
      <c r="A1668" s="125" t="s">
        <v>458</v>
      </c>
      <c r="B1668" s="125" t="s">
        <v>509</v>
      </c>
      <c r="C1668" s="125" t="s">
        <v>456</v>
      </c>
      <c r="D1668" s="125" t="s">
        <v>454</v>
      </c>
      <c r="E1668" s="125" t="s">
        <v>472</v>
      </c>
      <c r="F1668" s="126">
        <v>41005.0</v>
      </c>
      <c r="G1668" s="127">
        <v>7.22E8</v>
      </c>
      <c r="H1668" s="126">
        <v>41007.0</v>
      </c>
      <c r="I1668" s="128">
        <v>8319.0</v>
      </c>
      <c r="J1668" s="128">
        <v>152.58</v>
      </c>
      <c r="K1668" s="128">
        <v>97.44</v>
      </c>
      <c r="L1668" s="128">
        <v>1269313.0</v>
      </c>
      <c r="M1668" s="128">
        <v>810603.4</v>
      </c>
      <c r="N1668" s="128">
        <v>458709.7</v>
      </c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</row>
    <row r="1669">
      <c r="A1669" s="125" t="s">
        <v>451</v>
      </c>
      <c r="B1669" s="125" t="s">
        <v>609</v>
      </c>
      <c r="C1669" s="125" t="s">
        <v>471</v>
      </c>
      <c r="D1669" s="125" t="s">
        <v>454</v>
      </c>
      <c r="E1669" s="125" t="s">
        <v>284</v>
      </c>
      <c r="F1669" s="126">
        <v>42663.0</v>
      </c>
      <c r="G1669" s="127">
        <v>8.14E8</v>
      </c>
      <c r="H1669" s="126">
        <v>42690.0</v>
      </c>
      <c r="I1669" s="128">
        <v>4640.0</v>
      </c>
      <c r="J1669" s="128">
        <v>109.28</v>
      </c>
      <c r="K1669" s="128">
        <v>35.84</v>
      </c>
      <c r="L1669" s="128">
        <v>507059.2</v>
      </c>
      <c r="M1669" s="128">
        <v>166297.6</v>
      </c>
      <c r="N1669" s="128">
        <v>340761.6</v>
      </c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</row>
    <row r="1670">
      <c r="A1670" s="125" t="s">
        <v>475</v>
      </c>
      <c r="B1670" s="125" t="s">
        <v>623</v>
      </c>
      <c r="C1670" s="125" t="s">
        <v>468</v>
      </c>
      <c r="D1670" s="125" t="s">
        <v>454</v>
      </c>
      <c r="E1670" s="125" t="s">
        <v>472</v>
      </c>
      <c r="F1670" s="126">
        <v>42044.0</v>
      </c>
      <c r="G1670" s="127">
        <v>2.19E8</v>
      </c>
      <c r="H1670" s="126">
        <v>42045.0</v>
      </c>
      <c r="I1670" s="128">
        <v>84.0</v>
      </c>
      <c r="J1670" s="128">
        <v>81.73</v>
      </c>
      <c r="K1670" s="128">
        <v>56.67</v>
      </c>
      <c r="L1670" s="128">
        <v>6865.32</v>
      </c>
      <c r="M1670" s="128">
        <v>4760.28</v>
      </c>
      <c r="N1670" s="128">
        <v>2105.04</v>
      </c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</row>
    <row r="1671">
      <c r="A1671" s="125" t="s">
        <v>475</v>
      </c>
      <c r="B1671" s="125" t="s">
        <v>500</v>
      </c>
      <c r="C1671" s="125" t="s">
        <v>494</v>
      </c>
      <c r="D1671" s="125" t="s">
        <v>457</v>
      </c>
      <c r="E1671" s="125" t="s">
        <v>284</v>
      </c>
      <c r="F1671" s="126">
        <v>42059.0</v>
      </c>
      <c r="G1671" s="127">
        <v>1.43E8</v>
      </c>
      <c r="H1671" s="126">
        <v>42108.0</v>
      </c>
      <c r="I1671" s="128">
        <v>5279.0</v>
      </c>
      <c r="J1671" s="128">
        <v>9.33</v>
      </c>
      <c r="K1671" s="128">
        <v>6.92</v>
      </c>
      <c r="L1671" s="128">
        <v>49253.07</v>
      </c>
      <c r="M1671" s="128">
        <v>36530.68</v>
      </c>
      <c r="N1671" s="128">
        <v>12722.39</v>
      </c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</row>
    <row r="1672">
      <c r="A1672" s="125" t="s">
        <v>488</v>
      </c>
      <c r="B1672" s="125" t="s">
        <v>489</v>
      </c>
      <c r="C1672" s="125" t="s">
        <v>453</v>
      </c>
      <c r="D1672" s="125" t="s">
        <v>454</v>
      </c>
      <c r="E1672" s="125" t="s">
        <v>284</v>
      </c>
      <c r="F1672" s="126">
        <v>40479.0</v>
      </c>
      <c r="G1672" s="127">
        <v>5.13E8</v>
      </c>
      <c r="H1672" s="126">
        <v>40486.0</v>
      </c>
      <c r="I1672" s="128">
        <v>2887.0</v>
      </c>
      <c r="J1672" s="128">
        <v>255.28</v>
      </c>
      <c r="K1672" s="128">
        <v>159.42</v>
      </c>
      <c r="L1672" s="128">
        <v>736993.4</v>
      </c>
      <c r="M1672" s="128">
        <v>460245.5</v>
      </c>
      <c r="N1672" s="128">
        <v>276747.8</v>
      </c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</row>
    <row r="1673">
      <c r="A1673" s="125" t="s">
        <v>469</v>
      </c>
      <c r="B1673" s="125" t="s">
        <v>503</v>
      </c>
      <c r="C1673" s="125" t="s">
        <v>514</v>
      </c>
      <c r="D1673" s="125" t="s">
        <v>457</v>
      </c>
      <c r="E1673" s="125" t="s">
        <v>472</v>
      </c>
      <c r="F1673" s="126">
        <v>42378.0</v>
      </c>
      <c r="G1673" s="127">
        <v>4.26E8</v>
      </c>
      <c r="H1673" s="126">
        <v>42380.0</v>
      </c>
      <c r="I1673" s="128">
        <v>2600.0</v>
      </c>
      <c r="J1673" s="128">
        <v>668.27</v>
      </c>
      <c r="K1673" s="128">
        <v>502.54</v>
      </c>
      <c r="L1673" s="128">
        <v>1737502.0</v>
      </c>
      <c r="M1673" s="128">
        <v>1306604.0</v>
      </c>
      <c r="N1673" s="128">
        <v>430898.0</v>
      </c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</row>
    <row r="1674">
      <c r="A1674" s="125" t="s">
        <v>458</v>
      </c>
      <c r="B1674" s="125" t="s">
        <v>606</v>
      </c>
      <c r="C1674" s="125" t="s">
        <v>506</v>
      </c>
      <c r="D1674" s="125" t="s">
        <v>454</v>
      </c>
      <c r="E1674" s="125" t="s">
        <v>472</v>
      </c>
      <c r="F1674" s="126">
        <v>42156.0</v>
      </c>
      <c r="G1674" s="127">
        <v>3.99E8</v>
      </c>
      <c r="H1674" s="126">
        <v>42179.0</v>
      </c>
      <c r="I1674" s="128">
        <v>6142.0</v>
      </c>
      <c r="J1674" s="128">
        <v>154.06</v>
      </c>
      <c r="K1674" s="128">
        <v>90.93</v>
      </c>
      <c r="L1674" s="128">
        <v>946236.5</v>
      </c>
      <c r="M1674" s="128">
        <v>558492.1</v>
      </c>
      <c r="N1674" s="128">
        <v>387744.5</v>
      </c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</row>
    <row r="1675">
      <c r="A1675" s="125" t="s">
        <v>466</v>
      </c>
      <c r="B1675" s="125" t="s">
        <v>625</v>
      </c>
      <c r="C1675" s="125" t="s">
        <v>468</v>
      </c>
      <c r="D1675" s="125" t="s">
        <v>454</v>
      </c>
      <c r="E1675" s="125" t="s">
        <v>464</v>
      </c>
      <c r="F1675" s="126">
        <v>41515.0</v>
      </c>
      <c r="G1675" s="127">
        <v>1.2E8</v>
      </c>
      <c r="H1675" s="126">
        <v>41560.0</v>
      </c>
      <c r="I1675" s="128">
        <v>2268.0</v>
      </c>
      <c r="J1675" s="128">
        <v>81.73</v>
      </c>
      <c r="K1675" s="128">
        <v>56.67</v>
      </c>
      <c r="L1675" s="128">
        <v>185363.6</v>
      </c>
      <c r="M1675" s="128">
        <v>128527.6</v>
      </c>
      <c r="N1675" s="128">
        <v>56836.08</v>
      </c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</row>
    <row r="1676">
      <c r="A1676" s="125" t="s">
        <v>461</v>
      </c>
      <c r="B1676" s="125" t="s">
        <v>525</v>
      </c>
      <c r="C1676" s="125" t="s">
        <v>478</v>
      </c>
      <c r="D1676" s="125" t="s">
        <v>457</v>
      </c>
      <c r="E1676" s="125" t="s">
        <v>464</v>
      </c>
      <c r="F1676" s="126">
        <v>42547.0</v>
      </c>
      <c r="G1676" s="127">
        <v>6.97E8</v>
      </c>
      <c r="H1676" s="126">
        <v>42556.0</v>
      </c>
      <c r="I1676" s="128">
        <v>1764.0</v>
      </c>
      <c r="J1676" s="128">
        <v>651.21</v>
      </c>
      <c r="K1676" s="128">
        <v>524.96</v>
      </c>
      <c r="L1676" s="128">
        <v>1148734.0</v>
      </c>
      <c r="M1676" s="128">
        <v>926029.4</v>
      </c>
      <c r="N1676" s="128">
        <v>222705.0</v>
      </c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</row>
    <row r="1677">
      <c r="A1677" s="125" t="s">
        <v>466</v>
      </c>
      <c r="B1677" s="125" t="s">
        <v>535</v>
      </c>
      <c r="C1677" s="125" t="s">
        <v>480</v>
      </c>
      <c r="D1677" s="125" t="s">
        <v>457</v>
      </c>
      <c r="E1677" s="125" t="s">
        <v>189</v>
      </c>
      <c r="F1677" s="126">
        <v>40819.0</v>
      </c>
      <c r="G1677" s="127">
        <v>6.07E8</v>
      </c>
      <c r="H1677" s="126">
        <v>40865.0</v>
      </c>
      <c r="I1677" s="128">
        <v>2447.0</v>
      </c>
      <c r="J1677" s="128">
        <v>437.2</v>
      </c>
      <c r="K1677" s="128">
        <v>263.33</v>
      </c>
      <c r="L1677" s="128">
        <v>1069828.0</v>
      </c>
      <c r="M1677" s="128">
        <v>644368.5</v>
      </c>
      <c r="N1677" s="128">
        <v>425459.9</v>
      </c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</row>
    <row r="1678">
      <c r="A1678" s="125" t="s">
        <v>475</v>
      </c>
      <c r="B1678" s="125" t="s">
        <v>624</v>
      </c>
      <c r="C1678" s="125" t="s">
        <v>460</v>
      </c>
      <c r="D1678" s="125" t="s">
        <v>454</v>
      </c>
      <c r="E1678" s="125" t="s">
        <v>189</v>
      </c>
      <c r="F1678" s="126">
        <v>40583.0</v>
      </c>
      <c r="G1678" s="127">
        <v>6.49E8</v>
      </c>
      <c r="H1678" s="126">
        <v>40628.0</v>
      </c>
      <c r="I1678" s="128">
        <v>4166.0</v>
      </c>
      <c r="J1678" s="128">
        <v>47.45</v>
      </c>
      <c r="K1678" s="128">
        <v>31.79</v>
      </c>
      <c r="L1678" s="128">
        <v>197676.7</v>
      </c>
      <c r="M1678" s="128">
        <v>132437.1</v>
      </c>
      <c r="N1678" s="128">
        <v>65239.56</v>
      </c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</row>
    <row r="1679">
      <c r="A1679" s="125" t="s">
        <v>458</v>
      </c>
      <c r="B1679" s="125" t="s">
        <v>582</v>
      </c>
      <c r="C1679" s="125" t="s">
        <v>514</v>
      </c>
      <c r="D1679" s="125" t="s">
        <v>457</v>
      </c>
      <c r="E1679" s="125" t="s">
        <v>189</v>
      </c>
      <c r="F1679" s="126">
        <v>42333.0</v>
      </c>
      <c r="G1679" s="127">
        <v>7.93E8</v>
      </c>
      <c r="H1679" s="126">
        <v>42371.0</v>
      </c>
      <c r="I1679" s="128">
        <v>3801.0</v>
      </c>
      <c r="J1679" s="128">
        <v>668.27</v>
      </c>
      <c r="K1679" s="128">
        <v>502.54</v>
      </c>
      <c r="L1679" s="128">
        <v>2540094.0</v>
      </c>
      <c r="M1679" s="128">
        <v>1910155.0</v>
      </c>
      <c r="N1679" s="128">
        <v>629939.7</v>
      </c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</row>
    <row r="1680">
      <c r="A1680" s="125" t="s">
        <v>458</v>
      </c>
      <c r="B1680" s="125" t="s">
        <v>545</v>
      </c>
      <c r="C1680" s="125" t="s">
        <v>480</v>
      </c>
      <c r="D1680" s="125" t="s">
        <v>457</v>
      </c>
      <c r="E1680" s="125" t="s">
        <v>284</v>
      </c>
      <c r="F1680" s="126">
        <v>41418.0</v>
      </c>
      <c r="G1680" s="127">
        <v>6.26E8</v>
      </c>
      <c r="H1680" s="126">
        <v>41435.0</v>
      </c>
      <c r="I1680" s="128">
        <v>263.0</v>
      </c>
      <c r="J1680" s="128">
        <v>437.2</v>
      </c>
      <c r="K1680" s="128">
        <v>263.33</v>
      </c>
      <c r="L1680" s="128">
        <v>114983.6</v>
      </c>
      <c r="M1680" s="128">
        <v>69255.79</v>
      </c>
      <c r="N1680" s="128">
        <v>45727.81</v>
      </c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</row>
    <row r="1681">
      <c r="A1681" s="125" t="s">
        <v>475</v>
      </c>
      <c r="B1681" s="125" t="s">
        <v>570</v>
      </c>
      <c r="C1681" s="125" t="s">
        <v>468</v>
      </c>
      <c r="D1681" s="125" t="s">
        <v>457</v>
      </c>
      <c r="E1681" s="125" t="s">
        <v>189</v>
      </c>
      <c r="F1681" s="126">
        <v>40492.0</v>
      </c>
      <c r="G1681" s="127">
        <v>7.1E8</v>
      </c>
      <c r="H1681" s="126">
        <v>40507.0</v>
      </c>
      <c r="I1681" s="128">
        <v>9494.0</v>
      </c>
      <c r="J1681" s="128">
        <v>81.73</v>
      </c>
      <c r="K1681" s="128">
        <v>56.67</v>
      </c>
      <c r="L1681" s="128">
        <v>775944.6</v>
      </c>
      <c r="M1681" s="128">
        <v>538025.0</v>
      </c>
      <c r="N1681" s="128">
        <v>237919.6</v>
      </c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</row>
    <row r="1682">
      <c r="A1682" s="125" t="s">
        <v>466</v>
      </c>
      <c r="B1682" s="125" t="s">
        <v>492</v>
      </c>
      <c r="C1682" s="125" t="s">
        <v>485</v>
      </c>
      <c r="D1682" s="125" t="s">
        <v>454</v>
      </c>
      <c r="E1682" s="125" t="s">
        <v>284</v>
      </c>
      <c r="F1682" s="126">
        <v>42598.0</v>
      </c>
      <c r="G1682" s="127">
        <v>3.22E8</v>
      </c>
      <c r="H1682" s="126">
        <v>42624.0</v>
      </c>
      <c r="I1682" s="128">
        <v>9468.0</v>
      </c>
      <c r="J1682" s="128">
        <v>421.89</v>
      </c>
      <c r="K1682" s="128">
        <v>364.69</v>
      </c>
      <c r="L1682" s="128">
        <v>3994455.0</v>
      </c>
      <c r="M1682" s="128">
        <v>3452885.0</v>
      </c>
      <c r="N1682" s="128">
        <v>541569.6</v>
      </c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</row>
    <row r="1683">
      <c r="A1683" s="125" t="s">
        <v>451</v>
      </c>
      <c r="B1683" s="125" t="s">
        <v>543</v>
      </c>
      <c r="C1683" s="125" t="s">
        <v>514</v>
      </c>
      <c r="D1683" s="125" t="s">
        <v>457</v>
      </c>
      <c r="E1683" s="125" t="s">
        <v>284</v>
      </c>
      <c r="F1683" s="126">
        <v>41488.0</v>
      </c>
      <c r="G1683" s="127">
        <v>6.14E8</v>
      </c>
      <c r="H1683" s="126">
        <v>41523.0</v>
      </c>
      <c r="I1683" s="128">
        <v>5190.0</v>
      </c>
      <c r="J1683" s="128">
        <v>668.27</v>
      </c>
      <c r="K1683" s="128">
        <v>502.54</v>
      </c>
      <c r="L1683" s="128">
        <v>3468321.0</v>
      </c>
      <c r="M1683" s="128">
        <v>2608183.0</v>
      </c>
      <c r="N1683" s="128">
        <v>860138.7</v>
      </c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</row>
    <row r="1684">
      <c r="A1684" s="125" t="s">
        <v>466</v>
      </c>
      <c r="B1684" s="125" t="s">
        <v>492</v>
      </c>
      <c r="C1684" s="125" t="s">
        <v>468</v>
      </c>
      <c r="D1684" s="125" t="s">
        <v>454</v>
      </c>
      <c r="E1684" s="125" t="s">
        <v>472</v>
      </c>
      <c r="F1684" s="126">
        <v>42364.0</v>
      </c>
      <c r="G1684" s="127">
        <v>5.56E8</v>
      </c>
      <c r="H1684" s="126">
        <v>42401.0</v>
      </c>
      <c r="I1684" s="128">
        <v>3696.0</v>
      </c>
      <c r="J1684" s="128">
        <v>81.73</v>
      </c>
      <c r="K1684" s="128">
        <v>56.67</v>
      </c>
      <c r="L1684" s="128">
        <v>302074.1</v>
      </c>
      <c r="M1684" s="128">
        <v>209452.3</v>
      </c>
      <c r="N1684" s="128">
        <v>92621.76</v>
      </c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</row>
    <row r="1685">
      <c r="A1685" s="125" t="s">
        <v>466</v>
      </c>
      <c r="B1685" s="125" t="s">
        <v>484</v>
      </c>
      <c r="C1685" s="125" t="s">
        <v>463</v>
      </c>
      <c r="D1685" s="125" t="s">
        <v>457</v>
      </c>
      <c r="E1685" s="125" t="s">
        <v>189</v>
      </c>
      <c r="F1685" s="126">
        <v>41138.0</v>
      </c>
      <c r="G1685" s="127">
        <v>9.88E8</v>
      </c>
      <c r="H1685" s="126">
        <v>41155.0</v>
      </c>
      <c r="I1685" s="128">
        <v>9053.0</v>
      </c>
      <c r="J1685" s="128">
        <v>205.7</v>
      </c>
      <c r="K1685" s="128">
        <v>117.11</v>
      </c>
      <c r="L1685" s="128">
        <v>1862202.0</v>
      </c>
      <c r="M1685" s="128">
        <v>1060197.0</v>
      </c>
      <c r="N1685" s="128">
        <v>802005.3</v>
      </c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</row>
    <row r="1686">
      <c r="A1686" s="125" t="s">
        <v>461</v>
      </c>
      <c r="B1686" s="125" t="s">
        <v>615</v>
      </c>
      <c r="C1686" s="125" t="s">
        <v>494</v>
      </c>
      <c r="D1686" s="125" t="s">
        <v>454</v>
      </c>
      <c r="E1686" s="125" t="s">
        <v>284</v>
      </c>
      <c r="F1686" s="126">
        <v>42410.0</v>
      </c>
      <c r="G1686" s="127">
        <v>5.71E8</v>
      </c>
      <c r="H1686" s="126">
        <v>42434.0</v>
      </c>
      <c r="I1686" s="128">
        <v>7360.0</v>
      </c>
      <c r="J1686" s="128">
        <v>9.33</v>
      </c>
      <c r="K1686" s="128">
        <v>6.92</v>
      </c>
      <c r="L1686" s="128">
        <v>68668.8</v>
      </c>
      <c r="M1686" s="128">
        <v>50931.2</v>
      </c>
      <c r="N1686" s="128">
        <v>17737.6</v>
      </c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</row>
    <row r="1687">
      <c r="A1687" s="125" t="s">
        <v>458</v>
      </c>
      <c r="B1687" s="125" t="s">
        <v>567</v>
      </c>
      <c r="C1687" s="125" t="s">
        <v>456</v>
      </c>
      <c r="D1687" s="125" t="s">
        <v>457</v>
      </c>
      <c r="E1687" s="125" t="s">
        <v>464</v>
      </c>
      <c r="F1687" s="126">
        <v>41486.0</v>
      </c>
      <c r="G1687" s="127">
        <v>7.37E8</v>
      </c>
      <c r="H1687" s="126">
        <v>41530.0</v>
      </c>
      <c r="I1687" s="128">
        <v>1747.0</v>
      </c>
      <c r="J1687" s="128">
        <v>152.58</v>
      </c>
      <c r="K1687" s="128">
        <v>97.44</v>
      </c>
      <c r="L1687" s="128">
        <v>266557.3</v>
      </c>
      <c r="M1687" s="128">
        <v>170227.7</v>
      </c>
      <c r="N1687" s="128">
        <v>96329.58</v>
      </c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</row>
    <row r="1688">
      <c r="A1688" s="125" t="s">
        <v>488</v>
      </c>
      <c r="B1688" s="125" t="s">
        <v>577</v>
      </c>
      <c r="C1688" s="125" t="s">
        <v>460</v>
      </c>
      <c r="D1688" s="125" t="s">
        <v>454</v>
      </c>
      <c r="E1688" s="125" t="s">
        <v>472</v>
      </c>
      <c r="F1688" s="126">
        <v>42359.0</v>
      </c>
      <c r="G1688" s="127">
        <v>7.37E8</v>
      </c>
      <c r="H1688" s="126">
        <v>42386.0</v>
      </c>
      <c r="I1688" s="128">
        <v>7375.0</v>
      </c>
      <c r="J1688" s="128">
        <v>47.45</v>
      </c>
      <c r="K1688" s="128">
        <v>31.79</v>
      </c>
      <c r="L1688" s="128">
        <v>349943.8</v>
      </c>
      <c r="M1688" s="128">
        <v>234451.3</v>
      </c>
      <c r="N1688" s="128">
        <v>115492.5</v>
      </c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</row>
    <row r="1689">
      <c r="A1689" s="125" t="s">
        <v>475</v>
      </c>
      <c r="B1689" s="125" t="s">
        <v>500</v>
      </c>
      <c r="C1689" s="125" t="s">
        <v>471</v>
      </c>
      <c r="D1689" s="125" t="s">
        <v>454</v>
      </c>
      <c r="E1689" s="125" t="s">
        <v>189</v>
      </c>
      <c r="F1689" s="126">
        <v>42498.0</v>
      </c>
      <c r="G1689" s="127">
        <v>7.94E8</v>
      </c>
      <c r="H1689" s="126">
        <v>42508.0</v>
      </c>
      <c r="I1689" s="128">
        <v>6436.0</v>
      </c>
      <c r="J1689" s="128">
        <v>109.28</v>
      </c>
      <c r="K1689" s="128">
        <v>35.84</v>
      </c>
      <c r="L1689" s="128">
        <v>703326.1</v>
      </c>
      <c r="M1689" s="128">
        <v>230666.2</v>
      </c>
      <c r="N1689" s="128">
        <v>472659.8</v>
      </c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</row>
    <row r="1690">
      <c r="A1690" s="125" t="s">
        <v>475</v>
      </c>
      <c r="B1690" s="125" t="s">
        <v>591</v>
      </c>
      <c r="C1690" s="125" t="s">
        <v>468</v>
      </c>
      <c r="D1690" s="125" t="s">
        <v>454</v>
      </c>
      <c r="E1690" s="125" t="s">
        <v>472</v>
      </c>
      <c r="F1690" s="126">
        <v>42525.0</v>
      </c>
      <c r="G1690" s="127">
        <v>7.49E8</v>
      </c>
      <c r="H1690" s="126">
        <v>42571.0</v>
      </c>
      <c r="I1690" s="128">
        <v>3155.0</v>
      </c>
      <c r="J1690" s="128">
        <v>81.73</v>
      </c>
      <c r="K1690" s="128">
        <v>56.67</v>
      </c>
      <c r="L1690" s="128">
        <v>257858.2</v>
      </c>
      <c r="M1690" s="128">
        <v>178793.9</v>
      </c>
      <c r="N1690" s="128">
        <v>79064.3</v>
      </c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</row>
    <row r="1691">
      <c r="A1691" s="125" t="s">
        <v>475</v>
      </c>
      <c r="B1691" s="125" t="s">
        <v>604</v>
      </c>
      <c r="C1691" s="125" t="s">
        <v>478</v>
      </c>
      <c r="D1691" s="125" t="s">
        <v>454</v>
      </c>
      <c r="E1691" s="125" t="s">
        <v>189</v>
      </c>
      <c r="F1691" s="126">
        <v>42068.0</v>
      </c>
      <c r="G1691" s="127">
        <v>5.15E8</v>
      </c>
      <c r="H1691" s="126">
        <v>42091.0</v>
      </c>
      <c r="I1691" s="128">
        <v>8785.0</v>
      </c>
      <c r="J1691" s="128">
        <v>651.21</v>
      </c>
      <c r="K1691" s="128">
        <v>524.96</v>
      </c>
      <c r="L1691" s="128">
        <v>5720880.0</v>
      </c>
      <c r="M1691" s="128">
        <v>4611774.0</v>
      </c>
      <c r="N1691" s="128">
        <v>1109106.0</v>
      </c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</row>
    <row r="1692">
      <c r="A1692" s="125" t="s">
        <v>461</v>
      </c>
      <c r="B1692" s="125" t="s">
        <v>462</v>
      </c>
      <c r="C1692" s="125" t="s">
        <v>494</v>
      </c>
      <c r="D1692" s="125" t="s">
        <v>457</v>
      </c>
      <c r="E1692" s="125" t="s">
        <v>472</v>
      </c>
      <c r="F1692" s="126">
        <v>41146.0</v>
      </c>
      <c r="G1692" s="127">
        <v>5.25E8</v>
      </c>
      <c r="H1692" s="126">
        <v>41191.0</v>
      </c>
      <c r="I1692" s="128">
        <v>6613.0</v>
      </c>
      <c r="J1692" s="128">
        <v>9.33</v>
      </c>
      <c r="K1692" s="128">
        <v>6.92</v>
      </c>
      <c r="L1692" s="128">
        <v>61699.29</v>
      </c>
      <c r="M1692" s="128">
        <v>45761.96</v>
      </c>
      <c r="N1692" s="128">
        <v>15937.33</v>
      </c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</row>
    <row r="1693">
      <c r="A1693" s="125" t="s">
        <v>469</v>
      </c>
      <c r="B1693" s="125" t="s">
        <v>503</v>
      </c>
      <c r="C1693" s="125" t="s">
        <v>453</v>
      </c>
      <c r="D1693" s="125" t="s">
        <v>454</v>
      </c>
      <c r="E1693" s="125" t="s">
        <v>464</v>
      </c>
      <c r="F1693" s="126">
        <v>41547.0</v>
      </c>
      <c r="G1693" s="127">
        <v>3.82E8</v>
      </c>
      <c r="H1693" s="126">
        <v>41549.0</v>
      </c>
      <c r="I1693" s="128">
        <v>6957.0</v>
      </c>
      <c r="J1693" s="128">
        <v>255.28</v>
      </c>
      <c r="K1693" s="128">
        <v>159.42</v>
      </c>
      <c r="L1693" s="128">
        <v>1775983.0</v>
      </c>
      <c r="M1693" s="128">
        <v>1109085.0</v>
      </c>
      <c r="N1693" s="128">
        <v>666898.0</v>
      </c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</row>
    <row r="1694">
      <c r="A1694" s="125" t="s">
        <v>475</v>
      </c>
      <c r="B1694" s="125" t="s">
        <v>527</v>
      </c>
      <c r="C1694" s="125" t="s">
        <v>485</v>
      </c>
      <c r="D1694" s="125" t="s">
        <v>454</v>
      </c>
      <c r="E1694" s="125" t="s">
        <v>284</v>
      </c>
      <c r="F1694" s="126">
        <v>42684.0</v>
      </c>
      <c r="G1694" s="127">
        <v>2.09E8</v>
      </c>
      <c r="H1694" s="126">
        <v>42684.0</v>
      </c>
      <c r="I1694" s="128">
        <v>2165.0</v>
      </c>
      <c r="J1694" s="128">
        <v>421.89</v>
      </c>
      <c r="K1694" s="128">
        <v>364.69</v>
      </c>
      <c r="L1694" s="128">
        <v>913391.9</v>
      </c>
      <c r="M1694" s="128">
        <v>789553.9</v>
      </c>
      <c r="N1694" s="128">
        <v>123838.0</v>
      </c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</row>
    <row r="1695">
      <c r="A1695" s="125" t="s">
        <v>475</v>
      </c>
      <c r="B1695" s="125" t="s">
        <v>558</v>
      </c>
      <c r="C1695" s="125" t="s">
        <v>468</v>
      </c>
      <c r="D1695" s="125" t="s">
        <v>457</v>
      </c>
      <c r="E1695" s="125" t="s">
        <v>284</v>
      </c>
      <c r="F1695" s="126">
        <v>40209.0</v>
      </c>
      <c r="G1695" s="127">
        <v>2.01E8</v>
      </c>
      <c r="H1695" s="126">
        <v>40240.0</v>
      </c>
      <c r="I1695" s="128">
        <v>1617.0</v>
      </c>
      <c r="J1695" s="128">
        <v>81.73</v>
      </c>
      <c r="K1695" s="128">
        <v>56.67</v>
      </c>
      <c r="L1695" s="128">
        <v>132157.4</v>
      </c>
      <c r="M1695" s="128">
        <v>91635.39</v>
      </c>
      <c r="N1695" s="128">
        <v>40522.02</v>
      </c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</row>
    <row r="1696">
      <c r="A1696" s="125" t="s">
        <v>461</v>
      </c>
      <c r="B1696" s="125" t="s">
        <v>511</v>
      </c>
      <c r="C1696" s="125" t="s">
        <v>456</v>
      </c>
      <c r="D1696" s="125" t="s">
        <v>454</v>
      </c>
      <c r="E1696" s="125" t="s">
        <v>472</v>
      </c>
      <c r="F1696" s="126">
        <v>41229.0</v>
      </c>
      <c r="G1696" s="127">
        <v>1.71E8</v>
      </c>
      <c r="H1696" s="126">
        <v>41279.0</v>
      </c>
      <c r="I1696" s="128">
        <v>6723.0</v>
      </c>
      <c r="J1696" s="128">
        <v>152.58</v>
      </c>
      <c r="K1696" s="128">
        <v>97.44</v>
      </c>
      <c r="L1696" s="128">
        <v>1025795.0</v>
      </c>
      <c r="M1696" s="128">
        <v>655089.1</v>
      </c>
      <c r="N1696" s="128">
        <v>370706.2</v>
      </c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</row>
    <row r="1697">
      <c r="A1697" s="125" t="s">
        <v>461</v>
      </c>
      <c r="B1697" s="125" t="s">
        <v>511</v>
      </c>
      <c r="C1697" s="125" t="s">
        <v>460</v>
      </c>
      <c r="D1697" s="125" t="s">
        <v>457</v>
      </c>
      <c r="E1697" s="125" t="s">
        <v>464</v>
      </c>
      <c r="F1697" s="126">
        <v>40790.0</v>
      </c>
      <c r="G1697" s="127">
        <v>9.04E8</v>
      </c>
      <c r="H1697" s="126">
        <v>40791.0</v>
      </c>
      <c r="I1697" s="128">
        <v>5928.0</v>
      </c>
      <c r="J1697" s="128">
        <v>47.45</v>
      </c>
      <c r="K1697" s="128">
        <v>31.79</v>
      </c>
      <c r="L1697" s="128">
        <v>281283.6</v>
      </c>
      <c r="M1697" s="128">
        <v>188451.1</v>
      </c>
      <c r="N1697" s="128">
        <v>92832.48</v>
      </c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</row>
    <row r="1698">
      <c r="A1698" s="125" t="s">
        <v>475</v>
      </c>
      <c r="B1698" s="125" t="s">
        <v>507</v>
      </c>
      <c r="C1698" s="125" t="s">
        <v>506</v>
      </c>
      <c r="D1698" s="125" t="s">
        <v>457</v>
      </c>
      <c r="E1698" s="125" t="s">
        <v>284</v>
      </c>
      <c r="F1698" s="126">
        <v>42627.0</v>
      </c>
      <c r="G1698" s="127">
        <v>1.04E8</v>
      </c>
      <c r="H1698" s="126">
        <v>42672.0</v>
      </c>
      <c r="I1698" s="128">
        <v>9703.0</v>
      </c>
      <c r="J1698" s="128">
        <v>154.06</v>
      </c>
      <c r="K1698" s="128">
        <v>90.93</v>
      </c>
      <c r="L1698" s="128">
        <v>1494844.0</v>
      </c>
      <c r="M1698" s="128">
        <v>882293.8</v>
      </c>
      <c r="N1698" s="128">
        <v>612550.4</v>
      </c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</row>
    <row r="1699">
      <c r="A1699" s="125" t="s">
        <v>466</v>
      </c>
      <c r="B1699" s="125" t="s">
        <v>584</v>
      </c>
      <c r="C1699" s="125" t="s">
        <v>468</v>
      </c>
      <c r="D1699" s="125" t="s">
        <v>457</v>
      </c>
      <c r="E1699" s="125" t="s">
        <v>284</v>
      </c>
      <c r="F1699" s="126">
        <v>41182.0</v>
      </c>
      <c r="G1699" s="127">
        <v>9.47E8</v>
      </c>
      <c r="H1699" s="126">
        <v>41205.0</v>
      </c>
      <c r="I1699" s="128">
        <v>5554.0</v>
      </c>
      <c r="J1699" s="128">
        <v>81.73</v>
      </c>
      <c r="K1699" s="128">
        <v>56.67</v>
      </c>
      <c r="L1699" s="128">
        <v>453928.4</v>
      </c>
      <c r="M1699" s="128">
        <v>314745.2</v>
      </c>
      <c r="N1699" s="128">
        <v>139183.2</v>
      </c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</row>
    <row r="1700">
      <c r="A1700" s="125" t="s">
        <v>469</v>
      </c>
      <c r="B1700" s="125" t="s">
        <v>495</v>
      </c>
      <c r="C1700" s="125" t="s">
        <v>453</v>
      </c>
      <c r="D1700" s="125" t="s">
        <v>457</v>
      </c>
      <c r="E1700" s="125" t="s">
        <v>284</v>
      </c>
      <c r="F1700" s="126">
        <v>42351.0</v>
      </c>
      <c r="G1700" s="127">
        <v>8.29E8</v>
      </c>
      <c r="H1700" s="126">
        <v>42399.0</v>
      </c>
      <c r="I1700" s="128">
        <v>3018.0</v>
      </c>
      <c r="J1700" s="128">
        <v>255.28</v>
      </c>
      <c r="K1700" s="128">
        <v>159.42</v>
      </c>
      <c r="L1700" s="128">
        <v>770435.0</v>
      </c>
      <c r="M1700" s="128">
        <v>481129.6</v>
      </c>
      <c r="N1700" s="128">
        <v>289305.5</v>
      </c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</row>
    <row r="1701">
      <c r="A1701" s="125" t="s">
        <v>451</v>
      </c>
      <c r="B1701" s="125" t="s">
        <v>543</v>
      </c>
      <c r="C1701" s="125" t="s">
        <v>456</v>
      </c>
      <c r="D1701" s="125" t="s">
        <v>457</v>
      </c>
      <c r="E1701" s="125" t="s">
        <v>284</v>
      </c>
      <c r="F1701" s="126">
        <v>42736.0</v>
      </c>
      <c r="G1701" s="127">
        <v>8.13E8</v>
      </c>
      <c r="H1701" s="126">
        <v>42751.0</v>
      </c>
      <c r="I1701" s="128">
        <v>8660.0</v>
      </c>
      <c r="J1701" s="128">
        <v>152.58</v>
      </c>
      <c r="K1701" s="128">
        <v>97.44</v>
      </c>
      <c r="L1701" s="128">
        <v>1321343.0</v>
      </c>
      <c r="M1701" s="128">
        <v>843830.4</v>
      </c>
      <c r="N1701" s="128">
        <v>477512.4</v>
      </c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</row>
    <row r="1702">
      <c r="A1702" s="125" t="s">
        <v>451</v>
      </c>
      <c r="B1702" s="125" t="s">
        <v>497</v>
      </c>
      <c r="C1702" s="125" t="s">
        <v>506</v>
      </c>
      <c r="D1702" s="125" t="s">
        <v>454</v>
      </c>
      <c r="E1702" s="125" t="s">
        <v>464</v>
      </c>
      <c r="F1702" s="126">
        <v>42096.0</v>
      </c>
      <c r="G1702" s="127">
        <v>6.88E8</v>
      </c>
      <c r="H1702" s="126">
        <v>42132.0</v>
      </c>
      <c r="I1702" s="128">
        <v>1081.0</v>
      </c>
      <c r="J1702" s="128">
        <v>154.06</v>
      </c>
      <c r="K1702" s="128">
        <v>90.93</v>
      </c>
      <c r="L1702" s="128">
        <v>166538.9</v>
      </c>
      <c r="M1702" s="128">
        <v>98295.33</v>
      </c>
      <c r="N1702" s="128">
        <v>68243.53</v>
      </c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</row>
    <row r="1703">
      <c r="A1703" s="125" t="s">
        <v>475</v>
      </c>
      <c r="B1703" s="125" t="s">
        <v>574</v>
      </c>
      <c r="C1703" s="125" t="s">
        <v>514</v>
      </c>
      <c r="D1703" s="125" t="s">
        <v>457</v>
      </c>
      <c r="E1703" s="125" t="s">
        <v>464</v>
      </c>
      <c r="F1703" s="126">
        <v>41961.0</v>
      </c>
      <c r="G1703" s="127">
        <v>3.08E8</v>
      </c>
      <c r="H1703" s="126">
        <v>41970.0</v>
      </c>
      <c r="I1703" s="128">
        <v>5910.0</v>
      </c>
      <c r="J1703" s="128">
        <v>668.27</v>
      </c>
      <c r="K1703" s="128">
        <v>502.54</v>
      </c>
      <c r="L1703" s="128">
        <v>3949476.0</v>
      </c>
      <c r="M1703" s="128">
        <v>2970011.0</v>
      </c>
      <c r="N1703" s="128">
        <v>979464.3</v>
      </c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</row>
    <row r="1704">
      <c r="A1704" s="125" t="s">
        <v>466</v>
      </c>
      <c r="B1704" s="125" t="s">
        <v>658</v>
      </c>
      <c r="C1704" s="125" t="s">
        <v>456</v>
      </c>
      <c r="D1704" s="125" t="s">
        <v>457</v>
      </c>
      <c r="E1704" s="125" t="s">
        <v>284</v>
      </c>
      <c r="F1704" s="126">
        <v>41485.0</v>
      </c>
      <c r="G1704" s="127">
        <v>9.51E8</v>
      </c>
      <c r="H1704" s="126">
        <v>41533.0</v>
      </c>
      <c r="I1704" s="128">
        <v>808.0</v>
      </c>
      <c r="J1704" s="128">
        <v>152.58</v>
      </c>
      <c r="K1704" s="128">
        <v>97.44</v>
      </c>
      <c r="L1704" s="128">
        <v>123284.6</v>
      </c>
      <c r="M1704" s="128">
        <v>78731.52</v>
      </c>
      <c r="N1704" s="128">
        <v>44553.12</v>
      </c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</row>
    <row r="1705">
      <c r="A1705" s="125" t="s">
        <v>469</v>
      </c>
      <c r="B1705" s="125" t="s">
        <v>519</v>
      </c>
      <c r="C1705" s="125" t="s">
        <v>456</v>
      </c>
      <c r="D1705" s="125" t="s">
        <v>454</v>
      </c>
      <c r="E1705" s="125" t="s">
        <v>472</v>
      </c>
      <c r="F1705" s="126">
        <v>41592.0</v>
      </c>
      <c r="G1705" s="127">
        <v>3.64E8</v>
      </c>
      <c r="H1705" s="126">
        <v>41593.0</v>
      </c>
      <c r="I1705" s="128">
        <v>468.0</v>
      </c>
      <c r="J1705" s="128">
        <v>152.58</v>
      </c>
      <c r="K1705" s="128">
        <v>97.44</v>
      </c>
      <c r="L1705" s="128">
        <v>71407.44</v>
      </c>
      <c r="M1705" s="128">
        <v>45601.92</v>
      </c>
      <c r="N1705" s="128">
        <v>25805.52</v>
      </c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</row>
    <row r="1706">
      <c r="A1706" s="125" t="s">
        <v>461</v>
      </c>
      <c r="B1706" s="125" t="s">
        <v>599</v>
      </c>
      <c r="C1706" s="125" t="s">
        <v>468</v>
      </c>
      <c r="D1706" s="125" t="s">
        <v>454</v>
      </c>
      <c r="E1706" s="125" t="s">
        <v>464</v>
      </c>
      <c r="F1706" s="126">
        <v>40830.0</v>
      </c>
      <c r="G1706" s="127">
        <v>4.13E8</v>
      </c>
      <c r="H1706" s="126">
        <v>40864.0</v>
      </c>
      <c r="I1706" s="128">
        <v>1612.0</v>
      </c>
      <c r="J1706" s="128">
        <v>81.73</v>
      </c>
      <c r="K1706" s="128">
        <v>56.67</v>
      </c>
      <c r="L1706" s="128">
        <v>131748.8</v>
      </c>
      <c r="M1706" s="128">
        <v>91352.04</v>
      </c>
      <c r="N1706" s="128">
        <v>40396.72</v>
      </c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</row>
    <row r="1707">
      <c r="A1707" s="125" t="s">
        <v>461</v>
      </c>
      <c r="B1707" s="125" t="s">
        <v>644</v>
      </c>
      <c r="C1707" s="125" t="s">
        <v>453</v>
      </c>
      <c r="D1707" s="125" t="s">
        <v>454</v>
      </c>
      <c r="E1707" s="125" t="s">
        <v>464</v>
      </c>
      <c r="F1707" s="126">
        <v>42287.0</v>
      </c>
      <c r="G1707" s="127">
        <v>3.37E8</v>
      </c>
      <c r="H1707" s="126">
        <v>42335.0</v>
      </c>
      <c r="I1707" s="128">
        <v>7997.0</v>
      </c>
      <c r="J1707" s="128">
        <v>255.28</v>
      </c>
      <c r="K1707" s="128">
        <v>159.42</v>
      </c>
      <c r="L1707" s="128">
        <v>2041474.0</v>
      </c>
      <c r="M1707" s="128">
        <v>1274882.0</v>
      </c>
      <c r="N1707" s="128">
        <v>766592.4</v>
      </c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</row>
    <row r="1708">
      <c r="A1708" s="125" t="s">
        <v>466</v>
      </c>
      <c r="B1708" s="125" t="s">
        <v>524</v>
      </c>
      <c r="C1708" s="125" t="s">
        <v>468</v>
      </c>
      <c r="D1708" s="125" t="s">
        <v>454</v>
      </c>
      <c r="E1708" s="125" t="s">
        <v>464</v>
      </c>
      <c r="F1708" s="126">
        <v>41138.0</v>
      </c>
      <c r="G1708" s="127">
        <v>7.92E8</v>
      </c>
      <c r="H1708" s="126">
        <v>41145.0</v>
      </c>
      <c r="I1708" s="128">
        <v>5408.0</v>
      </c>
      <c r="J1708" s="128">
        <v>81.73</v>
      </c>
      <c r="K1708" s="128">
        <v>56.67</v>
      </c>
      <c r="L1708" s="128">
        <v>441995.8</v>
      </c>
      <c r="M1708" s="128">
        <v>306471.4</v>
      </c>
      <c r="N1708" s="128">
        <v>135524.5</v>
      </c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</row>
    <row r="1709">
      <c r="A1709" s="125" t="s">
        <v>458</v>
      </c>
      <c r="B1709" s="125" t="s">
        <v>518</v>
      </c>
      <c r="C1709" s="125" t="s">
        <v>494</v>
      </c>
      <c r="D1709" s="125" t="s">
        <v>457</v>
      </c>
      <c r="E1709" s="125" t="s">
        <v>464</v>
      </c>
      <c r="F1709" s="126">
        <v>42631.0</v>
      </c>
      <c r="G1709" s="127">
        <v>7.08E8</v>
      </c>
      <c r="H1709" s="126">
        <v>42648.0</v>
      </c>
      <c r="I1709" s="128">
        <v>6662.0</v>
      </c>
      <c r="J1709" s="128">
        <v>9.33</v>
      </c>
      <c r="K1709" s="128">
        <v>6.92</v>
      </c>
      <c r="L1709" s="128">
        <v>62156.46</v>
      </c>
      <c r="M1709" s="128">
        <v>46101.04</v>
      </c>
      <c r="N1709" s="128">
        <v>16055.42</v>
      </c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</row>
    <row r="1710">
      <c r="A1710" s="125" t="s">
        <v>458</v>
      </c>
      <c r="B1710" s="125" t="s">
        <v>590</v>
      </c>
      <c r="C1710" s="125" t="s">
        <v>478</v>
      </c>
      <c r="D1710" s="125" t="s">
        <v>457</v>
      </c>
      <c r="E1710" s="125" t="s">
        <v>189</v>
      </c>
      <c r="F1710" s="126">
        <v>41338.0</v>
      </c>
      <c r="G1710" s="127">
        <v>4.33E8</v>
      </c>
      <c r="H1710" s="126">
        <v>41383.0</v>
      </c>
      <c r="I1710" s="128">
        <v>6609.0</v>
      </c>
      <c r="J1710" s="128">
        <v>651.21</v>
      </c>
      <c r="K1710" s="128">
        <v>524.96</v>
      </c>
      <c r="L1710" s="128">
        <v>4303847.0</v>
      </c>
      <c r="M1710" s="128">
        <v>3469461.0</v>
      </c>
      <c r="N1710" s="128">
        <v>834386.3</v>
      </c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</row>
    <row r="1711">
      <c r="A1711" s="125" t="s">
        <v>461</v>
      </c>
      <c r="B1711" s="125" t="s">
        <v>462</v>
      </c>
      <c r="C1711" s="125" t="s">
        <v>471</v>
      </c>
      <c r="D1711" s="125" t="s">
        <v>457</v>
      </c>
      <c r="E1711" s="125" t="s">
        <v>284</v>
      </c>
      <c r="F1711" s="126">
        <v>41900.0</v>
      </c>
      <c r="G1711" s="127">
        <v>3.85E8</v>
      </c>
      <c r="H1711" s="126">
        <v>41944.0</v>
      </c>
      <c r="I1711" s="128">
        <v>7128.0</v>
      </c>
      <c r="J1711" s="128">
        <v>109.28</v>
      </c>
      <c r="K1711" s="128">
        <v>35.84</v>
      </c>
      <c r="L1711" s="128">
        <v>778947.8</v>
      </c>
      <c r="M1711" s="128">
        <v>255467.5</v>
      </c>
      <c r="N1711" s="128">
        <v>523480.3</v>
      </c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</row>
    <row r="1712">
      <c r="A1712" s="125" t="s">
        <v>458</v>
      </c>
      <c r="B1712" s="125" t="s">
        <v>653</v>
      </c>
      <c r="C1712" s="125" t="s">
        <v>468</v>
      </c>
      <c r="D1712" s="125" t="s">
        <v>457</v>
      </c>
      <c r="E1712" s="125" t="s">
        <v>464</v>
      </c>
      <c r="F1712" s="126">
        <v>41051.0</v>
      </c>
      <c r="G1712" s="127">
        <v>6.04E8</v>
      </c>
      <c r="H1712" s="126">
        <v>41085.0</v>
      </c>
      <c r="I1712" s="128">
        <v>2129.0</v>
      </c>
      <c r="J1712" s="128">
        <v>81.73</v>
      </c>
      <c r="K1712" s="128">
        <v>56.67</v>
      </c>
      <c r="L1712" s="128">
        <v>174003.2</v>
      </c>
      <c r="M1712" s="128">
        <v>120650.4</v>
      </c>
      <c r="N1712" s="128">
        <v>53352.74</v>
      </c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</row>
    <row r="1713">
      <c r="A1713" s="125" t="s">
        <v>451</v>
      </c>
      <c r="B1713" s="125" t="s">
        <v>592</v>
      </c>
      <c r="C1713" s="125" t="s">
        <v>494</v>
      </c>
      <c r="D1713" s="125" t="s">
        <v>454</v>
      </c>
      <c r="E1713" s="125" t="s">
        <v>189</v>
      </c>
      <c r="F1713" s="126">
        <v>42828.0</v>
      </c>
      <c r="G1713" s="127">
        <v>3.0E8</v>
      </c>
      <c r="H1713" s="126">
        <v>42849.0</v>
      </c>
      <c r="I1713" s="128">
        <v>2557.0</v>
      </c>
      <c r="J1713" s="128">
        <v>9.33</v>
      </c>
      <c r="K1713" s="128">
        <v>6.92</v>
      </c>
      <c r="L1713" s="128">
        <v>23856.81</v>
      </c>
      <c r="M1713" s="128">
        <v>17694.44</v>
      </c>
      <c r="N1713" s="128">
        <v>6162.37</v>
      </c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</row>
    <row r="1714">
      <c r="A1714" s="125" t="s">
        <v>461</v>
      </c>
      <c r="B1714" s="125" t="s">
        <v>618</v>
      </c>
      <c r="C1714" s="125" t="s">
        <v>463</v>
      </c>
      <c r="D1714" s="125" t="s">
        <v>454</v>
      </c>
      <c r="E1714" s="125" t="s">
        <v>464</v>
      </c>
      <c r="F1714" s="126">
        <v>40592.0</v>
      </c>
      <c r="G1714" s="127">
        <v>1.01E8</v>
      </c>
      <c r="H1714" s="126">
        <v>40618.0</v>
      </c>
      <c r="I1714" s="128">
        <v>1383.0</v>
      </c>
      <c r="J1714" s="128">
        <v>205.7</v>
      </c>
      <c r="K1714" s="128">
        <v>117.11</v>
      </c>
      <c r="L1714" s="128">
        <v>284483.1</v>
      </c>
      <c r="M1714" s="128">
        <v>161963.1</v>
      </c>
      <c r="N1714" s="128">
        <v>122520.0</v>
      </c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</row>
    <row r="1715">
      <c r="A1715" s="125" t="s">
        <v>458</v>
      </c>
      <c r="B1715" s="125" t="s">
        <v>613</v>
      </c>
      <c r="C1715" s="125" t="s">
        <v>494</v>
      </c>
      <c r="D1715" s="125" t="s">
        <v>454</v>
      </c>
      <c r="E1715" s="125" t="s">
        <v>189</v>
      </c>
      <c r="F1715" s="126">
        <v>40542.0</v>
      </c>
      <c r="G1715" s="127">
        <v>7.08E8</v>
      </c>
      <c r="H1715" s="126">
        <v>40549.0</v>
      </c>
      <c r="I1715" s="128">
        <v>8614.0</v>
      </c>
      <c r="J1715" s="128">
        <v>9.33</v>
      </c>
      <c r="K1715" s="128">
        <v>6.92</v>
      </c>
      <c r="L1715" s="128">
        <v>80368.62</v>
      </c>
      <c r="M1715" s="128">
        <v>59608.88</v>
      </c>
      <c r="N1715" s="128">
        <v>20759.74</v>
      </c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</row>
    <row r="1716">
      <c r="A1716" s="125" t="s">
        <v>461</v>
      </c>
      <c r="B1716" s="125" t="s">
        <v>615</v>
      </c>
      <c r="C1716" s="125" t="s">
        <v>460</v>
      </c>
      <c r="D1716" s="125" t="s">
        <v>457</v>
      </c>
      <c r="E1716" s="125" t="s">
        <v>464</v>
      </c>
      <c r="F1716" s="126">
        <v>40965.0</v>
      </c>
      <c r="G1716" s="127">
        <v>6.41E8</v>
      </c>
      <c r="H1716" s="126">
        <v>41001.0</v>
      </c>
      <c r="I1716" s="128">
        <v>6285.0</v>
      </c>
      <c r="J1716" s="128">
        <v>47.45</v>
      </c>
      <c r="K1716" s="128">
        <v>31.79</v>
      </c>
      <c r="L1716" s="128">
        <v>298223.3</v>
      </c>
      <c r="M1716" s="128">
        <v>199800.2</v>
      </c>
      <c r="N1716" s="128">
        <v>98423.1</v>
      </c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</row>
    <row r="1717">
      <c r="A1717" s="125" t="s">
        <v>475</v>
      </c>
      <c r="B1717" s="125" t="s">
        <v>513</v>
      </c>
      <c r="C1717" s="125" t="s">
        <v>463</v>
      </c>
      <c r="D1717" s="125" t="s">
        <v>454</v>
      </c>
      <c r="E1717" s="125" t="s">
        <v>472</v>
      </c>
      <c r="F1717" s="126">
        <v>41924.0</v>
      </c>
      <c r="G1717" s="127">
        <v>2.91E8</v>
      </c>
      <c r="H1717" s="126">
        <v>41945.0</v>
      </c>
      <c r="I1717" s="128">
        <v>3463.0</v>
      </c>
      <c r="J1717" s="128">
        <v>205.7</v>
      </c>
      <c r="K1717" s="128">
        <v>117.11</v>
      </c>
      <c r="L1717" s="128">
        <v>712339.1</v>
      </c>
      <c r="M1717" s="128">
        <v>405551.9</v>
      </c>
      <c r="N1717" s="128">
        <v>306787.2</v>
      </c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</row>
    <row r="1718">
      <c r="A1718" s="125" t="s">
        <v>451</v>
      </c>
      <c r="B1718" s="125" t="s">
        <v>523</v>
      </c>
      <c r="C1718" s="125" t="s">
        <v>514</v>
      </c>
      <c r="D1718" s="125" t="s">
        <v>457</v>
      </c>
      <c r="E1718" s="125" t="s">
        <v>189</v>
      </c>
      <c r="F1718" s="126">
        <v>41101.0</v>
      </c>
      <c r="G1718" s="127">
        <v>5.69E8</v>
      </c>
      <c r="H1718" s="126">
        <v>41139.0</v>
      </c>
      <c r="I1718" s="128">
        <v>1248.0</v>
      </c>
      <c r="J1718" s="128">
        <v>668.27</v>
      </c>
      <c r="K1718" s="128">
        <v>502.54</v>
      </c>
      <c r="L1718" s="128">
        <v>834001.0</v>
      </c>
      <c r="M1718" s="128">
        <v>627169.9</v>
      </c>
      <c r="N1718" s="128">
        <v>206831.0</v>
      </c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</row>
    <row r="1719">
      <c r="A1719" s="125" t="s">
        <v>458</v>
      </c>
      <c r="B1719" s="125" t="s">
        <v>610</v>
      </c>
      <c r="C1719" s="125" t="s">
        <v>514</v>
      </c>
      <c r="D1719" s="125" t="s">
        <v>457</v>
      </c>
      <c r="E1719" s="125" t="s">
        <v>284</v>
      </c>
      <c r="F1719" s="126">
        <v>40718.0</v>
      </c>
      <c r="G1719" s="127">
        <v>6.57E8</v>
      </c>
      <c r="H1719" s="126">
        <v>40764.0</v>
      </c>
      <c r="I1719" s="128">
        <v>7769.0</v>
      </c>
      <c r="J1719" s="128">
        <v>668.27</v>
      </c>
      <c r="K1719" s="128">
        <v>502.54</v>
      </c>
      <c r="L1719" s="128">
        <v>5191790.0</v>
      </c>
      <c r="M1719" s="128">
        <v>3904233.0</v>
      </c>
      <c r="N1719" s="128">
        <v>1287556.0</v>
      </c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</row>
    <row r="1720">
      <c r="A1720" s="125" t="s">
        <v>451</v>
      </c>
      <c r="B1720" s="125" t="s">
        <v>455</v>
      </c>
      <c r="C1720" s="125" t="s">
        <v>456</v>
      </c>
      <c r="D1720" s="125" t="s">
        <v>454</v>
      </c>
      <c r="E1720" s="125" t="s">
        <v>284</v>
      </c>
      <c r="F1720" s="126">
        <v>40621.0</v>
      </c>
      <c r="G1720" s="127">
        <v>2.55E8</v>
      </c>
      <c r="H1720" s="126">
        <v>40641.0</v>
      </c>
      <c r="I1720" s="128">
        <v>3187.0</v>
      </c>
      <c r="J1720" s="128">
        <v>152.58</v>
      </c>
      <c r="K1720" s="128">
        <v>97.44</v>
      </c>
      <c r="L1720" s="128">
        <v>486272.5</v>
      </c>
      <c r="M1720" s="128">
        <v>310541.3</v>
      </c>
      <c r="N1720" s="128">
        <v>175731.2</v>
      </c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</row>
    <row r="1721">
      <c r="A1721" s="125" t="s">
        <v>458</v>
      </c>
      <c r="B1721" s="125" t="s">
        <v>613</v>
      </c>
      <c r="C1721" s="125" t="s">
        <v>460</v>
      </c>
      <c r="D1721" s="125" t="s">
        <v>457</v>
      </c>
      <c r="E1721" s="125" t="s">
        <v>189</v>
      </c>
      <c r="F1721" s="126">
        <v>42425.0</v>
      </c>
      <c r="G1721" s="127">
        <v>9.36E8</v>
      </c>
      <c r="H1721" s="126">
        <v>42450.0</v>
      </c>
      <c r="I1721" s="128">
        <v>4695.0</v>
      </c>
      <c r="J1721" s="128">
        <v>47.45</v>
      </c>
      <c r="K1721" s="128">
        <v>31.79</v>
      </c>
      <c r="L1721" s="128">
        <v>222777.8</v>
      </c>
      <c r="M1721" s="128">
        <v>149254.1</v>
      </c>
      <c r="N1721" s="128">
        <v>73523.7</v>
      </c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</row>
    <row r="1722">
      <c r="A1722" s="125" t="s">
        <v>466</v>
      </c>
      <c r="B1722" s="125" t="s">
        <v>484</v>
      </c>
      <c r="C1722" s="125" t="s">
        <v>485</v>
      </c>
      <c r="D1722" s="125" t="s">
        <v>457</v>
      </c>
      <c r="E1722" s="125" t="s">
        <v>284</v>
      </c>
      <c r="F1722" s="126">
        <v>42604.0</v>
      </c>
      <c r="G1722" s="127">
        <v>2.92E8</v>
      </c>
      <c r="H1722" s="126">
        <v>42640.0</v>
      </c>
      <c r="I1722" s="128">
        <v>1515.0</v>
      </c>
      <c r="J1722" s="128">
        <v>421.89</v>
      </c>
      <c r="K1722" s="128">
        <v>364.69</v>
      </c>
      <c r="L1722" s="128">
        <v>639163.4</v>
      </c>
      <c r="M1722" s="128">
        <v>552505.4</v>
      </c>
      <c r="N1722" s="128">
        <v>86658.0</v>
      </c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</row>
    <row r="1723">
      <c r="A1723" s="125" t="s">
        <v>475</v>
      </c>
      <c r="B1723" s="125" t="s">
        <v>605</v>
      </c>
      <c r="C1723" s="125" t="s">
        <v>494</v>
      </c>
      <c r="D1723" s="125" t="s">
        <v>454</v>
      </c>
      <c r="E1723" s="125" t="s">
        <v>284</v>
      </c>
      <c r="F1723" s="126">
        <v>42170.0</v>
      </c>
      <c r="G1723" s="127">
        <v>4.85E8</v>
      </c>
      <c r="H1723" s="126">
        <v>42186.0</v>
      </c>
      <c r="I1723" s="128">
        <v>9905.0</v>
      </c>
      <c r="J1723" s="128">
        <v>9.33</v>
      </c>
      <c r="K1723" s="128">
        <v>6.92</v>
      </c>
      <c r="L1723" s="128">
        <v>92413.65</v>
      </c>
      <c r="M1723" s="128">
        <v>68542.6</v>
      </c>
      <c r="N1723" s="128">
        <v>23871.05</v>
      </c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</row>
    <row r="1724">
      <c r="A1724" s="125" t="s">
        <v>451</v>
      </c>
      <c r="B1724" s="125" t="s">
        <v>543</v>
      </c>
      <c r="C1724" s="125" t="s">
        <v>468</v>
      </c>
      <c r="D1724" s="125" t="s">
        <v>457</v>
      </c>
      <c r="E1724" s="125" t="s">
        <v>472</v>
      </c>
      <c r="F1724" s="126">
        <v>42524.0</v>
      </c>
      <c r="G1724" s="127">
        <v>5.99E8</v>
      </c>
      <c r="H1724" s="126">
        <v>42570.0</v>
      </c>
      <c r="I1724" s="128">
        <v>8148.0</v>
      </c>
      <c r="J1724" s="128">
        <v>81.73</v>
      </c>
      <c r="K1724" s="128">
        <v>56.67</v>
      </c>
      <c r="L1724" s="128">
        <v>665936.0</v>
      </c>
      <c r="M1724" s="128">
        <v>461747.2</v>
      </c>
      <c r="N1724" s="128">
        <v>204188.9</v>
      </c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</row>
    <row r="1725">
      <c r="A1725" s="125" t="s">
        <v>475</v>
      </c>
      <c r="B1725" s="125" t="s">
        <v>548</v>
      </c>
      <c r="C1725" s="125" t="s">
        <v>453</v>
      </c>
      <c r="D1725" s="125" t="s">
        <v>457</v>
      </c>
      <c r="E1725" s="125" t="s">
        <v>284</v>
      </c>
      <c r="F1725" s="126">
        <v>41306.0</v>
      </c>
      <c r="G1725" s="127">
        <v>6.87E8</v>
      </c>
      <c r="H1725" s="126">
        <v>41346.0</v>
      </c>
      <c r="I1725" s="128">
        <v>1563.0</v>
      </c>
      <c r="J1725" s="128">
        <v>255.28</v>
      </c>
      <c r="K1725" s="128">
        <v>159.42</v>
      </c>
      <c r="L1725" s="128">
        <v>399002.6</v>
      </c>
      <c r="M1725" s="128">
        <v>249173.5</v>
      </c>
      <c r="N1725" s="128">
        <v>149829.2</v>
      </c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</row>
    <row r="1726">
      <c r="A1726" s="125" t="s">
        <v>458</v>
      </c>
      <c r="B1726" s="125" t="s">
        <v>643</v>
      </c>
      <c r="C1726" s="125" t="s">
        <v>514</v>
      </c>
      <c r="D1726" s="125" t="s">
        <v>457</v>
      </c>
      <c r="E1726" s="125" t="s">
        <v>284</v>
      </c>
      <c r="F1726" s="126">
        <v>42077.0</v>
      </c>
      <c r="G1726" s="127">
        <v>4.22E8</v>
      </c>
      <c r="H1726" s="126">
        <v>42105.0</v>
      </c>
      <c r="I1726" s="128">
        <v>7498.0</v>
      </c>
      <c r="J1726" s="128">
        <v>668.27</v>
      </c>
      <c r="K1726" s="128">
        <v>502.54</v>
      </c>
      <c r="L1726" s="128">
        <v>5010688.0</v>
      </c>
      <c r="M1726" s="128">
        <v>3768045.0</v>
      </c>
      <c r="N1726" s="128">
        <v>1242644.0</v>
      </c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</row>
    <row r="1727">
      <c r="A1727" s="125" t="s">
        <v>458</v>
      </c>
      <c r="B1727" s="125" t="s">
        <v>518</v>
      </c>
      <c r="C1727" s="125" t="s">
        <v>480</v>
      </c>
      <c r="D1727" s="125" t="s">
        <v>457</v>
      </c>
      <c r="E1727" s="125" t="s">
        <v>284</v>
      </c>
      <c r="F1727" s="126">
        <v>41873.0</v>
      </c>
      <c r="G1727" s="127">
        <v>4.47E8</v>
      </c>
      <c r="H1727" s="126">
        <v>41901.0</v>
      </c>
      <c r="I1727" s="128">
        <v>334.0</v>
      </c>
      <c r="J1727" s="128">
        <v>437.2</v>
      </c>
      <c r="K1727" s="128">
        <v>263.33</v>
      </c>
      <c r="L1727" s="128">
        <v>146024.8</v>
      </c>
      <c r="M1727" s="128">
        <v>87952.22</v>
      </c>
      <c r="N1727" s="128">
        <v>58072.58</v>
      </c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</row>
    <row r="1728">
      <c r="A1728" s="125" t="s">
        <v>458</v>
      </c>
      <c r="B1728" s="125" t="s">
        <v>493</v>
      </c>
      <c r="C1728" s="125" t="s">
        <v>506</v>
      </c>
      <c r="D1728" s="125" t="s">
        <v>457</v>
      </c>
      <c r="E1728" s="125" t="s">
        <v>464</v>
      </c>
      <c r="F1728" s="126">
        <v>40884.0</v>
      </c>
      <c r="G1728" s="127">
        <v>1.28E8</v>
      </c>
      <c r="H1728" s="126">
        <v>40904.0</v>
      </c>
      <c r="I1728" s="128">
        <v>6481.0</v>
      </c>
      <c r="J1728" s="128">
        <v>154.06</v>
      </c>
      <c r="K1728" s="128">
        <v>90.93</v>
      </c>
      <c r="L1728" s="128">
        <v>998462.9</v>
      </c>
      <c r="M1728" s="128">
        <v>589317.3</v>
      </c>
      <c r="N1728" s="128">
        <v>409145.5</v>
      </c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</row>
    <row r="1729">
      <c r="A1729" s="125" t="s">
        <v>458</v>
      </c>
      <c r="B1729" s="125" t="s">
        <v>641</v>
      </c>
      <c r="C1729" s="125" t="s">
        <v>485</v>
      </c>
      <c r="D1729" s="125" t="s">
        <v>457</v>
      </c>
      <c r="E1729" s="125" t="s">
        <v>189</v>
      </c>
      <c r="F1729" s="126">
        <v>41073.0</v>
      </c>
      <c r="G1729" s="127">
        <v>6.98E8</v>
      </c>
      <c r="H1729" s="126">
        <v>41097.0</v>
      </c>
      <c r="I1729" s="128">
        <v>9381.0</v>
      </c>
      <c r="J1729" s="128">
        <v>421.89</v>
      </c>
      <c r="K1729" s="128">
        <v>364.69</v>
      </c>
      <c r="L1729" s="128">
        <v>3957750.0</v>
      </c>
      <c r="M1729" s="128">
        <v>3421157.0</v>
      </c>
      <c r="N1729" s="128">
        <v>536593.2</v>
      </c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</row>
    <row r="1730">
      <c r="A1730" s="125" t="s">
        <v>458</v>
      </c>
      <c r="B1730" s="125" t="s">
        <v>553</v>
      </c>
      <c r="C1730" s="125" t="s">
        <v>468</v>
      </c>
      <c r="D1730" s="125" t="s">
        <v>457</v>
      </c>
      <c r="E1730" s="125" t="s">
        <v>464</v>
      </c>
      <c r="F1730" s="126">
        <v>42026.0</v>
      </c>
      <c r="G1730" s="127">
        <v>3.12E8</v>
      </c>
      <c r="H1730" s="126">
        <v>42049.0</v>
      </c>
      <c r="I1730" s="128">
        <v>4509.0</v>
      </c>
      <c r="J1730" s="128">
        <v>81.73</v>
      </c>
      <c r="K1730" s="128">
        <v>56.67</v>
      </c>
      <c r="L1730" s="128">
        <v>368520.6</v>
      </c>
      <c r="M1730" s="128">
        <v>255525.0</v>
      </c>
      <c r="N1730" s="128">
        <v>112995.5</v>
      </c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</row>
    <row r="1731">
      <c r="A1731" s="125" t="s">
        <v>466</v>
      </c>
      <c r="B1731" s="125" t="s">
        <v>531</v>
      </c>
      <c r="C1731" s="125" t="s">
        <v>514</v>
      </c>
      <c r="D1731" s="125" t="s">
        <v>457</v>
      </c>
      <c r="E1731" s="125" t="s">
        <v>189</v>
      </c>
      <c r="F1731" s="126">
        <v>42332.0</v>
      </c>
      <c r="G1731" s="127">
        <v>7.95E8</v>
      </c>
      <c r="H1731" s="126">
        <v>42369.0</v>
      </c>
      <c r="I1731" s="128">
        <v>4369.0</v>
      </c>
      <c r="J1731" s="128">
        <v>668.27</v>
      </c>
      <c r="K1731" s="128">
        <v>502.54</v>
      </c>
      <c r="L1731" s="128">
        <v>2919672.0</v>
      </c>
      <c r="M1731" s="128">
        <v>2195597.0</v>
      </c>
      <c r="N1731" s="128">
        <v>724074.4</v>
      </c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</row>
    <row r="1732">
      <c r="A1732" s="125" t="s">
        <v>466</v>
      </c>
      <c r="B1732" s="125" t="s">
        <v>496</v>
      </c>
      <c r="C1732" s="125" t="s">
        <v>506</v>
      </c>
      <c r="D1732" s="125" t="s">
        <v>457</v>
      </c>
      <c r="E1732" s="125" t="s">
        <v>472</v>
      </c>
      <c r="F1732" s="126">
        <v>40974.0</v>
      </c>
      <c r="G1732" s="127">
        <v>8.93E8</v>
      </c>
      <c r="H1732" s="126">
        <v>40974.0</v>
      </c>
      <c r="I1732" s="128">
        <v>3497.0</v>
      </c>
      <c r="J1732" s="128">
        <v>154.06</v>
      </c>
      <c r="K1732" s="128">
        <v>90.93</v>
      </c>
      <c r="L1732" s="128">
        <v>538747.8</v>
      </c>
      <c r="M1732" s="128">
        <v>317982.2</v>
      </c>
      <c r="N1732" s="128">
        <v>220765.6</v>
      </c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</row>
    <row r="1733">
      <c r="A1733" s="125" t="s">
        <v>475</v>
      </c>
      <c r="B1733" s="125" t="s">
        <v>604</v>
      </c>
      <c r="C1733" s="125" t="s">
        <v>471</v>
      </c>
      <c r="D1733" s="125" t="s">
        <v>454</v>
      </c>
      <c r="E1733" s="125" t="s">
        <v>464</v>
      </c>
      <c r="F1733" s="126">
        <v>41468.0</v>
      </c>
      <c r="G1733" s="127">
        <v>3.21E8</v>
      </c>
      <c r="H1733" s="126">
        <v>41504.0</v>
      </c>
      <c r="I1733" s="128">
        <v>3462.0</v>
      </c>
      <c r="J1733" s="128">
        <v>109.28</v>
      </c>
      <c r="K1733" s="128">
        <v>35.84</v>
      </c>
      <c r="L1733" s="128">
        <v>378327.4</v>
      </c>
      <c r="M1733" s="128">
        <v>124078.1</v>
      </c>
      <c r="N1733" s="128">
        <v>254249.3</v>
      </c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</row>
    <row r="1734">
      <c r="A1734" s="125" t="s">
        <v>461</v>
      </c>
      <c r="B1734" s="125" t="s">
        <v>611</v>
      </c>
      <c r="C1734" s="125" t="s">
        <v>506</v>
      </c>
      <c r="D1734" s="125" t="s">
        <v>457</v>
      </c>
      <c r="E1734" s="125" t="s">
        <v>472</v>
      </c>
      <c r="F1734" s="126">
        <v>42191.0</v>
      </c>
      <c r="G1734" s="127">
        <v>2.15E8</v>
      </c>
      <c r="H1734" s="126">
        <v>42219.0</v>
      </c>
      <c r="I1734" s="128">
        <v>7860.0</v>
      </c>
      <c r="J1734" s="128">
        <v>154.06</v>
      </c>
      <c r="K1734" s="128">
        <v>90.93</v>
      </c>
      <c r="L1734" s="128">
        <v>1210912.0</v>
      </c>
      <c r="M1734" s="128">
        <v>714709.8</v>
      </c>
      <c r="N1734" s="128">
        <v>496201.8</v>
      </c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</row>
    <row r="1735">
      <c r="A1735" s="125" t="s">
        <v>466</v>
      </c>
      <c r="B1735" s="125" t="s">
        <v>479</v>
      </c>
      <c r="C1735" s="125" t="s">
        <v>460</v>
      </c>
      <c r="D1735" s="125" t="s">
        <v>457</v>
      </c>
      <c r="E1735" s="125" t="s">
        <v>189</v>
      </c>
      <c r="F1735" s="126">
        <v>40524.0</v>
      </c>
      <c r="G1735" s="127">
        <v>8.82E8</v>
      </c>
      <c r="H1735" s="126">
        <v>40526.0</v>
      </c>
      <c r="I1735" s="128">
        <v>7323.0</v>
      </c>
      <c r="J1735" s="128">
        <v>47.45</v>
      </c>
      <c r="K1735" s="128">
        <v>31.79</v>
      </c>
      <c r="L1735" s="128">
        <v>347476.4</v>
      </c>
      <c r="M1735" s="128">
        <v>232798.2</v>
      </c>
      <c r="N1735" s="128">
        <v>114678.2</v>
      </c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</row>
    <row r="1736">
      <c r="A1736" s="125" t="s">
        <v>475</v>
      </c>
      <c r="B1736" s="125" t="s">
        <v>602</v>
      </c>
      <c r="C1736" s="125" t="s">
        <v>460</v>
      </c>
      <c r="D1736" s="125" t="s">
        <v>457</v>
      </c>
      <c r="E1736" s="125" t="s">
        <v>472</v>
      </c>
      <c r="F1736" s="126">
        <v>42534.0</v>
      </c>
      <c r="G1736" s="127">
        <v>4.48E8</v>
      </c>
      <c r="H1736" s="126">
        <v>42579.0</v>
      </c>
      <c r="I1736" s="128">
        <v>4511.0</v>
      </c>
      <c r="J1736" s="128">
        <v>47.45</v>
      </c>
      <c r="K1736" s="128">
        <v>31.79</v>
      </c>
      <c r="L1736" s="128">
        <v>214047.0</v>
      </c>
      <c r="M1736" s="128">
        <v>143404.7</v>
      </c>
      <c r="N1736" s="128">
        <v>70642.26</v>
      </c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</row>
    <row r="1737">
      <c r="A1737" s="125" t="s">
        <v>466</v>
      </c>
      <c r="B1737" s="125" t="s">
        <v>479</v>
      </c>
      <c r="C1737" s="125" t="s">
        <v>460</v>
      </c>
      <c r="D1737" s="125" t="s">
        <v>457</v>
      </c>
      <c r="E1737" s="125" t="s">
        <v>284</v>
      </c>
      <c r="F1737" s="126">
        <v>42231.0</v>
      </c>
      <c r="G1737" s="127">
        <v>7.1E8</v>
      </c>
      <c r="H1737" s="126">
        <v>42263.0</v>
      </c>
      <c r="I1737" s="128">
        <v>9117.0</v>
      </c>
      <c r="J1737" s="128">
        <v>47.45</v>
      </c>
      <c r="K1737" s="128">
        <v>31.79</v>
      </c>
      <c r="L1737" s="128">
        <v>432601.7</v>
      </c>
      <c r="M1737" s="128">
        <v>289829.4</v>
      </c>
      <c r="N1737" s="128">
        <v>142772.2</v>
      </c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</row>
    <row r="1738">
      <c r="A1738" s="125" t="s">
        <v>458</v>
      </c>
      <c r="B1738" s="125" t="s">
        <v>559</v>
      </c>
      <c r="C1738" s="125" t="s">
        <v>480</v>
      </c>
      <c r="D1738" s="125" t="s">
        <v>457</v>
      </c>
      <c r="E1738" s="125" t="s">
        <v>189</v>
      </c>
      <c r="F1738" s="126">
        <v>42314.0</v>
      </c>
      <c r="G1738" s="127">
        <v>3.85E8</v>
      </c>
      <c r="H1738" s="126">
        <v>42315.0</v>
      </c>
      <c r="I1738" s="128">
        <v>2864.0</v>
      </c>
      <c r="J1738" s="128">
        <v>437.2</v>
      </c>
      <c r="K1738" s="128">
        <v>263.33</v>
      </c>
      <c r="L1738" s="128">
        <v>1252141.0</v>
      </c>
      <c r="M1738" s="128">
        <v>754177.1</v>
      </c>
      <c r="N1738" s="128">
        <v>497963.7</v>
      </c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</row>
    <row r="1739">
      <c r="A1739" s="125" t="s">
        <v>461</v>
      </c>
      <c r="B1739" s="125" t="s">
        <v>615</v>
      </c>
      <c r="C1739" s="125" t="s">
        <v>480</v>
      </c>
      <c r="D1739" s="125" t="s">
        <v>454</v>
      </c>
      <c r="E1739" s="125" t="s">
        <v>464</v>
      </c>
      <c r="F1739" s="126">
        <v>41719.0</v>
      </c>
      <c r="G1739" s="127">
        <v>9.61E8</v>
      </c>
      <c r="H1739" s="126">
        <v>41750.0</v>
      </c>
      <c r="I1739" s="128">
        <v>4507.0</v>
      </c>
      <c r="J1739" s="128">
        <v>437.2</v>
      </c>
      <c r="K1739" s="128">
        <v>263.33</v>
      </c>
      <c r="L1739" s="128">
        <v>1970460.0</v>
      </c>
      <c r="M1739" s="128">
        <v>1186828.0</v>
      </c>
      <c r="N1739" s="128">
        <v>783632.1</v>
      </c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</row>
    <row r="1740">
      <c r="A1740" s="125" t="s">
        <v>466</v>
      </c>
      <c r="B1740" s="125" t="s">
        <v>598</v>
      </c>
      <c r="C1740" s="125" t="s">
        <v>463</v>
      </c>
      <c r="D1740" s="125" t="s">
        <v>457</v>
      </c>
      <c r="E1740" s="125" t="s">
        <v>189</v>
      </c>
      <c r="F1740" s="126">
        <v>42538.0</v>
      </c>
      <c r="G1740" s="127">
        <v>8.46E8</v>
      </c>
      <c r="H1740" s="126">
        <v>42549.0</v>
      </c>
      <c r="I1740" s="128">
        <v>4833.0</v>
      </c>
      <c r="J1740" s="128">
        <v>205.7</v>
      </c>
      <c r="K1740" s="128">
        <v>117.11</v>
      </c>
      <c r="L1740" s="128">
        <v>994148.1</v>
      </c>
      <c r="M1740" s="128">
        <v>565992.6</v>
      </c>
      <c r="N1740" s="128">
        <v>428155.5</v>
      </c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</row>
    <row r="1741">
      <c r="A1741" s="125" t="s">
        <v>461</v>
      </c>
      <c r="B1741" s="125" t="s">
        <v>586</v>
      </c>
      <c r="C1741" s="125" t="s">
        <v>480</v>
      </c>
      <c r="D1741" s="125" t="s">
        <v>457</v>
      </c>
      <c r="E1741" s="125" t="s">
        <v>284</v>
      </c>
      <c r="F1741" s="126">
        <v>40337.0</v>
      </c>
      <c r="G1741" s="127">
        <v>3.18E8</v>
      </c>
      <c r="H1741" s="126">
        <v>40358.0</v>
      </c>
      <c r="I1741" s="128">
        <v>1659.0</v>
      </c>
      <c r="J1741" s="128">
        <v>437.2</v>
      </c>
      <c r="K1741" s="128">
        <v>263.33</v>
      </c>
      <c r="L1741" s="128">
        <v>725314.8</v>
      </c>
      <c r="M1741" s="128">
        <v>436864.5</v>
      </c>
      <c r="N1741" s="128">
        <v>288450.3</v>
      </c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</row>
    <row r="1742">
      <c r="A1742" s="125" t="s">
        <v>475</v>
      </c>
      <c r="B1742" s="125" t="s">
        <v>575</v>
      </c>
      <c r="C1742" s="125" t="s">
        <v>506</v>
      </c>
      <c r="D1742" s="125" t="s">
        <v>454</v>
      </c>
      <c r="E1742" s="125" t="s">
        <v>464</v>
      </c>
      <c r="F1742" s="126">
        <v>42135.0</v>
      </c>
      <c r="G1742" s="127">
        <v>1.75E8</v>
      </c>
      <c r="H1742" s="126">
        <v>42135.0</v>
      </c>
      <c r="I1742" s="128">
        <v>4833.0</v>
      </c>
      <c r="J1742" s="128">
        <v>154.06</v>
      </c>
      <c r="K1742" s="128">
        <v>90.93</v>
      </c>
      <c r="L1742" s="128">
        <v>744572.0</v>
      </c>
      <c r="M1742" s="128">
        <v>439464.7</v>
      </c>
      <c r="N1742" s="128">
        <v>305107.3</v>
      </c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</row>
    <row r="1743">
      <c r="A1743" s="125" t="s">
        <v>469</v>
      </c>
      <c r="B1743" s="125" t="s">
        <v>520</v>
      </c>
      <c r="C1743" s="125" t="s">
        <v>471</v>
      </c>
      <c r="D1743" s="125" t="s">
        <v>457</v>
      </c>
      <c r="E1743" s="125" t="s">
        <v>189</v>
      </c>
      <c r="F1743" s="126">
        <v>42894.0</v>
      </c>
      <c r="G1743" s="127">
        <v>3.86E8</v>
      </c>
      <c r="H1743" s="126">
        <v>42926.0</v>
      </c>
      <c r="I1743" s="128">
        <v>1235.0</v>
      </c>
      <c r="J1743" s="128">
        <v>109.28</v>
      </c>
      <c r="K1743" s="128">
        <v>35.84</v>
      </c>
      <c r="L1743" s="128">
        <v>134960.8</v>
      </c>
      <c r="M1743" s="128">
        <v>44262.4</v>
      </c>
      <c r="N1743" s="128">
        <v>90698.4</v>
      </c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</row>
    <row r="1744">
      <c r="A1744" s="125" t="s">
        <v>461</v>
      </c>
      <c r="B1744" s="125" t="s">
        <v>629</v>
      </c>
      <c r="C1744" s="125" t="s">
        <v>480</v>
      </c>
      <c r="D1744" s="125" t="s">
        <v>457</v>
      </c>
      <c r="E1744" s="125" t="s">
        <v>284</v>
      </c>
      <c r="F1744" s="126">
        <v>40728.0</v>
      </c>
      <c r="G1744" s="127">
        <v>5.4E8</v>
      </c>
      <c r="H1744" s="126">
        <v>40735.0</v>
      </c>
      <c r="I1744" s="128">
        <v>9777.0</v>
      </c>
      <c r="J1744" s="128">
        <v>437.2</v>
      </c>
      <c r="K1744" s="128">
        <v>263.33</v>
      </c>
      <c r="L1744" s="128">
        <v>4274504.0</v>
      </c>
      <c r="M1744" s="128">
        <v>2574577.0</v>
      </c>
      <c r="N1744" s="128">
        <v>1699927.0</v>
      </c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</row>
    <row r="1745">
      <c r="A1745" s="125" t="s">
        <v>475</v>
      </c>
      <c r="B1745" s="125" t="s">
        <v>562</v>
      </c>
      <c r="C1745" s="125" t="s">
        <v>471</v>
      </c>
      <c r="D1745" s="125" t="s">
        <v>454</v>
      </c>
      <c r="E1745" s="125" t="s">
        <v>472</v>
      </c>
      <c r="F1745" s="126">
        <v>41058.0</v>
      </c>
      <c r="G1745" s="127">
        <v>2.98E8</v>
      </c>
      <c r="H1745" s="126">
        <v>41068.0</v>
      </c>
      <c r="I1745" s="128">
        <v>6401.0</v>
      </c>
      <c r="J1745" s="128">
        <v>109.28</v>
      </c>
      <c r="K1745" s="128">
        <v>35.84</v>
      </c>
      <c r="L1745" s="128">
        <v>699501.3</v>
      </c>
      <c r="M1745" s="128">
        <v>229411.8</v>
      </c>
      <c r="N1745" s="128">
        <v>470089.4</v>
      </c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</row>
    <row r="1746">
      <c r="A1746" s="125" t="s">
        <v>475</v>
      </c>
      <c r="B1746" s="125" t="s">
        <v>574</v>
      </c>
      <c r="C1746" s="125" t="s">
        <v>460</v>
      </c>
      <c r="D1746" s="125" t="s">
        <v>457</v>
      </c>
      <c r="E1746" s="125" t="s">
        <v>189</v>
      </c>
      <c r="F1746" s="126">
        <v>41395.0</v>
      </c>
      <c r="G1746" s="127">
        <v>7.37E8</v>
      </c>
      <c r="H1746" s="126">
        <v>41429.0</v>
      </c>
      <c r="I1746" s="128">
        <v>9080.0</v>
      </c>
      <c r="J1746" s="128">
        <v>47.45</v>
      </c>
      <c r="K1746" s="128">
        <v>31.79</v>
      </c>
      <c r="L1746" s="128">
        <v>430846.0</v>
      </c>
      <c r="M1746" s="128">
        <v>288653.2</v>
      </c>
      <c r="N1746" s="128">
        <v>142192.8</v>
      </c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</row>
    <row r="1747">
      <c r="A1747" s="125" t="s">
        <v>458</v>
      </c>
      <c r="B1747" s="125" t="s">
        <v>606</v>
      </c>
      <c r="C1747" s="125" t="s">
        <v>514</v>
      </c>
      <c r="D1747" s="125" t="s">
        <v>457</v>
      </c>
      <c r="E1747" s="125" t="s">
        <v>189</v>
      </c>
      <c r="F1747" s="126">
        <v>41022.0</v>
      </c>
      <c r="G1747" s="127">
        <v>3.09E8</v>
      </c>
      <c r="H1747" s="126">
        <v>41034.0</v>
      </c>
      <c r="I1747" s="128">
        <v>2819.0</v>
      </c>
      <c r="J1747" s="128">
        <v>668.27</v>
      </c>
      <c r="K1747" s="128">
        <v>502.54</v>
      </c>
      <c r="L1747" s="128">
        <v>1883853.0</v>
      </c>
      <c r="M1747" s="128">
        <v>1416660.0</v>
      </c>
      <c r="N1747" s="128">
        <v>467192.9</v>
      </c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</row>
    <row r="1748">
      <c r="A1748" s="125" t="s">
        <v>451</v>
      </c>
      <c r="B1748" s="125" t="s">
        <v>482</v>
      </c>
      <c r="C1748" s="125" t="s">
        <v>478</v>
      </c>
      <c r="D1748" s="125" t="s">
        <v>457</v>
      </c>
      <c r="E1748" s="125" t="s">
        <v>464</v>
      </c>
      <c r="F1748" s="126">
        <v>42376.0</v>
      </c>
      <c r="G1748" s="127">
        <v>6.84E8</v>
      </c>
      <c r="H1748" s="126">
        <v>42418.0</v>
      </c>
      <c r="I1748" s="128">
        <v>4655.0</v>
      </c>
      <c r="J1748" s="128">
        <v>651.21</v>
      </c>
      <c r="K1748" s="128">
        <v>524.96</v>
      </c>
      <c r="L1748" s="128">
        <v>3031383.0</v>
      </c>
      <c r="M1748" s="128">
        <v>2443689.0</v>
      </c>
      <c r="N1748" s="128">
        <v>587693.8</v>
      </c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</row>
    <row r="1749">
      <c r="A1749" s="125" t="s">
        <v>475</v>
      </c>
      <c r="B1749" s="125" t="s">
        <v>656</v>
      </c>
      <c r="C1749" s="125" t="s">
        <v>456</v>
      </c>
      <c r="D1749" s="125" t="s">
        <v>454</v>
      </c>
      <c r="E1749" s="125" t="s">
        <v>284</v>
      </c>
      <c r="F1749" s="126">
        <v>41370.0</v>
      </c>
      <c r="G1749" s="127">
        <v>9.02E8</v>
      </c>
      <c r="H1749" s="126">
        <v>41377.0</v>
      </c>
      <c r="I1749" s="128">
        <v>8655.0</v>
      </c>
      <c r="J1749" s="128">
        <v>152.58</v>
      </c>
      <c r="K1749" s="128">
        <v>97.44</v>
      </c>
      <c r="L1749" s="128">
        <v>1320580.0</v>
      </c>
      <c r="M1749" s="128">
        <v>843343.2</v>
      </c>
      <c r="N1749" s="128">
        <v>477236.7</v>
      </c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</row>
    <row r="1750">
      <c r="A1750" s="125" t="s">
        <v>469</v>
      </c>
      <c r="B1750" s="125" t="s">
        <v>503</v>
      </c>
      <c r="C1750" s="125" t="s">
        <v>506</v>
      </c>
      <c r="D1750" s="125" t="s">
        <v>457</v>
      </c>
      <c r="E1750" s="125" t="s">
        <v>472</v>
      </c>
      <c r="F1750" s="126">
        <v>42601.0</v>
      </c>
      <c r="G1750" s="127">
        <v>5.25E8</v>
      </c>
      <c r="H1750" s="126">
        <v>42609.0</v>
      </c>
      <c r="I1750" s="128">
        <v>917.0</v>
      </c>
      <c r="J1750" s="128">
        <v>154.06</v>
      </c>
      <c r="K1750" s="128">
        <v>90.93</v>
      </c>
      <c r="L1750" s="128">
        <v>141273.0</v>
      </c>
      <c r="M1750" s="128">
        <v>83382.81</v>
      </c>
      <c r="N1750" s="128">
        <v>57890.21</v>
      </c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</row>
    <row r="1751">
      <c r="A1751" s="125" t="s">
        <v>469</v>
      </c>
      <c r="B1751" s="125" t="s">
        <v>501</v>
      </c>
      <c r="C1751" s="125" t="s">
        <v>506</v>
      </c>
      <c r="D1751" s="125" t="s">
        <v>454</v>
      </c>
      <c r="E1751" s="125" t="s">
        <v>472</v>
      </c>
      <c r="F1751" s="126">
        <v>41377.0</v>
      </c>
      <c r="G1751" s="127">
        <v>9.84E8</v>
      </c>
      <c r="H1751" s="126">
        <v>41406.0</v>
      </c>
      <c r="I1751" s="128">
        <v>4572.0</v>
      </c>
      <c r="J1751" s="128">
        <v>154.06</v>
      </c>
      <c r="K1751" s="128">
        <v>90.93</v>
      </c>
      <c r="L1751" s="128">
        <v>704362.3</v>
      </c>
      <c r="M1751" s="128">
        <v>415732.0</v>
      </c>
      <c r="N1751" s="128">
        <v>288630.4</v>
      </c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</row>
    <row r="1752">
      <c r="A1752" s="125" t="s">
        <v>458</v>
      </c>
      <c r="B1752" s="125" t="s">
        <v>541</v>
      </c>
      <c r="C1752" s="125" t="s">
        <v>453</v>
      </c>
      <c r="D1752" s="125" t="s">
        <v>457</v>
      </c>
      <c r="E1752" s="125" t="s">
        <v>464</v>
      </c>
      <c r="F1752" s="126">
        <v>41691.0</v>
      </c>
      <c r="G1752" s="127">
        <v>6.3E8</v>
      </c>
      <c r="H1752" s="126">
        <v>41712.0</v>
      </c>
      <c r="I1752" s="128">
        <v>4780.0</v>
      </c>
      <c r="J1752" s="128">
        <v>255.28</v>
      </c>
      <c r="K1752" s="128">
        <v>159.42</v>
      </c>
      <c r="L1752" s="128">
        <v>1220238.0</v>
      </c>
      <c r="M1752" s="128">
        <v>762027.6</v>
      </c>
      <c r="N1752" s="128">
        <v>458210.8</v>
      </c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</row>
    <row r="1753">
      <c r="A1753" s="125" t="s">
        <v>458</v>
      </c>
      <c r="B1753" s="125" t="s">
        <v>573</v>
      </c>
      <c r="C1753" s="125" t="s">
        <v>456</v>
      </c>
      <c r="D1753" s="125" t="s">
        <v>454</v>
      </c>
      <c r="E1753" s="125" t="s">
        <v>472</v>
      </c>
      <c r="F1753" s="126">
        <v>41012.0</v>
      </c>
      <c r="G1753" s="127">
        <v>5.86E8</v>
      </c>
      <c r="H1753" s="126">
        <v>41033.0</v>
      </c>
      <c r="I1753" s="128">
        <v>3734.0</v>
      </c>
      <c r="J1753" s="128">
        <v>152.58</v>
      </c>
      <c r="K1753" s="128">
        <v>97.44</v>
      </c>
      <c r="L1753" s="128">
        <v>569733.7</v>
      </c>
      <c r="M1753" s="128">
        <v>363841.0</v>
      </c>
      <c r="N1753" s="128">
        <v>205892.8</v>
      </c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</row>
    <row r="1754">
      <c r="A1754" s="125" t="s">
        <v>458</v>
      </c>
      <c r="B1754" s="125" t="s">
        <v>616</v>
      </c>
      <c r="C1754" s="125" t="s">
        <v>514</v>
      </c>
      <c r="D1754" s="125" t="s">
        <v>454</v>
      </c>
      <c r="E1754" s="125" t="s">
        <v>284</v>
      </c>
      <c r="F1754" s="126">
        <v>42727.0</v>
      </c>
      <c r="G1754" s="127">
        <v>6.93E8</v>
      </c>
      <c r="H1754" s="126">
        <v>42759.0</v>
      </c>
      <c r="I1754" s="128">
        <v>5657.0</v>
      </c>
      <c r="J1754" s="128">
        <v>668.27</v>
      </c>
      <c r="K1754" s="128">
        <v>502.54</v>
      </c>
      <c r="L1754" s="128">
        <v>3780403.0</v>
      </c>
      <c r="M1754" s="128">
        <v>2842869.0</v>
      </c>
      <c r="N1754" s="128">
        <v>937534.6</v>
      </c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</row>
    <row r="1755">
      <c r="A1755" s="125" t="s">
        <v>475</v>
      </c>
      <c r="B1755" s="125" t="s">
        <v>527</v>
      </c>
      <c r="C1755" s="125" t="s">
        <v>456</v>
      </c>
      <c r="D1755" s="125" t="s">
        <v>457</v>
      </c>
      <c r="E1755" s="125" t="s">
        <v>472</v>
      </c>
      <c r="F1755" s="126">
        <v>40933.0</v>
      </c>
      <c r="G1755" s="127">
        <v>8.64E8</v>
      </c>
      <c r="H1755" s="126">
        <v>40975.0</v>
      </c>
      <c r="I1755" s="128">
        <v>1805.0</v>
      </c>
      <c r="J1755" s="128">
        <v>152.58</v>
      </c>
      <c r="K1755" s="128">
        <v>97.44</v>
      </c>
      <c r="L1755" s="128">
        <v>275406.9</v>
      </c>
      <c r="M1755" s="128">
        <v>175879.2</v>
      </c>
      <c r="N1755" s="128">
        <v>99527.7</v>
      </c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</row>
    <row r="1756">
      <c r="A1756" s="125" t="s">
        <v>469</v>
      </c>
      <c r="B1756" s="125" t="s">
        <v>589</v>
      </c>
      <c r="C1756" s="125" t="s">
        <v>480</v>
      </c>
      <c r="D1756" s="125" t="s">
        <v>457</v>
      </c>
      <c r="E1756" s="125" t="s">
        <v>189</v>
      </c>
      <c r="F1756" s="126">
        <v>41180.0</v>
      </c>
      <c r="G1756" s="127">
        <v>6.32E8</v>
      </c>
      <c r="H1756" s="126">
        <v>41183.0</v>
      </c>
      <c r="I1756" s="128">
        <v>5464.0</v>
      </c>
      <c r="J1756" s="128">
        <v>437.2</v>
      </c>
      <c r="K1756" s="128">
        <v>263.33</v>
      </c>
      <c r="L1756" s="128">
        <v>2388861.0</v>
      </c>
      <c r="M1756" s="128">
        <v>1438835.0</v>
      </c>
      <c r="N1756" s="128">
        <v>950025.7</v>
      </c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</row>
    <row r="1757">
      <c r="A1757" s="125" t="s">
        <v>461</v>
      </c>
      <c r="B1757" s="125" t="s">
        <v>462</v>
      </c>
      <c r="C1757" s="125" t="s">
        <v>471</v>
      </c>
      <c r="D1757" s="125" t="s">
        <v>454</v>
      </c>
      <c r="E1757" s="125" t="s">
        <v>284</v>
      </c>
      <c r="F1757" s="126">
        <v>42491.0</v>
      </c>
      <c r="G1757" s="127">
        <v>5.0E8</v>
      </c>
      <c r="H1757" s="126">
        <v>42500.0</v>
      </c>
      <c r="I1757" s="128">
        <v>6950.0</v>
      </c>
      <c r="J1757" s="128">
        <v>109.28</v>
      </c>
      <c r="K1757" s="128">
        <v>35.84</v>
      </c>
      <c r="L1757" s="128">
        <v>759496.0</v>
      </c>
      <c r="M1757" s="128">
        <v>249088.0</v>
      </c>
      <c r="N1757" s="128">
        <v>510408.0</v>
      </c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</row>
    <row r="1758">
      <c r="A1758" s="125" t="s">
        <v>451</v>
      </c>
      <c r="B1758" s="125" t="s">
        <v>490</v>
      </c>
      <c r="C1758" s="125" t="s">
        <v>480</v>
      </c>
      <c r="D1758" s="125" t="s">
        <v>454</v>
      </c>
      <c r="E1758" s="125" t="s">
        <v>189</v>
      </c>
      <c r="F1758" s="126">
        <v>41513.0</v>
      </c>
      <c r="G1758" s="127">
        <v>5.92E8</v>
      </c>
      <c r="H1758" s="126">
        <v>41526.0</v>
      </c>
      <c r="I1758" s="128">
        <v>8613.0</v>
      </c>
      <c r="J1758" s="128">
        <v>437.2</v>
      </c>
      <c r="K1758" s="128">
        <v>263.33</v>
      </c>
      <c r="L1758" s="128">
        <v>3765604.0</v>
      </c>
      <c r="M1758" s="128">
        <v>2268061.0</v>
      </c>
      <c r="N1758" s="128">
        <v>1497542.0</v>
      </c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</row>
    <row r="1759">
      <c r="A1759" s="125" t="s">
        <v>488</v>
      </c>
      <c r="B1759" s="125" t="s">
        <v>645</v>
      </c>
      <c r="C1759" s="125" t="s">
        <v>485</v>
      </c>
      <c r="D1759" s="125" t="s">
        <v>454</v>
      </c>
      <c r="E1759" s="125" t="s">
        <v>284</v>
      </c>
      <c r="F1759" s="126">
        <v>42197.0</v>
      </c>
      <c r="G1759" s="127">
        <v>2.02E8</v>
      </c>
      <c r="H1759" s="126">
        <v>42203.0</v>
      </c>
      <c r="I1759" s="128">
        <v>9832.0</v>
      </c>
      <c r="J1759" s="128">
        <v>421.89</v>
      </c>
      <c r="K1759" s="128">
        <v>364.69</v>
      </c>
      <c r="L1759" s="128">
        <v>4148022.0</v>
      </c>
      <c r="M1759" s="128">
        <v>3585632.0</v>
      </c>
      <c r="N1759" s="128">
        <v>562390.4</v>
      </c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</row>
    <row r="1760">
      <c r="A1760" s="125" t="s">
        <v>458</v>
      </c>
      <c r="B1760" s="125" t="s">
        <v>627</v>
      </c>
      <c r="C1760" s="125" t="s">
        <v>480</v>
      </c>
      <c r="D1760" s="125" t="s">
        <v>454</v>
      </c>
      <c r="E1760" s="125" t="s">
        <v>189</v>
      </c>
      <c r="F1760" s="126">
        <v>40583.0</v>
      </c>
      <c r="G1760" s="127">
        <v>9.42E8</v>
      </c>
      <c r="H1760" s="126">
        <v>40631.0</v>
      </c>
      <c r="I1760" s="128">
        <v>2019.0</v>
      </c>
      <c r="J1760" s="128">
        <v>437.2</v>
      </c>
      <c r="K1760" s="128">
        <v>263.33</v>
      </c>
      <c r="L1760" s="128">
        <v>882706.8</v>
      </c>
      <c r="M1760" s="128">
        <v>531663.3</v>
      </c>
      <c r="N1760" s="128">
        <v>351043.5</v>
      </c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</row>
    <row r="1761">
      <c r="A1761" s="125" t="s">
        <v>466</v>
      </c>
      <c r="B1761" s="125" t="s">
        <v>477</v>
      </c>
      <c r="C1761" s="125" t="s">
        <v>460</v>
      </c>
      <c r="D1761" s="125" t="s">
        <v>454</v>
      </c>
      <c r="E1761" s="125" t="s">
        <v>472</v>
      </c>
      <c r="F1761" s="126">
        <v>42783.0</v>
      </c>
      <c r="G1761" s="127">
        <v>8.99E8</v>
      </c>
      <c r="H1761" s="126">
        <v>42812.0</v>
      </c>
      <c r="I1761" s="128">
        <v>3616.0</v>
      </c>
      <c r="J1761" s="128">
        <v>47.45</v>
      </c>
      <c r="K1761" s="128">
        <v>31.79</v>
      </c>
      <c r="L1761" s="128">
        <v>171579.2</v>
      </c>
      <c r="M1761" s="128">
        <v>114952.6</v>
      </c>
      <c r="N1761" s="128">
        <v>56626.56</v>
      </c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</row>
    <row r="1762">
      <c r="A1762" s="125" t="s">
        <v>461</v>
      </c>
      <c r="B1762" s="125" t="s">
        <v>621</v>
      </c>
      <c r="C1762" s="125" t="s">
        <v>463</v>
      </c>
      <c r="D1762" s="125" t="s">
        <v>454</v>
      </c>
      <c r="E1762" s="125" t="s">
        <v>284</v>
      </c>
      <c r="F1762" s="126">
        <v>41467.0</v>
      </c>
      <c r="G1762" s="127">
        <v>4.77E8</v>
      </c>
      <c r="H1762" s="126">
        <v>41475.0</v>
      </c>
      <c r="I1762" s="128">
        <v>5096.0</v>
      </c>
      <c r="J1762" s="128">
        <v>205.7</v>
      </c>
      <c r="K1762" s="128">
        <v>117.11</v>
      </c>
      <c r="L1762" s="128">
        <v>1048247.0</v>
      </c>
      <c r="M1762" s="128">
        <v>596792.6</v>
      </c>
      <c r="N1762" s="128">
        <v>451454.6</v>
      </c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</row>
    <row r="1763">
      <c r="A1763" s="125" t="s">
        <v>458</v>
      </c>
      <c r="B1763" s="125" t="s">
        <v>582</v>
      </c>
      <c r="C1763" s="125" t="s">
        <v>478</v>
      </c>
      <c r="D1763" s="125" t="s">
        <v>457</v>
      </c>
      <c r="E1763" s="125" t="s">
        <v>472</v>
      </c>
      <c r="F1763" s="126">
        <v>42143.0</v>
      </c>
      <c r="G1763" s="127">
        <v>1.5E8</v>
      </c>
      <c r="H1763" s="126">
        <v>42176.0</v>
      </c>
      <c r="I1763" s="128">
        <v>3965.0</v>
      </c>
      <c r="J1763" s="128">
        <v>651.21</v>
      </c>
      <c r="K1763" s="128">
        <v>524.96</v>
      </c>
      <c r="L1763" s="128">
        <v>2582048.0</v>
      </c>
      <c r="M1763" s="128">
        <v>2081466.0</v>
      </c>
      <c r="N1763" s="128">
        <v>500581.3</v>
      </c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</row>
    <row r="1764">
      <c r="A1764" s="125" t="s">
        <v>466</v>
      </c>
      <c r="B1764" s="125" t="s">
        <v>625</v>
      </c>
      <c r="C1764" s="125" t="s">
        <v>463</v>
      </c>
      <c r="D1764" s="125" t="s">
        <v>454</v>
      </c>
      <c r="E1764" s="125" t="s">
        <v>464</v>
      </c>
      <c r="F1764" s="126">
        <v>42406.0</v>
      </c>
      <c r="G1764" s="127">
        <v>9.15E8</v>
      </c>
      <c r="H1764" s="126">
        <v>42416.0</v>
      </c>
      <c r="I1764" s="128">
        <v>9759.0</v>
      </c>
      <c r="J1764" s="128">
        <v>205.7</v>
      </c>
      <c r="K1764" s="128">
        <v>117.11</v>
      </c>
      <c r="L1764" s="128">
        <v>2007426.0</v>
      </c>
      <c r="M1764" s="128">
        <v>1142876.0</v>
      </c>
      <c r="N1764" s="128">
        <v>864549.8</v>
      </c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</row>
    <row r="1765">
      <c r="A1765" s="125" t="s">
        <v>458</v>
      </c>
      <c r="B1765" s="125" t="s">
        <v>622</v>
      </c>
      <c r="C1765" s="125" t="s">
        <v>478</v>
      </c>
      <c r="D1765" s="125" t="s">
        <v>457</v>
      </c>
      <c r="E1765" s="125" t="s">
        <v>472</v>
      </c>
      <c r="F1765" s="126">
        <v>41627.0</v>
      </c>
      <c r="G1765" s="127">
        <v>2.36E8</v>
      </c>
      <c r="H1765" s="126">
        <v>41665.0</v>
      </c>
      <c r="I1765" s="128">
        <v>9044.0</v>
      </c>
      <c r="J1765" s="128">
        <v>651.21</v>
      </c>
      <c r="K1765" s="128">
        <v>524.96</v>
      </c>
      <c r="L1765" s="128">
        <v>5889543.0</v>
      </c>
      <c r="M1765" s="128">
        <v>4747738.0</v>
      </c>
      <c r="N1765" s="128">
        <v>1141805.0</v>
      </c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</row>
    <row r="1766">
      <c r="A1766" s="125" t="s">
        <v>466</v>
      </c>
      <c r="B1766" s="125" t="s">
        <v>625</v>
      </c>
      <c r="C1766" s="125" t="s">
        <v>514</v>
      </c>
      <c r="D1766" s="125" t="s">
        <v>457</v>
      </c>
      <c r="E1766" s="125" t="s">
        <v>472</v>
      </c>
      <c r="F1766" s="126">
        <v>42330.0</v>
      </c>
      <c r="G1766" s="127">
        <v>6.0E8</v>
      </c>
      <c r="H1766" s="126">
        <v>42357.0</v>
      </c>
      <c r="I1766" s="128">
        <v>420.0</v>
      </c>
      <c r="J1766" s="128">
        <v>668.27</v>
      </c>
      <c r="K1766" s="128">
        <v>502.54</v>
      </c>
      <c r="L1766" s="128">
        <v>280673.4</v>
      </c>
      <c r="M1766" s="128">
        <v>211066.8</v>
      </c>
      <c r="N1766" s="128">
        <v>69606.6</v>
      </c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</row>
    <row r="1767">
      <c r="A1767" s="125" t="s">
        <v>475</v>
      </c>
      <c r="B1767" s="125" t="s">
        <v>526</v>
      </c>
      <c r="C1767" s="125" t="s">
        <v>460</v>
      </c>
      <c r="D1767" s="125" t="s">
        <v>454</v>
      </c>
      <c r="E1767" s="125" t="s">
        <v>284</v>
      </c>
      <c r="F1767" s="126">
        <v>40512.0</v>
      </c>
      <c r="G1767" s="127">
        <v>9.63E8</v>
      </c>
      <c r="H1767" s="126">
        <v>40539.0</v>
      </c>
      <c r="I1767" s="128">
        <v>9516.0</v>
      </c>
      <c r="J1767" s="128">
        <v>47.45</v>
      </c>
      <c r="K1767" s="128">
        <v>31.79</v>
      </c>
      <c r="L1767" s="128">
        <v>451534.2</v>
      </c>
      <c r="M1767" s="128">
        <v>302513.6</v>
      </c>
      <c r="N1767" s="128">
        <v>149020.6</v>
      </c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</row>
    <row r="1768">
      <c r="A1768" s="125" t="s">
        <v>469</v>
      </c>
      <c r="B1768" s="125" t="s">
        <v>632</v>
      </c>
      <c r="C1768" s="125" t="s">
        <v>494</v>
      </c>
      <c r="D1768" s="125" t="s">
        <v>457</v>
      </c>
      <c r="E1768" s="125" t="s">
        <v>464</v>
      </c>
      <c r="F1768" s="126">
        <v>40860.0</v>
      </c>
      <c r="G1768" s="127">
        <v>8.02E8</v>
      </c>
      <c r="H1768" s="126">
        <v>40910.0</v>
      </c>
      <c r="I1768" s="128">
        <v>3995.0</v>
      </c>
      <c r="J1768" s="128">
        <v>9.33</v>
      </c>
      <c r="K1768" s="128">
        <v>6.92</v>
      </c>
      <c r="L1768" s="128">
        <v>37273.35</v>
      </c>
      <c r="M1768" s="128">
        <v>27645.4</v>
      </c>
      <c r="N1768" s="128">
        <v>9627.95</v>
      </c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</row>
    <row r="1769">
      <c r="A1769" s="125" t="s">
        <v>475</v>
      </c>
      <c r="B1769" s="125" t="s">
        <v>635</v>
      </c>
      <c r="C1769" s="125" t="s">
        <v>514</v>
      </c>
      <c r="D1769" s="125" t="s">
        <v>457</v>
      </c>
      <c r="E1769" s="125" t="s">
        <v>464</v>
      </c>
      <c r="F1769" s="126">
        <v>41531.0</v>
      </c>
      <c r="G1769" s="127">
        <v>5.63E8</v>
      </c>
      <c r="H1769" s="126">
        <v>41576.0</v>
      </c>
      <c r="I1769" s="128">
        <v>8547.0</v>
      </c>
      <c r="J1769" s="128">
        <v>668.27</v>
      </c>
      <c r="K1769" s="128">
        <v>502.54</v>
      </c>
      <c r="L1769" s="128">
        <v>5711704.0</v>
      </c>
      <c r="M1769" s="128">
        <v>4295209.0</v>
      </c>
      <c r="N1769" s="128">
        <v>1416494.0</v>
      </c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</row>
    <row r="1770">
      <c r="A1770" s="125" t="s">
        <v>458</v>
      </c>
      <c r="B1770" s="125" t="s">
        <v>616</v>
      </c>
      <c r="C1770" s="125" t="s">
        <v>453</v>
      </c>
      <c r="D1770" s="125" t="s">
        <v>457</v>
      </c>
      <c r="E1770" s="125" t="s">
        <v>464</v>
      </c>
      <c r="F1770" s="126">
        <v>41075.0</v>
      </c>
      <c r="G1770" s="127">
        <v>3.15E8</v>
      </c>
      <c r="H1770" s="126">
        <v>41102.0</v>
      </c>
      <c r="I1770" s="128">
        <v>9896.0</v>
      </c>
      <c r="J1770" s="128">
        <v>255.28</v>
      </c>
      <c r="K1770" s="128">
        <v>159.42</v>
      </c>
      <c r="L1770" s="128">
        <v>2526251.0</v>
      </c>
      <c r="M1770" s="128">
        <v>1577620.0</v>
      </c>
      <c r="N1770" s="128">
        <v>948630.6</v>
      </c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</row>
    <row r="1771">
      <c r="A1771" s="125" t="s">
        <v>458</v>
      </c>
      <c r="B1771" s="125" t="s">
        <v>517</v>
      </c>
      <c r="C1771" s="125" t="s">
        <v>480</v>
      </c>
      <c r="D1771" s="125" t="s">
        <v>457</v>
      </c>
      <c r="E1771" s="125" t="s">
        <v>189</v>
      </c>
      <c r="F1771" s="126">
        <v>42578.0</v>
      </c>
      <c r="G1771" s="127">
        <v>1.93E8</v>
      </c>
      <c r="H1771" s="126">
        <v>42626.0</v>
      </c>
      <c r="I1771" s="128">
        <v>1799.0</v>
      </c>
      <c r="J1771" s="128">
        <v>437.2</v>
      </c>
      <c r="K1771" s="128">
        <v>263.33</v>
      </c>
      <c r="L1771" s="128">
        <v>786522.8</v>
      </c>
      <c r="M1771" s="128">
        <v>473730.7</v>
      </c>
      <c r="N1771" s="128">
        <v>312792.1</v>
      </c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</row>
    <row r="1772">
      <c r="A1772" s="125" t="s">
        <v>475</v>
      </c>
      <c r="B1772" s="125" t="s">
        <v>527</v>
      </c>
      <c r="C1772" s="125" t="s">
        <v>456</v>
      </c>
      <c r="D1772" s="125" t="s">
        <v>454</v>
      </c>
      <c r="E1772" s="125" t="s">
        <v>472</v>
      </c>
      <c r="F1772" s="126">
        <v>41215.0</v>
      </c>
      <c r="G1772" s="127">
        <v>8.57E8</v>
      </c>
      <c r="H1772" s="126">
        <v>41238.0</v>
      </c>
      <c r="I1772" s="128">
        <v>40.0</v>
      </c>
      <c r="J1772" s="128">
        <v>152.58</v>
      </c>
      <c r="K1772" s="128">
        <v>97.44</v>
      </c>
      <c r="L1772" s="128">
        <v>6103.2</v>
      </c>
      <c r="M1772" s="128">
        <v>3897.6</v>
      </c>
      <c r="N1772" s="128">
        <v>2205.6</v>
      </c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</row>
    <row r="1773">
      <c r="A1773" s="125" t="s">
        <v>475</v>
      </c>
      <c r="B1773" s="125" t="s">
        <v>527</v>
      </c>
      <c r="C1773" s="125" t="s">
        <v>471</v>
      </c>
      <c r="D1773" s="125" t="s">
        <v>454</v>
      </c>
      <c r="E1773" s="125" t="s">
        <v>284</v>
      </c>
      <c r="F1773" s="126">
        <v>42236.0</v>
      </c>
      <c r="G1773" s="127">
        <v>3.35E8</v>
      </c>
      <c r="H1773" s="126">
        <v>42242.0</v>
      </c>
      <c r="I1773" s="128">
        <v>7437.0</v>
      </c>
      <c r="J1773" s="128">
        <v>109.28</v>
      </c>
      <c r="K1773" s="128">
        <v>35.84</v>
      </c>
      <c r="L1773" s="128">
        <v>812715.4</v>
      </c>
      <c r="M1773" s="128">
        <v>266542.1</v>
      </c>
      <c r="N1773" s="128">
        <v>546173.3</v>
      </c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</row>
    <row r="1774">
      <c r="A1774" s="125" t="s">
        <v>469</v>
      </c>
      <c r="B1774" s="125" t="s">
        <v>630</v>
      </c>
      <c r="C1774" s="125" t="s">
        <v>478</v>
      </c>
      <c r="D1774" s="125" t="s">
        <v>457</v>
      </c>
      <c r="E1774" s="125" t="s">
        <v>472</v>
      </c>
      <c r="F1774" s="126">
        <v>40210.0</v>
      </c>
      <c r="G1774" s="127">
        <v>7.74E8</v>
      </c>
      <c r="H1774" s="126">
        <v>40224.0</v>
      </c>
      <c r="I1774" s="128">
        <v>8838.0</v>
      </c>
      <c r="J1774" s="128">
        <v>651.21</v>
      </c>
      <c r="K1774" s="128">
        <v>524.96</v>
      </c>
      <c r="L1774" s="128">
        <v>5755394.0</v>
      </c>
      <c r="M1774" s="128">
        <v>4639596.0</v>
      </c>
      <c r="N1774" s="128">
        <v>1115798.0</v>
      </c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</row>
    <row r="1775">
      <c r="A1775" s="125" t="s">
        <v>466</v>
      </c>
      <c r="B1775" s="125" t="s">
        <v>637</v>
      </c>
      <c r="C1775" s="125" t="s">
        <v>478</v>
      </c>
      <c r="D1775" s="125" t="s">
        <v>457</v>
      </c>
      <c r="E1775" s="125" t="s">
        <v>464</v>
      </c>
      <c r="F1775" s="126">
        <v>42548.0</v>
      </c>
      <c r="G1775" s="127">
        <v>7.94E8</v>
      </c>
      <c r="H1775" s="126">
        <v>42550.0</v>
      </c>
      <c r="I1775" s="128">
        <v>6124.0</v>
      </c>
      <c r="J1775" s="128">
        <v>651.21</v>
      </c>
      <c r="K1775" s="128">
        <v>524.96</v>
      </c>
      <c r="L1775" s="128">
        <v>3988010.0</v>
      </c>
      <c r="M1775" s="128">
        <v>3214855.0</v>
      </c>
      <c r="N1775" s="128">
        <v>773155.0</v>
      </c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</row>
    <row r="1776">
      <c r="A1776" s="125" t="s">
        <v>458</v>
      </c>
      <c r="B1776" s="125" t="s">
        <v>560</v>
      </c>
      <c r="C1776" s="125" t="s">
        <v>480</v>
      </c>
      <c r="D1776" s="125" t="s">
        <v>457</v>
      </c>
      <c r="E1776" s="125" t="s">
        <v>472</v>
      </c>
      <c r="F1776" s="126">
        <v>40448.0</v>
      </c>
      <c r="G1776" s="127">
        <v>4.34E8</v>
      </c>
      <c r="H1776" s="126">
        <v>40487.0</v>
      </c>
      <c r="I1776" s="128">
        <v>3206.0</v>
      </c>
      <c r="J1776" s="128">
        <v>437.2</v>
      </c>
      <c r="K1776" s="128">
        <v>263.33</v>
      </c>
      <c r="L1776" s="128">
        <v>1401663.0</v>
      </c>
      <c r="M1776" s="128">
        <v>844236.0</v>
      </c>
      <c r="N1776" s="128">
        <v>557427.2</v>
      </c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</row>
    <row r="1777">
      <c r="A1777" s="125" t="s">
        <v>461</v>
      </c>
      <c r="B1777" s="125" t="s">
        <v>638</v>
      </c>
      <c r="C1777" s="125" t="s">
        <v>453</v>
      </c>
      <c r="D1777" s="125" t="s">
        <v>454</v>
      </c>
      <c r="E1777" s="125" t="s">
        <v>464</v>
      </c>
      <c r="F1777" s="126">
        <v>40715.0</v>
      </c>
      <c r="G1777" s="127">
        <v>7.03E8</v>
      </c>
      <c r="H1777" s="126">
        <v>40746.0</v>
      </c>
      <c r="I1777" s="128">
        <v>1026.0</v>
      </c>
      <c r="J1777" s="128">
        <v>255.28</v>
      </c>
      <c r="K1777" s="128">
        <v>159.42</v>
      </c>
      <c r="L1777" s="128">
        <v>261917.3</v>
      </c>
      <c r="M1777" s="128">
        <v>163564.9</v>
      </c>
      <c r="N1777" s="128">
        <v>98352.36</v>
      </c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</row>
    <row r="1778">
      <c r="A1778" s="125" t="s">
        <v>458</v>
      </c>
      <c r="B1778" s="125" t="s">
        <v>614</v>
      </c>
      <c r="C1778" s="125" t="s">
        <v>463</v>
      </c>
      <c r="D1778" s="125" t="s">
        <v>454</v>
      </c>
      <c r="E1778" s="125" t="s">
        <v>464</v>
      </c>
      <c r="F1778" s="126">
        <v>42242.0</v>
      </c>
      <c r="G1778" s="127">
        <v>4.31E8</v>
      </c>
      <c r="H1778" s="126">
        <v>42290.0</v>
      </c>
      <c r="I1778" s="128">
        <v>2558.0</v>
      </c>
      <c r="J1778" s="128">
        <v>205.7</v>
      </c>
      <c r="K1778" s="128">
        <v>117.11</v>
      </c>
      <c r="L1778" s="128">
        <v>526180.6</v>
      </c>
      <c r="M1778" s="128">
        <v>299567.4</v>
      </c>
      <c r="N1778" s="128">
        <v>226613.2</v>
      </c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</row>
    <row r="1779">
      <c r="A1779" s="125" t="s">
        <v>475</v>
      </c>
      <c r="B1779" s="125" t="s">
        <v>604</v>
      </c>
      <c r="C1779" s="125" t="s">
        <v>460</v>
      </c>
      <c r="D1779" s="125" t="s">
        <v>454</v>
      </c>
      <c r="E1779" s="125" t="s">
        <v>189</v>
      </c>
      <c r="F1779" s="126">
        <v>42929.0</v>
      </c>
      <c r="G1779" s="127">
        <v>3.18E8</v>
      </c>
      <c r="H1779" s="126">
        <v>42978.0</v>
      </c>
      <c r="I1779" s="128">
        <v>7806.0</v>
      </c>
      <c r="J1779" s="128">
        <v>47.45</v>
      </c>
      <c r="K1779" s="128">
        <v>31.79</v>
      </c>
      <c r="L1779" s="128">
        <v>370394.7</v>
      </c>
      <c r="M1779" s="128">
        <v>248152.7</v>
      </c>
      <c r="N1779" s="128">
        <v>122242.0</v>
      </c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</row>
    <row r="1780">
      <c r="A1780" s="125" t="s">
        <v>461</v>
      </c>
      <c r="B1780" s="125" t="s">
        <v>595</v>
      </c>
      <c r="C1780" s="125" t="s">
        <v>506</v>
      </c>
      <c r="D1780" s="125" t="s">
        <v>454</v>
      </c>
      <c r="E1780" s="125" t="s">
        <v>284</v>
      </c>
      <c r="F1780" s="126">
        <v>41064.0</v>
      </c>
      <c r="G1780" s="127">
        <v>6.85E8</v>
      </c>
      <c r="H1780" s="126">
        <v>41068.0</v>
      </c>
      <c r="I1780" s="128">
        <v>8807.0</v>
      </c>
      <c r="J1780" s="128">
        <v>154.06</v>
      </c>
      <c r="K1780" s="128">
        <v>90.93</v>
      </c>
      <c r="L1780" s="128">
        <v>1356806.0</v>
      </c>
      <c r="M1780" s="128">
        <v>800820.5</v>
      </c>
      <c r="N1780" s="128">
        <v>555985.9</v>
      </c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</row>
    <row r="1781">
      <c r="A1781" s="125" t="s">
        <v>475</v>
      </c>
      <c r="B1781" s="125" t="s">
        <v>526</v>
      </c>
      <c r="C1781" s="125" t="s">
        <v>485</v>
      </c>
      <c r="D1781" s="125" t="s">
        <v>457</v>
      </c>
      <c r="E1781" s="125" t="s">
        <v>189</v>
      </c>
      <c r="F1781" s="126">
        <v>42242.0</v>
      </c>
      <c r="G1781" s="127">
        <v>1.22E8</v>
      </c>
      <c r="H1781" s="126">
        <v>42268.0</v>
      </c>
      <c r="I1781" s="128">
        <v>4628.0</v>
      </c>
      <c r="J1781" s="128">
        <v>421.89</v>
      </c>
      <c r="K1781" s="128">
        <v>364.69</v>
      </c>
      <c r="L1781" s="128">
        <v>1952507.0</v>
      </c>
      <c r="M1781" s="128">
        <v>1687785.0</v>
      </c>
      <c r="N1781" s="128">
        <v>264721.6</v>
      </c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</row>
    <row r="1782">
      <c r="A1782" s="125" t="s">
        <v>461</v>
      </c>
      <c r="B1782" s="125" t="s">
        <v>615</v>
      </c>
      <c r="C1782" s="125" t="s">
        <v>506</v>
      </c>
      <c r="D1782" s="125" t="s">
        <v>457</v>
      </c>
      <c r="E1782" s="125" t="s">
        <v>189</v>
      </c>
      <c r="F1782" s="126">
        <v>41378.0</v>
      </c>
      <c r="G1782" s="127">
        <v>4.39E8</v>
      </c>
      <c r="H1782" s="126">
        <v>41414.0</v>
      </c>
      <c r="I1782" s="128">
        <v>6368.0</v>
      </c>
      <c r="J1782" s="128">
        <v>154.06</v>
      </c>
      <c r="K1782" s="128">
        <v>90.93</v>
      </c>
      <c r="L1782" s="128">
        <v>981054.1</v>
      </c>
      <c r="M1782" s="128">
        <v>579042.2</v>
      </c>
      <c r="N1782" s="128">
        <v>402011.8</v>
      </c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</row>
    <row r="1783">
      <c r="A1783" s="125" t="s">
        <v>475</v>
      </c>
      <c r="B1783" s="125" t="s">
        <v>561</v>
      </c>
      <c r="C1783" s="125" t="s">
        <v>471</v>
      </c>
      <c r="D1783" s="125" t="s">
        <v>454</v>
      </c>
      <c r="E1783" s="125" t="s">
        <v>472</v>
      </c>
      <c r="F1783" s="126">
        <v>40696.0</v>
      </c>
      <c r="G1783" s="127">
        <v>8.19E8</v>
      </c>
      <c r="H1783" s="126">
        <v>40741.0</v>
      </c>
      <c r="I1783" s="128">
        <v>2156.0</v>
      </c>
      <c r="J1783" s="128">
        <v>109.28</v>
      </c>
      <c r="K1783" s="128">
        <v>35.84</v>
      </c>
      <c r="L1783" s="128">
        <v>235607.7</v>
      </c>
      <c r="M1783" s="128">
        <v>77271.04</v>
      </c>
      <c r="N1783" s="128">
        <v>158336.6</v>
      </c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</row>
    <row r="1784">
      <c r="A1784" s="125" t="s">
        <v>461</v>
      </c>
      <c r="B1784" s="125" t="s">
        <v>578</v>
      </c>
      <c r="C1784" s="125" t="s">
        <v>468</v>
      </c>
      <c r="D1784" s="125" t="s">
        <v>454</v>
      </c>
      <c r="E1784" s="125" t="s">
        <v>284</v>
      </c>
      <c r="F1784" s="126">
        <v>42805.0</v>
      </c>
      <c r="G1784" s="127">
        <v>9.63E8</v>
      </c>
      <c r="H1784" s="126">
        <v>42834.0</v>
      </c>
      <c r="I1784" s="128">
        <v>2154.0</v>
      </c>
      <c r="J1784" s="128">
        <v>81.73</v>
      </c>
      <c r="K1784" s="128">
        <v>56.67</v>
      </c>
      <c r="L1784" s="128">
        <v>176046.4</v>
      </c>
      <c r="M1784" s="128">
        <v>122067.2</v>
      </c>
      <c r="N1784" s="128">
        <v>53979.24</v>
      </c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</row>
    <row r="1785">
      <c r="A1785" s="125" t="s">
        <v>458</v>
      </c>
      <c r="B1785" s="125" t="s">
        <v>509</v>
      </c>
      <c r="C1785" s="125" t="s">
        <v>485</v>
      </c>
      <c r="D1785" s="125" t="s">
        <v>457</v>
      </c>
      <c r="E1785" s="125" t="s">
        <v>464</v>
      </c>
      <c r="F1785" s="126">
        <v>41025.0</v>
      </c>
      <c r="G1785" s="127">
        <v>6.43E8</v>
      </c>
      <c r="H1785" s="126">
        <v>41025.0</v>
      </c>
      <c r="I1785" s="128">
        <v>3555.0</v>
      </c>
      <c r="J1785" s="128">
        <v>421.89</v>
      </c>
      <c r="K1785" s="128">
        <v>364.69</v>
      </c>
      <c r="L1785" s="128">
        <v>1499819.0</v>
      </c>
      <c r="M1785" s="128">
        <v>1296473.0</v>
      </c>
      <c r="N1785" s="128">
        <v>203346.0</v>
      </c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</row>
    <row r="1786">
      <c r="A1786" s="125" t="s">
        <v>458</v>
      </c>
      <c r="B1786" s="125" t="s">
        <v>459</v>
      </c>
      <c r="C1786" s="125" t="s">
        <v>480</v>
      </c>
      <c r="D1786" s="125" t="s">
        <v>454</v>
      </c>
      <c r="E1786" s="125" t="s">
        <v>472</v>
      </c>
      <c r="F1786" s="126">
        <v>42892.0</v>
      </c>
      <c r="G1786" s="127">
        <v>1.51E8</v>
      </c>
      <c r="H1786" s="126">
        <v>42928.0</v>
      </c>
      <c r="I1786" s="128">
        <v>5581.0</v>
      </c>
      <c r="J1786" s="128">
        <v>437.2</v>
      </c>
      <c r="K1786" s="128">
        <v>263.33</v>
      </c>
      <c r="L1786" s="128">
        <v>2440013.0</v>
      </c>
      <c r="M1786" s="128">
        <v>1469645.0</v>
      </c>
      <c r="N1786" s="128">
        <v>970368.5</v>
      </c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</row>
    <row r="1787">
      <c r="A1787" s="125" t="s">
        <v>458</v>
      </c>
      <c r="B1787" s="125" t="s">
        <v>486</v>
      </c>
      <c r="C1787" s="125" t="s">
        <v>494</v>
      </c>
      <c r="D1787" s="125" t="s">
        <v>454</v>
      </c>
      <c r="E1787" s="125" t="s">
        <v>189</v>
      </c>
      <c r="F1787" s="126">
        <v>41121.0</v>
      </c>
      <c r="G1787" s="127">
        <v>7.5E8</v>
      </c>
      <c r="H1787" s="126">
        <v>41170.0</v>
      </c>
      <c r="I1787" s="128">
        <v>4487.0</v>
      </c>
      <c r="J1787" s="128">
        <v>9.33</v>
      </c>
      <c r="K1787" s="128">
        <v>6.92</v>
      </c>
      <c r="L1787" s="128">
        <v>41863.71</v>
      </c>
      <c r="M1787" s="128">
        <v>31050.04</v>
      </c>
      <c r="N1787" s="128">
        <v>10813.67</v>
      </c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</row>
    <row r="1788">
      <c r="A1788" s="125" t="s">
        <v>461</v>
      </c>
      <c r="B1788" s="125" t="s">
        <v>556</v>
      </c>
      <c r="C1788" s="125" t="s">
        <v>463</v>
      </c>
      <c r="D1788" s="125" t="s">
        <v>454</v>
      </c>
      <c r="E1788" s="125" t="s">
        <v>284</v>
      </c>
      <c r="F1788" s="126">
        <v>42645.0</v>
      </c>
      <c r="G1788" s="127">
        <v>6.22E8</v>
      </c>
      <c r="H1788" s="126">
        <v>42664.0</v>
      </c>
      <c r="I1788" s="128">
        <v>8561.0</v>
      </c>
      <c r="J1788" s="128">
        <v>205.7</v>
      </c>
      <c r="K1788" s="128">
        <v>117.11</v>
      </c>
      <c r="L1788" s="128">
        <v>1760998.0</v>
      </c>
      <c r="M1788" s="128">
        <v>1002579.0</v>
      </c>
      <c r="N1788" s="128">
        <v>758419.0</v>
      </c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</row>
    <row r="1789">
      <c r="A1789" s="125" t="s">
        <v>458</v>
      </c>
      <c r="B1789" s="125" t="s">
        <v>509</v>
      </c>
      <c r="C1789" s="125" t="s">
        <v>494</v>
      </c>
      <c r="D1789" s="125" t="s">
        <v>457</v>
      </c>
      <c r="E1789" s="125" t="s">
        <v>464</v>
      </c>
      <c r="F1789" s="126">
        <v>42337.0</v>
      </c>
      <c r="G1789" s="127">
        <v>7.21E8</v>
      </c>
      <c r="H1789" s="126">
        <v>42347.0</v>
      </c>
      <c r="I1789" s="128">
        <v>3118.0</v>
      </c>
      <c r="J1789" s="128">
        <v>9.33</v>
      </c>
      <c r="K1789" s="128">
        <v>6.92</v>
      </c>
      <c r="L1789" s="128">
        <v>29090.94</v>
      </c>
      <c r="M1789" s="128">
        <v>21576.56</v>
      </c>
      <c r="N1789" s="128">
        <v>7514.38</v>
      </c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</row>
    <row r="1790">
      <c r="A1790" s="125" t="s">
        <v>475</v>
      </c>
      <c r="B1790" s="125" t="s">
        <v>656</v>
      </c>
      <c r="C1790" s="125" t="s">
        <v>453</v>
      </c>
      <c r="D1790" s="125" t="s">
        <v>457</v>
      </c>
      <c r="E1790" s="125" t="s">
        <v>472</v>
      </c>
      <c r="F1790" s="126">
        <v>40993.0</v>
      </c>
      <c r="G1790" s="127">
        <v>7.21E8</v>
      </c>
      <c r="H1790" s="126">
        <v>40997.0</v>
      </c>
      <c r="I1790" s="128">
        <v>5509.0</v>
      </c>
      <c r="J1790" s="128">
        <v>255.28</v>
      </c>
      <c r="K1790" s="128">
        <v>159.42</v>
      </c>
      <c r="L1790" s="128">
        <v>1406338.0</v>
      </c>
      <c r="M1790" s="128">
        <v>878244.8</v>
      </c>
      <c r="N1790" s="128">
        <v>528092.7</v>
      </c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</row>
    <row r="1791">
      <c r="A1791" s="125" t="s">
        <v>475</v>
      </c>
      <c r="B1791" s="125" t="s">
        <v>548</v>
      </c>
      <c r="C1791" s="125" t="s">
        <v>468</v>
      </c>
      <c r="D1791" s="125" t="s">
        <v>454</v>
      </c>
      <c r="E1791" s="125" t="s">
        <v>189</v>
      </c>
      <c r="F1791" s="126">
        <v>41181.0</v>
      </c>
      <c r="G1791" s="127">
        <v>3.64E8</v>
      </c>
      <c r="H1791" s="126">
        <v>41199.0</v>
      </c>
      <c r="I1791" s="128">
        <v>112.0</v>
      </c>
      <c r="J1791" s="128">
        <v>81.73</v>
      </c>
      <c r="K1791" s="128">
        <v>56.67</v>
      </c>
      <c r="L1791" s="128">
        <v>9153.76</v>
      </c>
      <c r="M1791" s="128">
        <v>6347.04</v>
      </c>
      <c r="N1791" s="128">
        <v>2806.72</v>
      </c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</row>
    <row r="1792">
      <c r="A1792" s="125" t="s">
        <v>466</v>
      </c>
      <c r="B1792" s="125" t="s">
        <v>607</v>
      </c>
      <c r="C1792" s="125" t="s">
        <v>494</v>
      </c>
      <c r="D1792" s="125" t="s">
        <v>457</v>
      </c>
      <c r="E1792" s="125" t="s">
        <v>189</v>
      </c>
      <c r="F1792" s="126">
        <v>40324.0</v>
      </c>
      <c r="G1792" s="127">
        <v>8.15E8</v>
      </c>
      <c r="H1792" s="126">
        <v>40356.0</v>
      </c>
      <c r="I1792" s="128">
        <v>3339.0</v>
      </c>
      <c r="J1792" s="128">
        <v>9.33</v>
      </c>
      <c r="K1792" s="128">
        <v>6.92</v>
      </c>
      <c r="L1792" s="128">
        <v>31152.87</v>
      </c>
      <c r="M1792" s="128">
        <v>23105.88</v>
      </c>
      <c r="N1792" s="128">
        <v>8046.99</v>
      </c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</row>
    <row r="1793">
      <c r="A1793" s="125" t="s">
        <v>466</v>
      </c>
      <c r="B1793" s="125" t="s">
        <v>625</v>
      </c>
      <c r="C1793" s="125" t="s">
        <v>453</v>
      </c>
      <c r="D1793" s="125" t="s">
        <v>454</v>
      </c>
      <c r="E1793" s="125" t="s">
        <v>464</v>
      </c>
      <c r="F1793" s="126">
        <v>40386.0</v>
      </c>
      <c r="G1793" s="127">
        <v>6.09E8</v>
      </c>
      <c r="H1793" s="126">
        <v>40401.0</v>
      </c>
      <c r="I1793" s="128">
        <v>8632.0</v>
      </c>
      <c r="J1793" s="128">
        <v>255.28</v>
      </c>
      <c r="K1793" s="128">
        <v>159.42</v>
      </c>
      <c r="L1793" s="128">
        <v>2203577.0</v>
      </c>
      <c r="M1793" s="128">
        <v>1376113.0</v>
      </c>
      <c r="N1793" s="128">
        <v>827463.5</v>
      </c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</row>
    <row r="1794">
      <c r="A1794" s="125" t="s">
        <v>458</v>
      </c>
      <c r="B1794" s="125" t="s">
        <v>641</v>
      </c>
      <c r="C1794" s="125" t="s">
        <v>460</v>
      </c>
      <c r="D1794" s="125" t="s">
        <v>457</v>
      </c>
      <c r="E1794" s="125" t="s">
        <v>472</v>
      </c>
      <c r="F1794" s="126">
        <v>40952.0</v>
      </c>
      <c r="G1794" s="127">
        <v>6.0E8</v>
      </c>
      <c r="H1794" s="126">
        <v>40953.0</v>
      </c>
      <c r="I1794" s="128">
        <v>1465.0</v>
      </c>
      <c r="J1794" s="128">
        <v>47.45</v>
      </c>
      <c r="K1794" s="128">
        <v>31.79</v>
      </c>
      <c r="L1794" s="128">
        <v>69514.25</v>
      </c>
      <c r="M1794" s="128">
        <v>46572.35</v>
      </c>
      <c r="N1794" s="128">
        <v>22941.9</v>
      </c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</row>
    <row r="1795">
      <c r="A1795" s="125" t="s">
        <v>475</v>
      </c>
      <c r="B1795" s="125" t="s">
        <v>648</v>
      </c>
      <c r="C1795" s="125" t="s">
        <v>463</v>
      </c>
      <c r="D1795" s="125" t="s">
        <v>457</v>
      </c>
      <c r="E1795" s="125" t="s">
        <v>189</v>
      </c>
      <c r="F1795" s="126">
        <v>40614.0</v>
      </c>
      <c r="G1795" s="127">
        <v>8.13E8</v>
      </c>
      <c r="H1795" s="126">
        <v>40624.0</v>
      </c>
      <c r="I1795" s="128">
        <v>4342.0</v>
      </c>
      <c r="J1795" s="128">
        <v>205.7</v>
      </c>
      <c r="K1795" s="128">
        <v>117.11</v>
      </c>
      <c r="L1795" s="128">
        <v>893149.4</v>
      </c>
      <c r="M1795" s="128">
        <v>508491.6</v>
      </c>
      <c r="N1795" s="128">
        <v>384657.8</v>
      </c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</row>
    <row r="1796">
      <c r="A1796" s="125" t="s">
        <v>461</v>
      </c>
      <c r="B1796" s="125" t="s">
        <v>576</v>
      </c>
      <c r="C1796" s="125" t="s">
        <v>463</v>
      </c>
      <c r="D1796" s="125" t="s">
        <v>454</v>
      </c>
      <c r="E1796" s="125" t="s">
        <v>464</v>
      </c>
      <c r="F1796" s="126">
        <v>41116.0</v>
      </c>
      <c r="G1796" s="127">
        <v>8.95E8</v>
      </c>
      <c r="H1796" s="126">
        <v>41143.0</v>
      </c>
      <c r="I1796" s="128">
        <v>1801.0</v>
      </c>
      <c r="J1796" s="128">
        <v>205.7</v>
      </c>
      <c r="K1796" s="128">
        <v>117.11</v>
      </c>
      <c r="L1796" s="128">
        <v>370465.7</v>
      </c>
      <c r="M1796" s="128">
        <v>210915.1</v>
      </c>
      <c r="N1796" s="128">
        <v>159550.6</v>
      </c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</row>
    <row r="1797">
      <c r="A1797" s="125" t="s">
        <v>461</v>
      </c>
      <c r="B1797" s="125" t="s">
        <v>522</v>
      </c>
      <c r="C1797" s="125" t="s">
        <v>453</v>
      </c>
      <c r="D1797" s="125" t="s">
        <v>457</v>
      </c>
      <c r="E1797" s="125" t="s">
        <v>189</v>
      </c>
      <c r="F1797" s="126">
        <v>40446.0</v>
      </c>
      <c r="G1797" s="127">
        <v>5.59E8</v>
      </c>
      <c r="H1797" s="126">
        <v>40468.0</v>
      </c>
      <c r="I1797" s="128">
        <v>5408.0</v>
      </c>
      <c r="J1797" s="128">
        <v>255.28</v>
      </c>
      <c r="K1797" s="128">
        <v>159.42</v>
      </c>
      <c r="L1797" s="128">
        <v>1380554.0</v>
      </c>
      <c r="M1797" s="128">
        <v>862143.4</v>
      </c>
      <c r="N1797" s="128">
        <v>518410.9</v>
      </c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</row>
    <row r="1798">
      <c r="A1798" s="125" t="s">
        <v>466</v>
      </c>
      <c r="B1798" s="125" t="s">
        <v>524</v>
      </c>
      <c r="C1798" s="125" t="s">
        <v>494</v>
      </c>
      <c r="D1798" s="125" t="s">
        <v>454</v>
      </c>
      <c r="E1798" s="125" t="s">
        <v>464</v>
      </c>
      <c r="F1798" s="126">
        <v>42512.0</v>
      </c>
      <c r="G1798" s="127">
        <v>9.43E8</v>
      </c>
      <c r="H1798" s="126">
        <v>42546.0</v>
      </c>
      <c r="I1798" s="128">
        <v>8761.0</v>
      </c>
      <c r="J1798" s="128">
        <v>9.33</v>
      </c>
      <c r="K1798" s="128">
        <v>6.92</v>
      </c>
      <c r="L1798" s="128">
        <v>81740.13</v>
      </c>
      <c r="M1798" s="128">
        <v>60626.12</v>
      </c>
      <c r="N1798" s="128">
        <v>21114.01</v>
      </c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</row>
    <row r="1799">
      <c r="A1799" s="125" t="s">
        <v>475</v>
      </c>
      <c r="B1799" s="125" t="s">
        <v>605</v>
      </c>
      <c r="C1799" s="125" t="s">
        <v>471</v>
      </c>
      <c r="D1799" s="125" t="s">
        <v>454</v>
      </c>
      <c r="E1799" s="125" t="s">
        <v>189</v>
      </c>
      <c r="F1799" s="126">
        <v>41927.0</v>
      </c>
      <c r="G1799" s="127">
        <v>5.52E8</v>
      </c>
      <c r="H1799" s="126">
        <v>41961.0</v>
      </c>
      <c r="I1799" s="128">
        <v>2491.0</v>
      </c>
      <c r="J1799" s="128">
        <v>109.28</v>
      </c>
      <c r="K1799" s="128">
        <v>35.84</v>
      </c>
      <c r="L1799" s="128">
        <v>272216.5</v>
      </c>
      <c r="M1799" s="128">
        <v>89277.44</v>
      </c>
      <c r="N1799" s="128">
        <v>182939.0</v>
      </c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</row>
    <row r="1800">
      <c r="A1800" s="125" t="s">
        <v>469</v>
      </c>
      <c r="B1800" s="125" t="s">
        <v>632</v>
      </c>
      <c r="C1800" s="125" t="s">
        <v>460</v>
      </c>
      <c r="D1800" s="125" t="s">
        <v>457</v>
      </c>
      <c r="E1800" s="125" t="s">
        <v>464</v>
      </c>
      <c r="F1800" s="126">
        <v>41995.0</v>
      </c>
      <c r="G1800" s="127">
        <v>2.14E8</v>
      </c>
      <c r="H1800" s="126">
        <v>42005.0</v>
      </c>
      <c r="I1800" s="128">
        <v>9260.0</v>
      </c>
      <c r="J1800" s="128">
        <v>47.45</v>
      </c>
      <c r="K1800" s="128">
        <v>31.79</v>
      </c>
      <c r="L1800" s="128">
        <v>439387.0</v>
      </c>
      <c r="M1800" s="128">
        <v>294375.4</v>
      </c>
      <c r="N1800" s="128">
        <v>145011.6</v>
      </c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</row>
    <row r="1801">
      <c r="A1801" s="125" t="s">
        <v>451</v>
      </c>
      <c r="B1801" s="125" t="s">
        <v>608</v>
      </c>
      <c r="C1801" s="125" t="s">
        <v>494</v>
      </c>
      <c r="D1801" s="125" t="s">
        <v>457</v>
      </c>
      <c r="E1801" s="125" t="s">
        <v>472</v>
      </c>
      <c r="F1801" s="126">
        <v>42258.0</v>
      </c>
      <c r="G1801" s="127">
        <v>8.25E8</v>
      </c>
      <c r="H1801" s="126">
        <v>42297.0</v>
      </c>
      <c r="I1801" s="128">
        <v>8758.0</v>
      </c>
      <c r="J1801" s="128">
        <v>9.33</v>
      </c>
      <c r="K1801" s="128">
        <v>6.92</v>
      </c>
      <c r="L1801" s="128">
        <v>81712.14</v>
      </c>
      <c r="M1801" s="128">
        <v>60605.36</v>
      </c>
      <c r="N1801" s="128">
        <v>21106.78</v>
      </c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</row>
    <row r="1802">
      <c r="A1802" s="125" t="s">
        <v>466</v>
      </c>
      <c r="B1802" s="125" t="s">
        <v>467</v>
      </c>
      <c r="C1802" s="125" t="s">
        <v>480</v>
      </c>
      <c r="D1802" s="125" t="s">
        <v>454</v>
      </c>
      <c r="E1802" s="125" t="s">
        <v>472</v>
      </c>
      <c r="F1802" s="126">
        <v>42646.0</v>
      </c>
      <c r="G1802" s="127">
        <v>2.02E8</v>
      </c>
      <c r="H1802" s="126">
        <v>42654.0</v>
      </c>
      <c r="I1802" s="128">
        <v>2710.0</v>
      </c>
      <c r="J1802" s="128">
        <v>437.2</v>
      </c>
      <c r="K1802" s="128">
        <v>263.33</v>
      </c>
      <c r="L1802" s="128">
        <v>1184812.0</v>
      </c>
      <c r="M1802" s="128">
        <v>713624.3</v>
      </c>
      <c r="N1802" s="128">
        <v>471187.7</v>
      </c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</row>
    <row r="1803">
      <c r="A1803" s="125" t="s">
        <v>475</v>
      </c>
      <c r="B1803" s="125" t="s">
        <v>604</v>
      </c>
      <c r="C1803" s="125" t="s">
        <v>453</v>
      </c>
      <c r="D1803" s="125" t="s">
        <v>457</v>
      </c>
      <c r="E1803" s="125" t="s">
        <v>472</v>
      </c>
      <c r="F1803" s="126">
        <v>42096.0</v>
      </c>
      <c r="G1803" s="127">
        <v>7.34E8</v>
      </c>
      <c r="H1803" s="126">
        <v>42142.0</v>
      </c>
      <c r="I1803" s="128">
        <v>9871.0</v>
      </c>
      <c r="J1803" s="128">
        <v>255.28</v>
      </c>
      <c r="K1803" s="128">
        <v>159.42</v>
      </c>
      <c r="L1803" s="128">
        <v>2519869.0</v>
      </c>
      <c r="M1803" s="128">
        <v>1573635.0</v>
      </c>
      <c r="N1803" s="128">
        <v>946234.1</v>
      </c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</row>
    <row r="1804">
      <c r="A1804" s="125" t="s">
        <v>458</v>
      </c>
      <c r="B1804" s="125" t="s">
        <v>493</v>
      </c>
      <c r="C1804" s="125" t="s">
        <v>460</v>
      </c>
      <c r="D1804" s="125" t="s">
        <v>454</v>
      </c>
      <c r="E1804" s="125" t="s">
        <v>189</v>
      </c>
      <c r="F1804" s="126">
        <v>42702.0</v>
      </c>
      <c r="G1804" s="127">
        <v>8.27E8</v>
      </c>
      <c r="H1804" s="126">
        <v>42744.0</v>
      </c>
      <c r="I1804" s="128">
        <v>1027.0</v>
      </c>
      <c r="J1804" s="128">
        <v>47.45</v>
      </c>
      <c r="K1804" s="128">
        <v>31.79</v>
      </c>
      <c r="L1804" s="128">
        <v>48731.15</v>
      </c>
      <c r="M1804" s="128">
        <v>32648.33</v>
      </c>
      <c r="N1804" s="128">
        <v>16082.82</v>
      </c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</row>
    <row r="1805">
      <c r="A1805" s="125" t="s">
        <v>469</v>
      </c>
      <c r="B1805" s="125" t="s">
        <v>647</v>
      </c>
      <c r="C1805" s="125" t="s">
        <v>494</v>
      </c>
      <c r="D1805" s="125" t="s">
        <v>454</v>
      </c>
      <c r="E1805" s="125" t="s">
        <v>464</v>
      </c>
      <c r="F1805" s="126">
        <v>42794.0</v>
      </c>
      <c r="G1805" s="127">
        <v>7.6E8</v>
      </c>
      <c r="H1805" s="126">
        <v>42817.0</v>
      </c>
      <c r="I1805" s="128">
        <v>3996.0</v>
      </c>
      <c r="J1805" s="128">
        <v>9.33</v>
      </c>
      <c r="K1805" s="128">
        <v>6.92</v>
      </c>
      <c r="L1805" s="128">
        <v>37282.68</v>
      </c>
      <c r="M1805" s="128">
        <v>27652.32</v>
      </c>
      <c r="N1805" s="128">
        <v>9630.36</v>
      </c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</row>
    <row r="1806">
      <c r="A1806" s="125" t="s">
        <v>475</v>
      </c>
      <c r="B1806" s="125" t="s">
        <v>579</v>
      </c>
      <c r="C1806" s="125" t="s">
        <v>460</v>
      </c>
      <c r="D1806" s="125" t="s">
        <v>454</v>
      </c>
      <c r="E1806" s="125" t="s">
        <v>472</v>
      </c>
      <c r="F1806" s="126">
        <v>41095.0</v>
      </c>
      <c r="G1806" s="127">
        <v>4.31E8</v>
      </c>
      <c r="H1806" s="126">
        <v>41130.0</v>
      </c>
      <c r="I1806" s="128">
        <v>8625.0</v>
      </c>
      <c r="J1806" s="128">
        <v>47.45</v>
      </c>
      <c r="K1806" s="128">
        <v>31.79</v>
      </c>
      <c r="L1806" s="128">
        <v>409256.3</v>
      </c>
      <c r="M1806" s="128">
        <v>274188.8</v>
      </c>
      <c r="N1806" s="128">
        <v>135067.5</v>
      </c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</row>
    <row r="1807">
      <c r="A1807" s="125" t="s">
        <v>451</v>
      </c>
      <c r="B1807" s="125" t="s">
        <v>609</v>
      </c>
      <c r="C1807" s="125" t="s">
        <v>453</v>
      </c>
      <c r="D1807" s="125" t="s">
        <v>457</v>
      </c>
      <c r="E1807" s="125" t="s">
        <v>464</v>
      </c>
      <c r="F1807" s="126">
        <v>40862.0</v>
      </c>
      <c r="G1807" s="127">
        <v>7.1E8</v>
      </c>
      <c r="H1807" s="126">
        <v>40866.0</v>
      </c>
      <c r="I1807" s="128">
        <v>1795.0</v>
      </c>
      <c r="J1807" s="128">
        <v>255.28</v>
      </c>
      <c r="K1807" s="128">
        <v>159.42</v>
      </c>
      <c r="L1807" s="128">
        <v>458227.6</v>
      </c>
      <c r="M1807" s="128">
        <v>286158.9</v>
      </c>
      <c r="N1807" s="128">
        <v>172068.7</v>
      </c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</row>
    <row r="1808">
      <c r="A1808" s="125" t="s">
        <v>451</v>
      </c>
      <c r="B1808" s="125" t="s">
        <v>593</v>
      </c>
      <c r="C1808" s="125" t="s">
        <v>478</v>
      </c>
      <c r="D1808" s="125" t="s">
        <v>457</v>
      </c>
      <c r="E1808" s="125" t="s">
        <v>284</v>
      </c>
      <c r="F1808" s="126">
        <v>40211.0</v>
      </c>
      <c r="G1808" s="127">
        <v>2.85E8</v>
      </c>
      <c r="H1808" s="126">
        <v>40238.0</v>
      </c>
      <c r="I1808" s="128">
        <v>2417.0</v>
      </c>
      <c r="J1808" s="128">
        <v>651.21</v>
      </c>
      <c r="K1808" s="128">
        <v>524.96</v>
      </c>
      <c r="L1808" s="128">
        <v>1573975.0</v>
      </c>
      <c r="M1808" s="128">
        <v>1268828.0</v>
      </c>
      <c r="N1808" s="128">
        <v>305146.3</v>
      </c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</row>
    <row r="1809">
      <c r="A1809" s="125" t="s">
        <v>475</v>
      </c>
      <c r="B1809" s="125" t="s">
        <v>600</v>
      </c>
      <c r="C1809" s="125" t="s">
        <v>453</v>
      </c>
      <c r="D1809" s="125" t="s">
        <v>454</v>
      </c>
      <c r="E1809" s="125" t="s">
        <v>472</v>
      </c>
      <c r="F1809" s="126">
        <v>41798.0</v>
      </c>
      <c r="G1809" s="127">
        <v>6.17E8</v>
      </c>
      <c r="H1809" s="126">
        <v>41832.0</v>
      </c>
      <c r="I1809" s="128">
        <v>6433.0</v>
      </c>
      <c r="J1809" s="128">
        <v>255.28</v>
      </c>
      <c r="K1809" s="128">
        <v>159.42</v>
      </c>
      <c r="L1809" s="128">
        <v>1642216.0</v>
      </c>
      <c r="M1809" s="128">
        <v>1025549.0</v>
      </c>
      <c r="N1809" s="128">
        <v>616667.4</v>
      </c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</row>
    <row r="1810">
      <c r="A1810" s="125" t="s">
        <v>451</v>
      </c>
      <c r="B1810" s="125" t="s">
        <v>455</v>
      </c>
      <c r="C1810" s="125" t="s">
        <v>468</v>
      </c>
      <c r="D1810" s="125" t="s">
        <v>457</v>
      </c>
      <c r="E1810" s="125" t="s">
        <v>189</v>
      </c>
      <c r="F1810" s="126">
        <v>40365.0</v>
      </c>
      <c r="G1810" s="127">
        <v>9.83E8</v>
      </c>
      <c r="H1810" s="126">
        <v>40384.0</v>
      </c>
      <c r="I1810" s="128">
        <v>1817.0</v>
      </c>
      <c r="J1810" s="128">
        <v>81.73</v>
      </c>
      <c r="K1810" s="128">
        <v>56.67</v>
      </c>
      <c r="L1810" s="128">
        <v>148503.4</v>
      </c>
      <c r="M1810" s="128">
        <v>102969.4</v>
      </c>
      <c r="N1810" s="128">
        <v>45534.02</v>
      </c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</row>
    <row r="1811">
      <c r="A1811" s="125" t="s">
        <v>458</v>
      </c>
      <c r="B1811" s="125" t="s">
        <v>547</v>
      </c>
      <c r="C1811" s="125" t="s">
        <v>460</v>
      </c>
      <c r="D1811" s="125" t="s">
        <v>457</v>
      </c>
      <c r="E1811" s="125" t="s">
        <v>472</v>
      </c>
      <c r="F1811" s="126">
        <v>40729.0</v>
      </c>
      <c r="G1811" s="127">
        <v>7.35E8</v>
      </c>
      <c r="H1811" s="126">
        <v>40746.0</v>
      </c>
      <c r="I1811" s="128">
        <v>3574.0</v>
      </c>
      <c r="J1811" s="128">
        <v>47.45</v>
      </c>
      <c r="K1811" s="128">
        <v>31.79</v>
      </c>
      <c r="L1811" s="128">
        <v>169586.3</v>
      </c>
      <c r="M1811" s="128">
        <v>113617.5</v>
      </c>
      <c r="N1811" s="128">
        <v>55968.84</v>
      </c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</row>
    <row r="1812">
      <c r="A1812" s="125" t="s">
        <v>466</v>
      </c>
      <c r="B1812" s="125" t="s">
        <v>484</v>
      </c>
      <c r="C1812" s="125" t="s">
        <v>478</v>
      </c>
      <c r="D1812" s="125" t="s">
        <v>457</v>
      </c>
      <c r="E1812" s="125" t="s">
        <v>189</v>
      </c>
      <c r="F1812" s="126">
        <v>42562.0</v>
      </c>
      <c r="G1812" s="127">
        <v>6.44E8</v>
      </c>
      <c r="H1812" s="126">
        <v>42587.0</v>
      </c>
      <c r="I1812" s="128">
        <v>8740.0</v>
      </c>
      <c r="J1812" s="128">
        <v>651.21</v>
      </c>
      <c r="K1812" s="128">
        <v>524.96</v>
      </c>
      <c r="L1812" s="128">
        <v>5691575.0</v>
      </c>
      <c r="M1812" s="128">
        <v>4588150.0</v>
      </c>
      <c r="N1812" s="128">
        <v>1103425.0</v>
      </c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</row>
    <row r="1813">
      <c r="A1813" s="125" t="s">
        <v>466</v>
      </c>
      <c r="B1813" s="125" t="s">
        <v>625</v>
      </c>
      <c r="C1813" s="125" t="s">
        <v>460</v>
      </c>
      <c r="D1813" s="125" t="s">
        <v>454</v>
      </c>
      <c r="E1813" s="125" t="s">
        <v>464</v>
      </c>
      <c r="F1813" s="126">
        <v>41774.0</v>
      </c>
      <c r="G1813" s="127">
        <v>6.48E8</v>
      </c>
      <c r="H1813" s="126">
        <v>41801.0</v>
      </c>
      <c r="I1813" s="128">
        <v>1382.0</v>
      </c>
      <c r="J1813" s="128">
        <v>47.45</v>
      </c>
      <c r="K1813" s="128">
        <v>31.79</v>
      </c>
      <c r="L1813" s="128">
        <v>65575.9</v>
      </c>
      <c r="M1813" s="128">
        <v>43933.78</v>
      </c>
      <c r="N1813" s="128">
        <v>21642.12</v>
      </c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</row>
    <row r="1814">
      <c r="A1814" s="125" t="s">
        <v>475</v>
      </c>
      <c r="B1814" s="125" t="s">
        <v>528</v>
      </c>
      <c r="C1814" s="125" t="s">
        <v>468</v>
      </c>
      <c r="D1814" s="125" t="s">
        <v>454</v>
      </c>
      <c r="E1814" s="125" t="s">
        <v>284</v>
      </c>
      <c r="F1814" s="126">
        <v>40199.0</v>
      </c>
      <c r="G1814" s="127">
        <v>3.11E8</v>
      </c>
      <c r="H1814" s="126">
        <v>40219.0</v>
      </c>
      <c r="I1814" s="128">
        <v>7600.0</v>
      </c>
      <c r="J1814" s="128">
        <v>81.73</v>
      </c>
      <c r="K1814" s="128">
        <v>56.67</v>
      </c>
      <c r="L1814" s="128">
        <v>621148.0</v>
      </c>
      <c r="M1814" s="128">
        <v>430692.0</v>
      </c>
      <c r="N1814" s="128">
        <v>190456.0</v>
      </c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</row>
    <row r="1815">
      <c r="A1815" s="125" t="s">
        <v>475</v>
      </c>
      <c r="B1815" s="125" t="s">
        <v>640</v>
      </c>
      <c r="C1815" s="125" t="s">
        <v>453</v>
      </c>
      <c r="D1815" s="125" t="s">
        <v>454</v>
      </c>
      <c r="E1815" s="125" t="s">
        <v>284</v>
      </c>
      <c r="F1815" s="126">
        <v>41441.0</v>
      </c>
      <c r="G1815" s="127">
        <v>1.62E8</v>
      </c>
      <c r="H1815" s="126">
        <v>41484.0</v>
      </c>
      <c r="I1815" s="128">
        <v>522.0</v>
      </c>
      <c r="J1815" s="128">
        <v>255.28</v>
      </c>
      <c r="K1815" s="128">
        <v>159.42</v>
      </c>
      <c r="L1815" s="128">
        <v>133256.2</v>
      </c>
      <c r="M1815" s="128">
        <v>83217.24</v>
      </c>
      <c r="N1815" s="128">
        <v>50038.92</v>
      </c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</row>
    <row r="1816">
      <c r="A1816" s="125" t="s">
        <v>458</v>
      </c>
      <c r="B1816" s="125" t="s">
        <v>518</v>
      </c>
      <c r="C1816" s="125" t="s">
        <v>506</v>
      </c>
      <c r="D1816" s="125" t="s">
        <v>457</v>
      </c>
      <c r="E1816" s="125" t="s">
        <v>464</v>
      </c>
      <c r="F1816" s="126">
        <v>41196.0</v>
      </c>
      <c r="G1816" s="127">
        <v>3.54E8</v>
      </c>
      <c r="H1816" s="126">
        <v>41240.0</v>
      </c>
      <c r="I1816" s="128">
        <v>5310.0</v>
      </c>
      <c r="J1816" s="128">
        <v>154.06</v>
      </c>
      <c r="K1816" s="128">
        <v>90.93</v>
      </c>
      <c r="L1816" s="128">
        <v>818058.6</v>
      </c>
      <c r="M1816" s="128">
        <v>482838.3</v>
      </c>
      <c r="N1816" s="128">
        <v>335220.3</v>
      </c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</row>
    <row r="1817">
      <c r="A1817" s="125" t="s">
        <v>469</v>
      </c>
      <c r="B1817" s="125" t="s">
        <v>630</v>
      </c>
      <c r="C1817" s="125" t="s">
        <v>453</v>
      </c>
      <c r="D1817" s="125" t="s">
        <v>457</v>
      </c>
      <c r="E1817" s="125" t="s">
        <v>284</v>
      </c>
      <c r="F1817" s="126">
        <v>42464.0</v>
      </c>
      <c r="G1817" s="127">
        <v>2.09E8</v>
      </c>
      <c r="H1817" s="126">
        <v>42475.0</v>
      </c>
      <c r="I1817" s="128">
        <v>4157.0</v>
      </c>
      <c r="J1817" s="128">
        <v>255.28</v>
      </c>
      <c r="K1817" s="128">
        <v>159.42</v>
      </c>
      <c r="L1817" s="128">
        <v>1061199.0</v>
      </c>
      <c r="M1817" s="128">
        <v>662708.9</v>
      </c>
      <c r="N1817" s="128">
        <v>398490.0</v>
      </c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</row>
    <row r="1818">
      <c r="A1818" s="125" t="s">
        <v>461</v>
      </c>
      <c r="B1818" s="125" t="s">
        <v>595</v>
      </c>
      <c r="C1818" s="125" t="s">
        <v>453</v>
      </c>
      <c r="D1818" s="125" t="s">
        <v>454</v>
      </c>
      <c r="E1818" s="125" t="s">
        <v>284</v>
      </c>
      <c r="F1818" s="126">
        <v>40335.0</v>
      </c>
      <c r="G1818" s="127">
        <v>4.68E8</v>
      </c>
      <c r="H1818" s="126">
        <v>40381.0</v>
      </c>
      <c r="I1818" s="128">
        <v>1285.0</v>
      </c>
      <c r="J1818" s="128">
        <v>255.28</v>
      </c>
      <c r="K1818" s="128">
        <v>159.42</v>
      </c>
      <c r="L1818" s="128">
        <v>328034.8</v>
      </c>
      <c r="M1818" s="128">
        <v>204854.7</v>
      </c>
      <c r="N1818" s="128">
        <v>123180.1</v>
      </c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</row>
    <row r="1819">
      <c r="A1819" s="125" t="s">
        <v>469</v>
      </c>
      <c r="B1819" s="125" t="s">
        <v>647</v>
      </c>
      <c r="C1819" s="125" t="s">
        <v>485</v>
      </c>
      <c r="D1819" s="125" t="s">
        <v>457</v>
      </c>
      <c r="E1819" s="125" t="s">
        <v>189</v>
      </c>
      <c r="F1819" s="126">
        <v>42736.0</v>
      </c>
      <c r="G1819" s="127">
        <v>1.44E8</v>
      </c>
      <c r="H1819" s="126">
        <v>42774.0</v>
      </c>
      <c r="I1819" s="128">
        <v>7951.0</v>
      </c>
      <c r="J1819" s="128">
        <v>421.89</v>
      </c>
      <c r="K1819" s="128">
        <v>364.69</v>
      </c>
      <c r="L1819" s="128">
        <v>3354447.0</v>
      </c>
      <c r="M1819" s="128">
        <v>2899650.0</v>
      </c>
      <c r="N1819" s="128">
        <v>454797.2</v>
      </c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</row>
    <row r="1820">
      <c r="A1820" s="125" t="s">
        <v>475</v>
      </c>
      <c r="B1820" s="125" t="s">
        <v>574</v>
      </c>
      <c r="C1820" s="125" t="s">
        <v>506</v>
      </c>
      <c r="D1820" s="125" t="s">
        <v>454</v>
      </c>
      <c r="E1820" s="125" t="s">
        <v>464</v>
      </c>
      <c r="F1820" s="126">
        <v>41387.0</v>
      </c>
      <c r="G1820" s="127">
        <v>5.7E8</v>
      </c>
      <c r="H1820" s="126">
        <v>41428.0</v>
      </c>
      <c r="I1820" s="128">
        <v>7439.0</v>
      </c>
      <c r="J1820" s="128">
        <v>154.06</v>
      </c>
      <c r="K1820" s="128">
        <v>90.93</v>
      </c>
      <c r="L1820" s="128">
        <v>1146052.0</v>
      </c>
      <c r="M1820" s="128">
        <v>676428.3</v>
      </c>
      <c r="N1820" s="128">
        <v>469624.1</v>
      </c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</row>
    <row r="1821">
      <c r="A1821" s="125" t="s">
        <v>466</v>
      </c>
      <c r="B1821" s="125" t="s">
        <v>508</v>
      </c>
      <c r="C1821" s="125" t="s">
        <v>514</v>
      </c>
      <c r="D1821" s="125" t="s">
        <v>454</v>
      </c>
      <c r="E1821" s="125" t="s">
        <v>189</v>
      </c>
      <c r="F1821" s="126">
        <v>40843.0</v>
      </c>
      <c r="G1821" s="127">
        <v>4.5E8</v>
      </c>
      <c r="H1821" s="126">
        <v>40888.0</v>
      </c>
      <c r="I1821" s="128">
        <v>68.0</v>
      </c>
      <c r="J1821" s="128">
        <v>668.27</v>
      </c>
      <c r="K1821" s="128">
        <v>502.54</v>
      </c>
      <c r="L1821" s="128">
        <v>45442.36</v>
      </c>
      <c r="M1821" s="128">
        <v>34172.72</v>
      </c>
      <c r="N1821" s="128">
        <v>11269.64</v>
      </c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</row>
    <row r="1822">
      <c r="A1822" s="125" t="s">
        <v>458</v>
      </c>
      <c r="B1822" s="125" t="s">
        <v>606</v>
      </c>
      <c r="C1822" s="125" t="s">
        <v>463</v>
      </c>
      <c r="D1822" s="125" t="s">
        <v>457</v>
      </c>
      <c r="E1822" s="125" t="s">
        <v>472</v>
      </c>
      <c r="F1822" s="126">
        <v>40516.0</v>
      </c>
      <c r="G1822" s="127">
        <v>8.07E8</v>
      </c>
      <c r="H1822" s="126">
        <v>40519.0</v>
      </c>
      <c r="I1822" s="128">
        <v>8186.0</v>
      </c>
      <c r="J1822" s="128">
        <v>205.7</v>
      </c>
      <c r="K1822" s="128">
        <v>117.11</v>
      </c>
      <c r="L1822" s="128">
        <v>1683860.0</v>
      </c>
      <c r="M1822" s="128">
        <v>958662.5</v>
      </c>
      <c r="N1822" s="128">
        <v>725197.7</v>
      </c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</row>
    <row r="1823">
      <c r="A1823" s="125" t="s">
        <v>458</v>
      </c>
      <c r="B1823" s="125" t="s">
        <v>529</v>
      </c>
      <c r="C1823" s="125" t="s">
        <v>468</v>
      </c>
      <c r="D1823" s="125" t="s">
        <v>457</v>
      </c>
      <c r="E1823" s="125" t="s">
        <v>284</v>
      </c>
      <c r="F1823" s="126">
        <v>41591.0</v>
      </c>
      <c r="G1823" s="127">
        <v>9.34E8</v>
      </c>
      <c r="H1823" s="126">
        <v>41602.0</v>
      </c>
      <c r="I1823" s="128">
        <v>1173.0</v>
      </c>
      <c r="J1823" s="128">
        <v>81.73</v>
      </c>
      <c r="K1823" s="128">
        <v>56.67</v>
      </c>
      <c r="L1823" s="128">
        <v>95869.29</v>
      </c>
      <c r="M1823" s="128">
        <v>66473.91</v>
      </c>
      <c r="N1823" s="128">
        <v>29395.38</v>
      </c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</row>
    <row r="1824">
      <c r="A1824" s="125" t="s">
        <v>475</v>
      </c>
      <c r="B1824" s="125" t="s">
        <v>561</v>
      </c>
      <c r="C1824" s="125" t="s">
        <v>468</v>
      </c>
      <c r="D1824" s="125" t="s">
        <v>457</v>
      </c>
      <c r="E1824" s="125" t="s">
        <v>284</v>
      </c>
      <c r="F1824" s="126">
        <v>42875.0</v>
      </c>
      <c r="G1824" s="127">
        <v>6.45E8</v>
      </c>
      <c r="H1824" s="126">
        <v>42898.0</v>
      </c>
      <c r="I1824" s="128">
        <v>440.0</v>
      </c>
      <c r="J1824" s="128">
        <v>81.73</v>
      </c>
      <c r="K1824" s="128">
        <v>56.67</v>
      </c>
      <c r="L1824" s="128">
        <v>35961.2</v>
      </c>
      <c r="M1824" s="128">
        <v>24934.8</v>
      </c>
      <c r="N1824" s="128">
        <v>11026.4</v>
      </c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</row>
    <row r="1825">
      <c r="A1825" s="125" t="s">
        <v>458</v>
      </c>
      <c r="B1825" s="125" t="s">
        <v>509</v>
      </c>
      <c r="C1825" s="125" t="s">
        <v>453</v>
      </c>
      <c r="D1825" s="125" t="s">
        <v>457</v>
      </c>
      <c r="E1825" s="125" t="s">
        <v>284</v>
      </c>
      <c r="F1825" s="126">
        <v>42182.0</v>
      </c>
      <c r="G1825" s="127">
        <v>7.26E8</v>
      </c>
      <c r="H1825" s="126">
        <v>42216.0</v>
      </c>
      <c r="I1825" s="128">
        <v>4429.0</v>
      </c>
      <c r="J1825" s="128">
        <v>255.28</v>
      </c>
      <c r="K1825" s="128">
        <v>159.42</v>
      </c>
      <c r="L1825" s="128">
        <v>1130635.0</v>
      </c>
      <c r="M1825" s="128">
        <v>706071.2</v>
      </c>
      <c r="N1825" s="128">
        <v>424563.9</v>
      </c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</row>
    <row r="1826">
      <c r="A1826" s="125" t="s">
        <v>475</v>
      </c>
      <c r="B1826" s="125" t="s">
        <v>657</v>
      </c>
      <c r="C1826" s="125" t="s">
        <v>463</v>
      </c>
      <c r="D1826" s="125" t="s">
        <v>454</v>
      </c>
      <c r="E1826" s="125" t="s">
        <v>472</v>
      </c>
      <c r="F1826" s="126">
        <v>40481.0</v>
      </c>
      <c r="G1826" s="127">
        <v>6.81E8</v>
      </c>
      <c r="H1826" s="126">
        <v>40482.0</v>
      </c>
      <c r="I1826" s="128">
        <v>3615.0</v>
      </c>
      <c r="J1826" s="128">
        <v>205.7</v>
      </c>
      <c r="K1826" s="128">
        <v>117.11</v>
      </c>
      <c r="L1826" s="128">
        <v>743605.5</v>
      </c>
      <c r="M1826" s="128">
        <v>423352.7</v>
      </c>
      <c r="N1826" s="128">
        <v>320252.9</v>
      </c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</row>
    <row r="1827">
      <c r="A1827" s="125" t="s">
        <v>451</v>
      </c>
      <c r="B1827" s="125" t="s">
        <v>550</v>
      </c>
      <c r="C1827" s="125" t="s">
        <v>485</v>
      </c>
      <c r="D1827" s="125" t="s">
        <v>457</v>
      </c>
      <c r="E1827" s="125" t="s">
        <v>464</v>
      </c>
      <c r="F1827" s="126">
        <v>40510.0</v>
      </c>
      <c r="G1827" s="127">
        <v>9.84E8</v>
      </c>
      <c r="H1827" s="126">
        <v>40530.0</v>
      </c>
      <c r="I1827" s="128">
        <v>5501.0</v>
      </c>
      <c r="J1827" s="128">
        <v>421.89</v>
      </c>
      <c r="K1827" s="128">
        <v>364.69</v>
      </c>
      <c r="L1827" s="128">
        <v>2320817.0</v>
      </c>
      <c r="M1827" s="128">
        <v>2006160.0</v>
      </c>
      <c r="N1827" s="128">
        <v>314657.2</v>
      </c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</row>
    <row r="1828">
      <c r="A1828" s="125" t="s">
        <v>451</v>
      </c>
      <c r="B1828" s="125" t="s">
        <v>655</v>
      </c>
      <c r="C1828" s="125" t="s">
        <v>478</v>
      </c>
      <c r="D1828" s="125" t="s">
        <v>454</v>
      </c>
      <c r="E1828" s="125" t="s">
        <v>284</v>
      </c>
      <c r="F1828" s="126">
        <v>42635.0</v>
      </c>
      <c r="G1828" s="127">
        <v>8.32E8</v>
      </c>
      <c r="H1828" s="126">
        <v>42635.0</v>
      </c>
      <c r="I1828" s="128">
        <v>9625.0</v>
      </c>
      <c r="J1828" s="128">
        <v>651.21</v>
      </c>
      <c r="K1828" s="128">
        <v>524.96</v>
      </c>
      <c r="L1828" s="128">
        <v>6267896.0</v>
      </c>
      <c r="M1828" s="128">
        <v>5052740.0</v>
      </c>
      <c r="N1828" s="128">
        <v>1215156.0</v>
      </c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</row>
    <row r="1829">
      <c r="A1829" s="125" t="s">
        <v>466</v>
      </c>
      <c r="B1829" s="125" t="s">
        <v>535</v>
      </c>
      <c r="C1829" s="125" t="s">
        <v>494</v>
      </c>
      <c r="D1829" s="125" t="s">
        <v>454</v>
      </c>
      <c r="E1829" s="125" t="s">
        <v>464</v>
      </c>
      <c r="F1829" s="126">
        <v>40692.0</v>
      </c>
      <c r="G1829" s="127">
        <v>3.9E8</v>
      </c>
      <c r="H1829" s="126">
        <v>40731.0</v>
      </c>
      <c r="I1829" s="128">
        <v>2553.0</v>
      </c>
      <c r="J1829" s="128">
        <v>9.33</v>
      </c>
      <c r="K1829" s="128">
        <v>6.92</v>
      </c>
      <c r="L1829" s="128">
        <v>23819.49</v>
      </c>
      <c r="M1829" s="128">
        <v>17666.76</v>
      </c>
      <c r="N1829" s="128">
        <v>6152.73</v>
      </c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</row>
    <row r="1830">
      <c r="A1830" s="125" t="s">
        <v>469</v>
      </c>
      <c r="B1830" s="125" t="s">
        <v>530</v>
      </c>
      <c r="C1830" s="125" t="s">
        <v>480</v>
      </c>
      <c r="D1830" s="125" t="s">
        <v>454</v>
      </c>
      <c r="E1830" s="125" t="s">
        <v>189</v>
      </c>
      <c r="F1830" s="126">
        <v>42737.0</v>
      </c>
      <c r="G1830" s="127">
        <v>3.43E8</v>
      </c>
      <c r="H1830" s="126">
        <v>42784.0</v>
      </c>
      <c r="I1830" s="128">
        <v>2884.0</v>
      </c>
      <c r="J1830" s="128">
        <v>437.2</v>
      </c>
      <c r="K1830" s="128">
        <v>263.33</v>
      </c>
      <c r="L1830" s="128">
        <v>1260885.0</v>
      </c>
      <c r="M1830" s="128">
        <v>759443.7</v>
      </c>
      <c r="N1830" s="128">
        <v>501441.1</v>
      </c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</row>
    <row r="1831">
      <c r="A1831" s="125" t="s">
        <v>475</v>
      </c>
      <c r="B1831" s="125" t="s">
        <v>528</v>
      </c>
      <c r="C1831" s="125" t="s">
        <v>478</v>
      </c>
      <c r="D1831" s="125" t="s">
        <v>457</v>
      </c>
      <c r="E1831" s="125" t="s">
        <v>189</v>
      </c>
      <c r="F1831" s="126">
        <v>42002.0</v>
      </c>
      <c r="G1831" s="127">
        <v>5.49E8</v>
      </c>
      <c r="H1831" s="126">
        <v>42024.0</v>
      </c>
      <c r="I1831" s="128">
        <v>6248.0</v>
      </c>
      <c r="J1831" s="128">
        <v>651.21</v>
      </c>
      <c r="K1831" s="128">
        <v>524.96</v>
      </c>
      <c r="L1831" s="128">
        <v>4068760.0</v>
      </c>
      <c r="M1831" s="128">
        <v>3279950.0</v>
      </c>
      <c r="N1831" s="128">
        <v>788810.0</v>
      </c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</row>
    <row r="1832">
      <c r="A1832" s="125" t="s">
        <v>475</v>
      </c>
      <c r="B1832" s="125" t="s">
        <v>588</v>
      </c>
      <c r="C1832" s="125" t="s">
        <v>460</v>
      </c>
      <c r="D1832" s="125" t="s">
        <v>457</v>
      </c>
      <c r="E1832" s="125" t="s">
        <v>284</v>
      </c>
      <c r="F1832" s="126">
        <v>40408.0</v>
      </c>
      <c r="G1832" s="127">
        <v>4.84E8</v>
      </c>
      <c r="H1832" s="126">
        <v>40437.0</v>
      </c>
      <c r="I1832" s="128">
        <v>306.0</v>
      </c>
      <c r="J1832" s="128">
        <v>47.45</v>
      </c>
      <c r="K1832" s="128">
        <v>31.79</v>
      </c>
      <c r="L1832" s="128">
        <v>14519.7</v>
      </c>
      <c r="M1832" s="128">
        <v>9727.74</v>
      </c>
      <c r="N1832" s="128">
        <v>4791.96</v>
      </c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</row>
    <row r="1833">
      <c r="A1833" s="125" t="s">
        <v>451</v>
      </c>
      <c r="B1833" s="125" t="s">
        <v>483</v>
      </c>
      <c r="C1833" s="125" t="s">
        <v>514</v>
      </c>
      <c r="D1833" s="125" t="s">
        <v>457</v>
      </c>
      <c r="E1833" s="125" t="s">
        <v>189</v>
      </c>
      <c r="F1833" s="126">
        <v>41644.0</v>
      </c>
      <c r="G1833" s="127">
        <v>5.94E8</v>
      </c>
      <c r="H1833" s="126">
        <v>41660.0</v>
      </c>
      <c r="I1833" s="128">
        <v>9751.0</v>
      </c>
      <c r="J1833" s="128">
        <v>668.27</v>
      </c>
      <c r="K1833" s="128">
        <v>502.54</v>
      </c>
      <c r="L1833" s="128">
        <v>6516301.0</v>
      </c>
      <c r="M1833" s="128">
        <v>4900268.0</v>
      </c>
      <c r="N1833" s="128">
        <v>1616033.0</v>
      </c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</row>
    <row r="1834">
      <c r="A1834" s="125" t="s">
        <v>475</v>
      </c>
      <c r="B1834" s="125" t="s">
        <v>570</v>
      </c>
      <c r="C1834" s="125" t="s">
        <v>468</v>
      </c>
      <c r="D1834" s="125" t="s">
        <v>454</v>
      </c>
      <c r="E1834" s="125" t="s">
        <v>472</v>
      </c>
      <c r="F1834" s="126">
        <v>41493.0</v>
      </c>
      <c r="G1834" s="127">
        <v>9.48E8</v>
      </c>
      <c r="H1834" s="126">
        <v>41541.0</v>
      </c>
      <c r="I1834" s="128">
        <v>1305.0</v>
      </c>
      <c r="J1834" s="128">
        <v>81.73</v>
      </c>
      <c r="K1834" s="128">
        <v>56.67</v>
      </c>
      <c r="L1834" s="128">
        <v>106657.7</v>
      </c>
      <c r="M1834" s="128">
        <v>73954.35</v>
      </c>
      <c r="N1834" s="128">
        <v>32703.3</v>
      </c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</row>
    <row r="1835">
      <c r="A1835" s="125" t="s">
        <v>451</v>
      </c>
      <c r="B1835" s="125" t="s">
        <v>490</v>
      </c>
      <c r="C1835" s="125" t="s">
        <v>514</v>
      </c>
      <c r="D1835" s="125" t="s">
        <v>454</v>
      </c>
      <c r="E1835" s="125" t="s">
        <v>189</v>
      </c>
      <c r="F1835" s="126">
        <v>40275.0</v>
      </c>
      <c r="G1835" s="127">
        <v>7.81E8</v>
      </c>
      <c r="H1835" s="126">
        <v>40301.0</v>
      </c>
      <c r="I1835" s="128">
        <v>8725.0</v>
      </c>
      <c r="J1835" s="128">
        <v>668.27</v>
      </c>
      <c r="K1835" s="128">
        <v>502.54</v>
      </c>
      <c r="L1835" s="128">
        <v>5830656.0</v>
      </c>
      <c r="M1835" s="128">
        <v>4384662.0</v>
      </c>
      <c r="N1835" s="128">
        <v>1445994.0</v>
      </c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</row>
    <row r="1836">
      <c r="A1836" s="125" t="s">
        <v>451</v>
      </c>
      <c r="B1836" s="125" t="s">
        <v>608</v>
      </c>
      <c r="C1836" s="125" t="s">
        <v>506</v>
      </c>
      <c r="D1836" s="125" t="s">
        <v>457</v>
      </c>
      <c r="E1836" s="125" t="s">
        <v>284</v>
      </c>
      <c r="F1836" s="126">
        <v>41466.0</v>
      </c>
      <c r="G1836" s="127">
        <v>7.54E8</v>
      </c>
      <c r="H1836" s="126">
        <v>41483.0</v>
      </c>
      <c r="I1836" s="128">
        <v>7796.0</v>
      </c>
      <c r="J1836" s="128">
        <v>154.06</v>
      </c>
      <c r="K1836" s="128">
        <v>90.93</v>
      </c>
      <c r="L1836" s="128">
        <v>1201052.0</v>
      </c>
      <c r="M1836" s="128">
        <v>708890.3</v>
      </c>
      <c r="N1836" s="128">
        <v>492161.5</v>
      </c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</row>
    <row r="1837">
      <c r="A1837" s="125" t="s">
        <v>458</v>
      </c>
      <c r="B1837" s="125" t="s">
        <v>459</v>
      </c>
      <c r="C1837" s="125" t="s">
        <v>485</v>
      </c>
      <c r="D1837" s="125" t="s">
        <v>454</v>
      </c>
      <c r="E1837" s="125" t="s">
        <v>189</v>
      </c>
      <c r="F1837" s="126">
        <v>42013.0</v>
      </c>
      <c r="G1837" s="127">
        <v>6.93E8</v>
      </c>
      <c r="H1837" s="126">
        <v>42036.0</v>
      </c>
      <c r="I1837" s="128">
        <v>1336.0</v>
      </c>
      <c r="J1837" s="128">
        <v>421.89</v>
      </c>
      <c r="K1837" s="128">
        <v>364.69</v>
      </c>
      <c r="L1837" s="128">
        <v>563645.0</v>
      </c>
      <c r="M1837" s="128">
        <v>487225.8</v>
      </c>
      <c r="N1837" s="128">
        <v>76419.2</v>
      </c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</row>
    <row r="1838">
      <c r="A1838" s="125" t="s">
        <v>451</v>
      </c>
      <c r="B1838" s="125" t="s">
        <v>546</v>
      </c>
      <c r="C1838" s="125" t="s">
        <v>468</v>
      </c>
      <c r="D1838" s="125" t="s">
        <v>454</v>
      </c>
      <c r="E1838" s="125" t="s">
        <v>189</v>
      </c>
      <c r="F1838" s="126">
        <v>42022.0</v>
      </c>
      <c r="G1838" s="127">
        <v>9.46E8</v>
      </c>
      <c r="H1838" s="126">
        <v>42034.0</v>
      </c>
      <c r="I1838" s="128">
        <v>4193.0</v>
      </c>
      <c r="J1838" s="128">
        <v>81.73</v>
      </c>
      <c r="K1838" s="128">
        <v>56.67</v>
      </c>
      <c r="L1838" s="128">
        <v>342693.9</v>
      </c>
      <c r="M1838" s="128">
        <v>237617.3</v>
      </c>
      <c r="N1838" s="128">
        <v>105076.6</v>
      </c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</row>
    <row r="1839">
      <c r="A1839" s="125" t="s">
        <v>458</v>
      </c>
      <c r="B1839" s="125" t="s">
        <v>493</v>
      </c>
      <c r="C1839" s="125" t="s">
        <v>506</v>
      </c>
      <c r="D1839" s="125" t="s">
        <v>454</v>
      </c>
      <c r="E1839" s="125" t="s">
        <v>464</v>
      </c>
      <c r="F1839" s="126">
        <v>40602.0</v>
      </c>
      <c r="G1839" s="127">
        <v>1.34E8</v>
      </c>
      <c r="H1839" s="126">
        <v>40641.0</v>
      </c>
      <c r="I1839" s="128">
        <v>8246.0</v>
      </c>
      <c r="J1839" s="128">
        <v>154.06</v>
      </c>
      <c r="K1839" s="128">
        <v>90.93</v>
      </c>
      <c r="L1839" s="128">
        <v>1270379.0</v>
      </c>
      <c r="M1839" s="128">
        <v>749808.8</v>
      </c>
      <c r="N1839" s="128">
        <v>520570.0</v>
      </c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</row>
    <row r="1840">
      <c r="A1840" s="125" t="s">
        <v>451</v>
      </c>
      <c r="B1840" s="125" t="s">
        <v>497</v>
      </c>
      <c r="C1840" s="125" t="s">
        <v>460</v>
      </c>
      <c r="D1840" s="125" t="s">
        <v>454</v>
      </c>
      <c r="E1840" s="125" t="s">
        <v>284</v>
      </c>
      <c r="F1840" s="126">
        <v>42784.0</v>
      </c>
      <c r="G1840" s="127">
        <v>9.95E8</v>
      </c>
      <c r="H1840" s="126">
        <v>42806.0</v>
      </c>
      <c r="I1840" s="128">
        <v>7408.0</v>
      </c>
      <c r="J1840" s="128">
        <v>47.45</v>
      </c>
      <c r="K1840" s="128">
        <v>31.79</v>
      </c>
      <c r="L1840" s="128">
        <v>351509.6</v>
      </c>
      <c r="M1840" s="128">
        <v>235500.3</v>
      </c>
      <c r="N1840" s="128">
        <v>116009.3</v>
      </c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</row>
    <row r="1841">
      <c r="A1841" s="125" t="s">
        <v>451</v>
      </c>
      <c r="B1841" s="125" t="s">
        <v>609</v>
      </c>
      <c r="C1841" s="125" t="s">
        <v>460</v>
      </c>
      <c r="D1841" s="125" t="s">
        <v>454</v>
      </c>
      <c r="E1841" s="125" t="s">
        <v>189</v>
      </c>
      <c r="F1841" s="126">
        <v>41540.0</v>
      </c>
      <c r="G1841" s="127">
        <v>9.38E8</v>
      </c>
      <c r="H1841" s="126">
        <v>41558.0</v>
      </c>
      <c r="I1841" s="128">
        <v>2621.0</v>
      </c>
      <c r="J1841" s="128">
        <v>47.45</v>
      </c>
      <c r="K1841" s="128">
        <v>31.79</v>
      </c>
      <c r="L1841" s="128">
        <v>124366.5</v>
      </c>
      <c r="M1841" s="128">
        <v>83321.59</v>
      </c>
      <c r="N1841" s="128">
        <v>41044.86</v>
      </c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</row>
    <row r="1842">
      <c r="A1842" s="125" t="s">
        <v>475</v>
      </c>
      <c r="B1842" s="125" t="s">
        <v>507</v>
      </c>
      <c r="C1842" s="125" t="s">
        <v>478</v>
      </c>
      <c r="D1842" s="125" t="s">
        <v>454</v>
      </c>
      <c r="E1842" s="125" t="s">
        <v>189</v>
      </c>
      <c r="F1842" s="126">
        <v>41298.0</v>
      </c>
      <c r="G1842" s="127">
        <v>5.93E8</v>
      </c>
      <c r="H1842" s="126">
        <v>41346.0</v>
      </c>
      <c r="I1842" s="128">
        <v>6858.0</v>
      </c>
      <c r="J1842" s="128">
        <v>651.21</v>
      </c>
      <c r="K1842" s="128">
        <v>524.96</v>
      </c>
      <c r="L1842" s="128">
        <v>4465998.0</v>
      </c>
      <c r="M1842" s="128">
        <v>3600176.0</v>
      </c>
      <c r="N1842" s="128">
        <v>865822.5</v>
      </c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</row>
    <row r="1843">
      <c r="A1843" s="125" t="s">
        <v>458</v>
      </c>
      <c r="B1843" s="125" t="s">
        <v>493</v>
      </c>
      <c r="C1843" s="125" t="s">
        <v>471</v>
      </c>
      <c r="D1843" s="125" t="s">
        <v>457</v>
      </c>
      <c r="E1843" s="125" t="s">
        <v>284</v>
      </c>
      <c r="F1843" s="126">
        <v>42722.0</v>
      </c>
      <c r="G1843" s="127">
        <v>6.6E8</v>
      </c>
      <c r="H1843" s="126">
        <v>42740.0</v>
      </c>
      <c r="I1843" s="128">
        <v>123.0</v>
      </c>
      <c r="J1843" s="128">
        <v>109.28</v>
      </c>
      <c r="K1843" s="128">
        <v>35.84</v>
      </c>
      <c r="L1843" s="128">
        <v>13441.44</v>
      </c>
      <c r="M1843" s="128">
        <v>4408.32</v>
      </c>
      <c r="N1843" s="128">
        <v>9033.12</v>
      </c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</row>
    <row r="1844">
      <c r="A1844" s="125" t="s">
        <v>461</v>
      </c>
      <c r="B1844" s="125" t="s">
        <v>564</v>
      </c>
      <c r="C1844" s="125" t="s">
        <v>460</v>
      </c>
      <c r="D1844" s="125" t="s">
        <v>454</v>
      </c>
      <c r="E1844" s="125" t="s">
        <v>472</v>
      </c>
      <c r="F1844" s="126">
        <v>41336.0</v>
      </c>
      <c r="G1844" s="127">
        <v>5.6E8</v>
      </c>
      <c r="H1844" s="126">
        <v>41338.0</v>
      </c>
      <c r="I1844" s="128">
        <v>4454.0</v>
      </c>
      <c r="J1844" s="128">
        <v>47.45</v>
      </c>
      <c r="K1844" s="128">
        <v>31.79</v>
      </c>
      <c r="L1844" s="128">
        <v>211342.3</v>
      </c>
      <c r="M1844" s="128">
        <v>141592.7</v>
      </c>
      <c r="N1844" s="128">
        <v>69749.64</v>
      </c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</row>
    <row r="1845">
      <c r="A1845" s="125" t="s">
        <v>469</v>
      </c>
      <c r="B1845" s="125" t="s">
        <v>589</v>
      </c>
      <c r="C1845" s="125" t="s">
        <v>463</v>
      </c>
      <c r="D1845" s="125" t="s">
        <v>457</v>
      </c>
      <c r="E1845" s="125" t="s">
        <v>464</v>
      </c>
      <c r="F1845" s="126">
        <v>42732.0</v>
      </c>
      <c r="G1845" s="127">
        <v>6.83E8</v>
      </c>
      <c r="H1845" s="126">
        <v>42741.0</v>
      </c>
      <c r="I1845" s="128">
        <v>8918.0</v>
      </c>
      <c r="J1845" s="128">
        <v>205.7</v>
      </c>
      <c r="K1845" s="128">
        <v>117.11</v>
      </c>
      <c r="L1845" s="128">
        <v>1834433.0</v>
      </c>
      <c r="M1845" s="128">
        <v>1044387.0</v>
      </c>
      <c r="N1845" s="128">
        <v>790045.6</v>
      </c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</row>
    <row r="1846">
      <c r="A1846" s="125" t="s">
        <v>458</v>
      </c>
      <c r="B1846" s="125" t="s">
        <v>538</v>
      </c>
      <c r="C1846" s="125" t="s">
        <v>480</v>
      </c>
      <c r="D1846" s="125" t="s">
        <v>454</v>
      </c>
      <c r="E1846" s="125" t="s">
        <v>284</v>
      </c>
      <c r="F1846" s="126">
        <v>41828.0</v>
      </c>
      <c r="G1846" s="127">
        <v>1.4E8</v>
      </c>
      <c r="H1846" s="126">
        <v>41840.0</v>
      </c>
      <c r="I1846" s="128">
        <v>4613.0</v>
      </c>
      <c r="J1846" s="128">
        <v>437.2</v>
      </c>
      <c r="K1846" s="128">
        <v>263.33</v>
      </c>
      <c r="L1846" s="128">
        <v>2016804.0</v>
      </c>
      <c r="M1846" s="128">
        <v>1214741.0</v>
      </c>
      <c r="N1846" s="128">
        <v>802062.3</v>
      </c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</row>
    <row r="1847">
      <c r="A1847" s="125" t="s">
        <v>461</v>
      </c>
      <c r="B1847" s="125" t="s">
        <v>511</v>
      </c>
      <c r="C1847" s="125" t="s">
        <v>453</v>
      </c>
      <c r="D1847" s="125" t="s">
        <v>454</v>
      </c>
      <c r="E1847" s="125" t="s">
        <v>189</v>
      </c>
      <c r="F1847" s="126">
        <v>40846.0</v>
      </c>
      <c r="G1847" s="127">
        <v>8.13E8</v>
      </c>
      <c r="H1847" s="126">
        <v>40869.0</v>
      </c>
      <c r="I1847" s="128">
        <v>9669.0</v>
      </c>
      <c r="J1847" s="128">
        <v>255.28</v>
      </c>
      <c r="K1847" s="128">
        <v>159.42</v>
      </c>
      <c r="L1847" s="128">
        <v>2468302.0</v>
      </c>
      <c r="M1847" s="128">
        <v>1541432.0</v>
      </c>
      <c r="N1847" s="128">
        <v>926870.3</v>
      </c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</row>
    <row r="1848">
      <c r="A1848" s="125" t="s">
        <v>451</v>
      </c>
      <c r="B1848" s="125" t="s">
        <v>593</v>
      </c>
      <c r="C1848" s="125" t="s">
        <v>485</v>
      </c>
      <c r="D1848" s="125" t="s">
        <v>454</v>
      </c>
      <c r="E1848" s="125" t="s">
        <v>189</v>
      </c>
      <c r="F1848" s="126">
        <v>42396.0</v>
      </c>
      <c r="G1848" s="127">
        <v>6.03E8</v>
      </c>
      <c r="H1848" s="126">
        <v>42411.0</v>
      </c>
      <c r="I1848" s="128">
        <v>4247.0</v>
      </c>
      <c r="J1848" s="128">
        <v>421.89</v>
      </c>
      <c r="K1848" s="128">
        <v>364.69</v>
      </c>
      <c r="L1848" s="128">
        <v>1791767.0</v>
      </c>
      <c r="M1848" s="128">
        <v>1548838.0</v>
      </c>
      <c r="N1848" s="128">
        <v>242928.4</v>
      </c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</row>
    <row r="1849">
      <c r="A1849" s="125" t="s">
        <v>475</v>
      </c>
      <c r="B1849" s="125" t="s">
        <v>512</v>
      </c>
      <c r="C1849" s="125" t="s">
        <v>506</v>
      </c>
      <c r="D1849" s="125" t="s">
        <v>454</v>
      </c>
      <c r="E1849" s="125" t="s">
        <v>472</v>
      </c>
      <c r="F1849" s="126">
        <v>42563.0</v>
      </c>
      <c r="G1849" s="127">
        <v>1.82E8</v>
      </c>
      <c r="H1849" s="126">
        <v>42566.0</v>
      </c>
      <c r="I1849" s="128">
        <v>5540.0</v>
      </c>
      <c r="J1849" s="128">
        <v>154.06</v>
      </c>
      <c r="K1849" s="128">
        <v>90.93</v>
      </c>
      <c r="L1849" s="128">
        <v>853492.4</v>
      </c>
      <c r="M1849" s="128">
        <v>503752.2</v>
      </c>
      <c r="N1849" s="128">
        <v>349740.2</v>
      </c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</row>
    <row r="1850">
      <c r="A1850" s="125" t="s">
        <v>458</v>
      </c>
      <c r="B1850" s="125" t="s">
        <v>538</v>
      </c>
      <c r="C1850" s="125" t="s">
        <v>463</v>
      </c>
      <c r="D1850" s="125" t="s">
        <v>457</v>
      </c>
      <c r="E1850" s="125" t="s">
        <v>284</v>
      </c>
      <c r="F1850" s="126">
        <v>40587.0</v>
      </c>
      <c r="G1850" s="127">
        <v>7.42E8</v>
      </c>
      <c r="H1850" s="126">
        <v>40600.0</v>
      </c>
      <c r="I1850" s="128">
        <v>2771.0</v>
      </c>
      <c r="J1850" s="128">
        <v>205.7</v>
      </c>
      <c r="K1850" s="128">
        <v>117.11</v>
      </c>
      <c r="L1850" s="128">
        <v>569994.7</v>
      </c>
      <c r="M1850" s="128">
        <v>324511.8</v>
      </c>
      <c r="N1850" s="128">
        <v>245482.9</v>
      </c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</row>
    <row r="1851">
      <c r="A1851" s="125" t="s">
        <v>475</v>
      </c>
      <c r="B1851" s="125" t="s">
        <v>552</v>
      </c>
      <c r="C1851" s="125" t="s">
        <v>485</v>
      </c>
      <c r="D1851" s="125" t="s">
        <v>454</v>
      </c>
      <c r="E1851" s="125" t="s">
        <v>472</v>
      </c>
      <c r="F1851" s="126">
        <v>40245.0</v>
      </c>
      <c r="G1851" s="127">
        <v>8.46E8</v>
      </c>
      <c r="H1851" s="126">
        <v>40254.0</v>
      </c>
      <c r="I1851" s="128">
        <v>2195.0</v>
      </c>
      <c r="J1851" s="128">
        <v>421.89</v>
      </c>
      <c r="K1851" s="128">
        <v>364.69</v>
      </c>
      <c r="L1851" s="128">
        <v>926048.6</v>
      </c>
      <c r="M1851" s="128">
        <v>800494.6</v>
      </c>
      <c r="N1851" s="128">
        <v>125554.0</v>
      </c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</row>
    <row r="1852">
      <c r="A1852" s="125" t="s">
        <v>458</v>
      </c>
      <c r="B1852" s="125" t="s">
        <v>518</v>
      </c>
      <c r="C1852" s="125" t="s">
        <v>456</v>
      </c>
      <c r="D1852" s="125" t="s">
        <v>457</v>
      </c>
      <c r="E1852" s="125" t="s">
        <v>284</v>
      </c>
      <c r="F1852" s="126">
        <v>42938.0</v>
      </c>
      <c r="G1852" s="127">
        <v>4.76E8</v>
      </c>
      <c r="H1852" s="126">
        <v>42957.0</v>
      </c>
      <c r="I1852" s="128">
        <v>2099.0</v>
      </c>
      <c r="J1852" s="128">
        <v>152.58</v>
      </c>
      <c r="K1852" s="128">
        <v>97.44</v>
      </c>
      <c r="L1852" s="128">
        <v>320265.4</v>
      </c>
      <c r="M1852" s="128">
        <v>204526.6</v>
      </c>
      <c r="N1852" s="128">
        <v>115738.9</v>
      </c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</row>
    <row r="1853">
      <c r="A1853" s="125" t="s">
        <v>466</v>
      </c>
      <c r="B1853" s="125" t="s">
        <v>524</v>
      </c>
      <c r="C1853" s="125" t="s">
        <v>456</v>
      </c>
      <c r="D1853" s="125" t="s">
        <v>454</v>
      </c>
      <c r="E1853" s="125" t="s">
        <v>472</v>
      </c>
      <c r="F1853" s="126">
        <v>40775.0</v>
      </c>
      <c r="G1853" s="127">
        <v>5.87E8</v>
      </c>
      <c r="H1853" s="126">
        <v>40784.0</v>
      </c>
      <c r="I1853" s="128">
        <v>7799.0</v>
      </c>
      <c r="J1853" s="128">
        <v>152.58</v>
      </c>
      <c r="K1853" s="128">
        <v>97.44</v>
      </c>
      <c r="L1853" s="128">
        <v>1189971.0</v>
      </c>
      <c r="M1853" s="128">
        <v>759934.6</v>
      </c>
      <c r="N1853" s="128">
        <v>430036.9</v>
      </c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</row>
    <row r="1854">
      <c r="A1854" s="125" t="s">
        <v>461</v>
      </c>
      <c r="B1854" s="125" t="s">
        <v>481</v>
      </c>
      <c r="C1854" s="125" t="s">
        <v>485</v>
      </c>
      <c r="D1854" s="125" t="s">
        <v>454</v>
      </c>
      <c r="E1854" s="125" t="s">
        <v>464</v>
      </c>
      <c r="F1854" s="126">
        <v>42848.0</v>
      </c>
      <c r="G1854" s="127">
        <v>8.51E8</v>
      </c>
      <c r="H1854" s="126">
        <v>42857.0</v>
      </c>
      <c r="I1854" s="128">
        <v>6644.0</v>
      </c>
      <c r="J1854" s="128">
        <v>421.89</v>
      </c>
      <c r="K1854" s="128">
        <v>364.69</v>
      </c>
      <c r="L1854" s="128">
        <v>2803037.0</v>
      </c>
      <c r="M1854" s="128">
        <v>2423000.0</v>
      </c>
      <c r="N1854" s="128">
        <v>380036.8</v>
      </c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</row>
    <row r="1855">
      <c r="A1855" s="125" t="s">
        <v>458</v>
      </c>
      <c r="B1855" s="125" t="s">
        <v>517</v>
      </c>
      <c r="C1855" s="125" t="s">
        <v>494</v>
      </c>
      <c r="D1855" s="125" t="s">
        <v>454</v>
      </c>
      <c r="E1855" s="125" t="s">
        <v>189</v>
      </c>
      <c r="F1855" s="126">
        <v>40661.0</v>
      </c>
      <c r="G1855" s="127">
        <v>1.11E8</v>
      </c>
      <c r="H1855" s="126">
        <v>40698.0</v>
      </c>
      <c r="I1855" s="128">
        <v>3015.0</v>
      </c>
      <c r="J1855" s="128">
        <v>9.33</v>
      </c>
      <c r="K1855" s="128">
        <v>6.92</v>
      </c>
      <c r="L1855" s="128">
        <v>28129.95</v>
      </c>
      <c r="M1855" s="128">
        <v>20863.8</v>
      </c>
      <c r="N1855" s="128">
        <v>7266.15</v>
      </c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</row>
    <row r="1856">
      <c r="A1856" s="125" t="s">
        <v>461</v>
      </c>
      <c r="B1856" s="125" t="s">
        <v>638</v>
      </c>
      <c r="C1856" s="125" t="s">
        <v>506</v>
      </c>
      <c r="D1856" s="125" t="s">
        <v>457</v>
      </c>
      <c r="E1856" s="125" t="s">
        <v>464</v>
      </c>
      <c r="F1856" s="126">
        <v>42703.0</v>
      </c>
      <c r="G1856" s="127">
        <v>4.34E8</v>
      </c>
      <c r="H1856" s="126">
        <v>42725.0</v>
      </c>
      <c r="I1856" s="128">
        <v>3322.0</v>
      </c>
      <c r="J1856" s="128">
        <v>154.06</v>
      </c>
      <c r="K1856" s="128">
        <v>90.93</v>
      </c>
      <c r="L1856" s="128">
        <v>511787.3</v>
      </c>
      <c r="M1856" s="128">
        <v>302069.5</v>
      </c>
      <c r="N1856" s="128">
        <v>209717.9</v>
      </c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</row>
    <row r="1857">
      <c r="A1857" s="125" t="s">
        <v>461</v>
      </c>
      <c r="B1857" s="125" t="s">
        <v>595</v>
      </c>
      <c r="C1857" s="125" t="s">
        <v>471</v>
      </c>
      <c r="D1857" s="125" t="s">
        <v>454</v>
      </c>
      <c r="E1857" s="125" t="s">
        <v>472</v>
      </c>
      <c r="F1857" s="126">
        <v>42638.0</v>
      </c>
      <c r="G1857" s="127">
        <v>3.51E8</v>
      </c>
      <c r="H1857" s="126">
        <v>42673.0</v>
      </c>
      <c r="I1857" s="128">
        <v>1008.0</v>
      </c>
      <c r="J1857" s="128">
        <v>109.28</v>
      </c>
      <c r="K1857" s="128">
        <v>35.84</v>
      </c>
      <c r="L1857" s="128">
        <v>110154.2</v>
      </c>
      <c r="M1857" s="128">
        <v>36126.72</v>
      </c>
      <c r="N1857" s="128">
        <v>74027.52</v>
      </c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</row>
    <row r="1858">
      <c r="A1858" s="125" t="s">
        <v>451</v>
      </c>
      <c r="B1858" s="125" t="s">
        <v>646</v>
      </c>
      <c r="C1858" s="125" t="s">
        <v>485</v>
      </c>
      <c r="D1858" s="125" t="s">
        <v>457</v>
      </c>
      <c r="E1858" s="125" t="s">
        <v>472</v>
      </c>
      <c r="F1858" s="126">
        <v>42818.0</v>
      </c>
      <c r="G1858" s="127">
        <v>7.2E8</v>
      </c>
      <c r="H1858" s="126">
        <v>42826.0</v>
      </c>
      <c r="I1858" s="128">
        <v>1546.0</v>
      </c>
      <c r="J1858" s="128">
        <v>421.89</v>
      </c>
      <c r="K1858" s="128">
        <v>364.69</v>
      </c>
      <c r="L1858" s="128">
        <v>652241.9</v>
      </c>
      <c r="M1858" s="128">
        <v>563810.7</v>
      </c>
      <c r="N1858" s="128">
        <v>88431.2</v>
      </c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</row>
    <row r="1859">
      <c r="A1859" s="125" t="s">
        <v>451</v>
      </c>
      <c r="B1859" s="125" t="s">
        <v>593</v>
      </c>
      <c r="C1859" s="125" t="s">
        <v>514</v>
      </c>
      <c r="D1859" s="125" t="s">
        <v>457</v>
      </c>
      <c r="E1859" s="125" t="s">
        <v>464</v>
      </c>
      <c r="F1859" s="126">
        <v>41834.0</v>
      </c>
      <c r="G1859" s="127">
        <v>6.63E8</v>
      </c>
      <c r="H1859" s="126">
        <v>41846.0</v>
      </c>
      <c r="I1859" s="128">
        <v>7441.0</v>
      </c>
      <c r="J1859" s="128">
        <v>668.27</v>
      </c>
      <c r="K1859" s="128">
        <v>502.54</v>
      </c>
      <c r="L1859" s="128">
        <v>4972597.0</v>
      </c>
      <c r="M1859" s="128">
        <v>3739400.0</v>
      </c>
      <c r="N1859" s="128">
        <v>1233197.0</v>
      </c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</row>
    <row r="1860">
      <c r="A1860" s="125" t="s">
        <v>475</v>
      </c>
      <c r="B1860" s="125" t="s">
        <v>579</v>
      </c>
      <c r="C1860" s="125" t="s">
        <v>453</v>
      </c>
      <c r="D1860" s="125" t="s">
        <v>457</v>
      </c>
      <c r="E1860" s="125" t="s">
        <v>189</v>
      </c>
      <c r="F1860" s="126">
        <v>41431.0</v>
      </c>
      <c r="G1860" s="127">
        <v>7.28E8</v>
      </c>
      <c r="H1860" s="126">
        <v>41462.0</v>
      </c>
      <c r="I1860" s="128">
        <v>3229.0</v>
      </c>
      <c r="J1860" s="128">
        <v>255.28</v>
      </c>
      <c r="K1860" s="128">
        <v>159.42</v>
      </c>
      <c r="L1860" s="128">
        <v>824299.1</v>
      </c>
      <c r="M1860" s="128">
        <v>514767.2</v>
      </c>
      <c r="N1860" s="128">
        <v>309531.9</v>
      </c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</row>
    <row r="1861">
      <c r="A1861" s="125" t="s">
        <v>458</v>
      </c>
      <c r="B1861" s="125" t="s">
        <v>633</v>
      </c>
      <c r="C1861" s="125" t="s">
        <v>506</v>
      </c>
      <c r="D1861" s="125" t="s">
        <v>454</v>
      </c>
      <c r="E1861" s="125" t="s">
        <v>464</v>
      </c>
      <c r="F1861" s="126">
        <v>42363.0</v>
      </c>
      <c r="G1861" s="127">
        <v>6.29E8</v>
      </c>
      <c r="H1861" s="126">
        <v>42401.0</v>
      </c>
      <c r="I1861" s="128">
        <v>479.0</v>
      </c>
      <c r="J1861" s="128">
        <v>154.06</v>
      </c>
      <c r="K1861" s="128">
        <v>90.93</v>
      </c>
      <c r="L1861" s="128">
        <v>73794.74</v>
      </c>
      <c r="M1861" s="128">
        <v>43555.47</v>
      </c>
      <c r="N1861" s="128">
        <v>30239.27</v>
      </c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</row>
    <row r="1862">
      <c r="A1862" s="125" t="s">
        <v>458</v>
      </c>
      <c r="B1862" s="125" t="s">
        <v>633</v>
      </c>
      <c r="C1862" s="125" t="s">
        <v>478</v>
      </c>
      <c r="D1862" s="125" t="s">
        <v>457</v>
      </c>
      <c r="E1862" s="125" t="s">
        <v>189</v>
      </c>
      <c r="F1862" s="126">
        <v>40239.0</v>
      </c>
      <c r="G1862" s="127">
        <v>6.02E8</v>
      </c>
      <c r="H1862" s="126">
        <v>40256.0</v>
      </c>
      <c r="I1862" s="128">
        <v>2787.0</v>
      </c>
      <c r="J1862" s="128">
        <v>651.21</v>
      </c>
      <c r="K1862" s="128">
        <v>524.96</v>
      </c>
      <c r="L1862" s="128">
        <v>1814922.0</v>
      </c>
      <c r="M1862" s="128">
        <v>1463064.0</v>
      </c>
      <c r="N1862" s="128">
        <v>351858.8</v>
      </c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</row>
    <row r="1863">
      <c r="A1863" s="125" t="s">
        <v>458</v>
      </c>
      <c r="B1863" s="125" t="s">
        <v>473</v>
      </c>
      <c r="C1863" s="125" t="s">
        <v>456</v>
      </c>
      <c r="D1863" s="125" t="s">
        <v>457</v>
      </c>
      <c r="E1863" s="125" t="s">
        <v>464</v>
      </c>
      <c r="F1863" s="126">
        <v>40738.0</v>
      </c>
      <c r="G1863" s="127">
        <v>9.54E8</v>
      </c>
      <c r="H1863" s="126">
        <v>40782.0</v>
      </c>
      <c r="I1863" s="128">
        <v>785.0</v>
      </c>
      <c r="J1863" s="128">
        <v>152.58</v>
      </c>
      <c r="K1863" s="128">
        <v>97.44</v>
      </c>
      <c r="L1863" s="128">
        <v>119775.3</v>
      </c>
      <c r="M1863" s="128">
        <v>76490.4</v>
      </c>
      <c r="N1863" s="128">
        <v>43284.9</v>
      </c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</row>
    <row r="1864">
      <c r="A1864" s="125" t="s">
        <v>466</v>
      </c>
      <c r="B1864" s="125" t="s">
        <v>496</v>
      </c>
      <c r="C1864" s="125" t="s">
        <v>480</v>
      </c>
      <c r="D1864" s="125" t="s">
        <v>457</v>
      </c>
      <c r="E1864" s="125" t="s">
        <v>189</v>
      </c>
      <c r="F1864" s="126">
        <v>41630.0</v>
      </c>
      <c r="G1864" s="127">
        <v>7.12E8</v>
      </c>
      <c r="H1864" s="126">
        <v>41634.0</v>
      </c>
      <c r="I1864" s="128">
        <v>7133.0</v>
      </c>
      <c r="J1864" s="128">
        <v>437.2</v>
      </c>
      <c r="K1864" s="128">
        <v>263.33</v>
      </c>
      <c r="L1864" s="128">
        <v>3118548.0</v>
      </c>
      <c r="M1864" s="128">
        <v>1878333.0</v>
      </c>
      <c r="N1864" s="128">
        <v>1240215.0</v>
      </c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</row>
    <row r="1865">
      <c r="A1865" s="125" t="s">
        <v>469</v>
      </c>
      <c r="B1865" s="125" t="s">
        <v>495</v>
      </c>
      <c r="C1865" s="125" t="s">
        <v>460</v>
      </c>
      <c r="D1865" s="125" t="s">
        <v>457</v>
      </c>
      <c r="E1865" s="125" t="s">
        <v>189</v>
      </c>
      <c r="F1865" s="126">
        <v>42457.0</v>
      </c>
      <c r="G1865" s="127">
        <v>7.71E8</v>
      </c>
      <c r="H1865" s="126">
        <v>42482.0</v>
      </c>
      <c r="I1865" s="128">
        <v>1524.0</v>
      </c>
      <c r="J1865" s="128">
        <v>47.45</v>
      </c>
      <c r="K1865" s="128">
        <v>31.79</v>
      </c>
      <c r="L1865" s="128">
        <v>72313.8</v>
      </c>
      <c r="M1865" s="128">
        <v>48447.96</v>
      </c>
      <c r="N1865" s="128">
        <v>23865.84</v>
      </c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</row>
    <row r="1866">
      <c r="A1866" s="125" t="s">
        <v>466</v>
      </c>
      <c r="B1866" s="125" t="s">
        <v>637</v>
      </c>
      <c r="C1866" s="125" t="s">
        <v>506</v>
      </c>
      <c r="D1866" s="125" t="s">
        <v>457</v>
      </c>
      <c r="E1866" s="125" t="s">
        <v>189</v>
      </c>
      <c r="F1866" s="126">
        <v>40384.0</v>
      </c>
      <c r="G1866" s="127">
        <v>7.51E8</v>
      </c>
      <c r="H1866" s="126">
        <v>40428.0</v>
      </c>
      <c r="I1866" s="128">
        <v>5682.0</v>
      </c>
      <c r="J1866" s="128">
        <v>154.06</v>
      </c>
      <c r="K1866" s="128">
        <v>90.93</v>
      </c>
      <c r="L1866" s="128">
        <v>875368.9</v>
      </c>
      <c r="M1866" s="128">
        <v>516664.3</v>
      </c>
      <c r="N1866" s="128">
        <v>358704.7</v>
      </c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</row>
    <row r="1867">
      <c r="A1867" s="125" t="s">
        <v>475</v>
      </c>
      <c r="B1867" s="125" t="s">
        <v>562</v>
      </c>
      <c r="C1867" s="125" t="s">
        <v>453</v>
      </c>
      <c r="D1867" s="125" t="s">
        <v>457</v>
      </c>
      <c r="E1867" s="125" t="s">
        <v>464</v>
      </c>
      <c r="F1867" s="126">
        <v>42646.0</v>
      </c>
      <c r="G1867" s="127">
        <v>3.37E8</v>
      </c>
      <c r="H1867" s="126">
        <v>42685.0</v>
      </c>
      <c r="I1867" s="128">
        <v>8360.0</v>
      </c>
      <c r="J1867" s="128">
        <v>255.28</v>
      </c>
      <c r="K1867" s="128">
        <v>159.42</v>
      </c>
      <c r="L1867" s="128">
        <v>2134141.0</v>
      </c>
      <c r="M1867" s="128">
        <v>1332751.0</v>
      </c>
      <c r="N1867" s="128">
        <v>801389.6</v>
      </c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</row>
    <row r="1868">
      <c r="A1868" s="125" t="s">
        <v>451</v>
      </c>
      <c r="B1868" s="125" t="s">
        <v>608</v>
      </c>
      <c r="C1868" s="125" t="s">
        <v>453</v>
      </c>
      <c r="D1868" s="125" t="s">
        <v>457</v>
      </c>
      <c r="E1868" s="125" t="s">
        <v>464</v>
      </c>
      <c r="F1868" s="126">
        <v>40273.0</v>
      </c>
      <c r="G1868" s="127">
        <v>6.39E8</v>
      </c>
      <c r="H1868" s="126">
        <v>40323.0</v>
      </c>
      <c r="I1868" s="128">
        <v>347.0</v>
      </c>
      <c r="J1868" s="128">
        <v>255.28</v>
      </c>
      <c r="K1868" s="128">
        <v>159.42</v>
      </c>
      <c r="L1868" s="128">
        <v>88582.16</v>
      </c>
      <c r="M1868" s="128">
        <v>55318.74</v>
      </c>
      <c r="N1868" s="128">
        <v>33263.42</v>
      </c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</row>
    <row r="1869">
      <c r="A1869" s="125" t="s">
        <v>469</v>
      </c>
      <c r="B1869" s="125" t="s">
        <v>630</v>
      </c>
      <c r="C1869" s="125" t="s">
        <v>485</v>
      </c>
      <c r="D1869" s="125" t="s">
        <v>454</v>
      </c>
      <c r="E1869" s="125" t="s">
        <v>464</v>
      </c>
      <c r="F1869" s="126">
        <v>42658.0</v>
      </c>
      <c r="G1869" s="127">
        <v>1.33E8</v>
      </c>
      <c r="H1869" s="126">
        <v>42662.0</v>
      </c>
      <c r="I1869" s="128">
        <v>9457.0</v>
      </c>
      <c r="J1869" s="128">
        <v>421.89</v>
      </c>
      <c r="K1869" s="128">
        <v>364.69</v>
      </c>
      <c r="L1869" s="128">
        <v>3989814.0</v>
      </c>
      <c r="M1869" s="128">
        <v>3448873.0</v>
      </c>
      <c r="N1869" s="128">
        <v>540940.4</v>
      </c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</row>
    <row r="1870">
      <c r="A1870" s="125" t="s">
        <v>461</v>
      </c>
      <c r="B1870" s="125" t="s">
        <v>615</v>
      </c>
      <c r="C1870" s="125" t="s">
        <v>514</v>
      </c>
      <c r="D1870" s="125" t="s">
        <v>457</v>
      </c>
      <c r="E1870" s="125" t="s">
        <v>284</v>
      </c>
      <c r="F1870" s="126">
        <v>40227.0</v>
      </c>
      <c r="G1870" s="127">
        <v>5.19E8</v>
      </c>
      <c r="H1870" s="126">
        <v>40274.0</v>
      </c>
      <c r="I1870" s="128">
        <v>5542.0</v>
      </c>
      <c r="J1870" s="128">
        <v>668.27</v>
      </c>
      <c r="K1870" s="128">
        <v>502.54</v>
      </c>
      <c r="L1870" s="128">
        <v>3703552.0</v>
      </c>
      <c r="M1870" s="128">
        <v>2785077.0</v>
      </c>
      <c r="N1870" s="128">
        <v>918475.7</v>
      </c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</row>
    <row r="1871">
      <c r="A1871" s="125" t="s">
        <v>458</v>
      </c>
      <c r="B1871" s="125" t="s">
        <v>459</v>
      </c>
      <c r="C1871" s="125" t="s">
        <v>478</v>
      </c>
      <c r="D1871" s="125" t="s">
        <v>454</v>
      </c>
      <c r="E1871" s="125" t="s">
        <v>189</v>
      </c>
      <c r="F1871" s="126">
        <v>41768.0</v>
      </c>
      <c r="G1871" s="127">
        <v>8.66E8</v>
      </c>
      <c r="H1871" s="126">
        <v>41773.0</v>
      </c>
      <c r="I1871" s="128">
        <v>5479.0</v>
      </c>
      <c r="J1871" s="128">
        <v>651.21</v>
      </c>
      <c r="K1871" s="128">
        <v>524.96</v>
      </c>
      <c r="L1871" s="128">
        <v>3567980.0</v>
      </c>
      <c r="M1871" s="128">
        <v>2876256.0</v>
      </c>
      <c r="N1871" s="128">
        <v>691723.8</v>
      </c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</row>
    <row r="1872">
      <c r="A1872" s="125" t="s">
        <v>458</v>
      </c>
      <c r="B1872" s="125" t="s">
        <v>517</v>
      </c>
      <c r="C1872" s="125" t="s">
        <v>471</v>
      </c>
      <c r="D1872" s="125" t="s">
        <v>457</v>
      </c>
      <c r="E1872" s="125" t="s">
        <v>189</v>
      </c>
      <c r="F1872" s="126">
        <v>42633.0</v>
      </c>
      <c r="G1872" s="127">
        <v>7.62E8</v>
      </c>
      <c r="H1872" s="126">
        <v>42657.0</v>
      </c>
      <c r="I1872" s="128">
        <v>8181.0</v>
      </c>
      <c r="J1872" s="128">
        <v>109.28</v>
      </c>
      <c r="K1872" s="128">
        <v>35.84</v>
      </c>
      <c r="L1872" s="128">
        <v>894019.7</v>
      </c>
      <c r="M1872" s="128">
        <v>293207.0</v>
      </c>
      <c r="N1872" s="128">
        <v>600812.6</v>
      </c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</row>
    <row r="1873">
      <c r="A1873" s="125" t="s">
        <v>475</v>
      </c>
      <c r="B1873" s="125" t="s">
        <v>640</v>
      </c>
      <c r="C1873" s="125" t="s">
        <v>485</v>
      </c>
      <c r="D1873" s="125" t="s">
        <v>457</v>
      </c>
      <c r="E1873" s="125" t="s">
        <v>189</v>
      </c>
      <c r="F1873" s="126">
        <v>42710.0</v>
      </c>
      <c r="G1873" s="127">
        <v>7.67E8</v>
      </c>
      <c r="H1873" s="126">
        <v>42745.0</v>
      </c>
      <c r="I1873" s="128">
        <v>9590.0</v>
      </c>
      <c r="J1873" s="128">
        <v>421.89</v>
      </c>
      <c r="K1873" s="128">
        <v>364.69</v>
      </c>
      <c r="L1873" s="128">
        <v>4045925.0</v>
      </c>
      <c r="M1873" s="128">
        <v>3497377.0</v>
      </c>
      <c r="N1873" s="128">
        <v>548548.0</v>
      </c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</row>
    <row r="1874">
      <c r="A1874" s="125" t="s">
        <v>458</v>
      </c>
      <c r="B1874" s="125" t="s">
        <v>652</v>
      </c>
      <c r="C1874" s="125" t="s">
        <v>478</v>
      </c>
      <c r="D1874" s="125" t="s">
        <v>454</v>
      </c>
      <c r="E1874" s="125" t="s">
        <v>464</v>
      </c>
      <c r="F1874" s="126">
        <v>42274.0</v>
      </c>
      <c r="G1874" s="127">
        <v>1.61E8</v>
      </c>
      <c r="H1874" s="126">
        <v>42307.0</v>
      </c>
      <c r="I1874" s="128">
        <v>7679.0</v>
      </c>
      <c r="J1874" s="128">
        <v>651.21</v>
      </c>
      <c r="K1874" s="128">
        <v>524.96</v>
      </c>
      <c r="L1874" s="128">
        <v>5000642.0</v>
      </c>
      <c r="M1874" s="128">
        <v>4031168.0</v>
      </c>
      <c r="N1874" s="128">
        <v>969473.8</v>
      </c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</row>
    <row r="1875">
      <c r="A1875" s="125" t="s">
        <v>458</v>
      </c>
      <c r="B1875" s="125" t="s">
        <v>541</v>
      </c>
      <c r="C1875" s="125" t="s">
        <v>506</v>
      </c>
      <c r="D1875" s="125" t="s">
        <v>457</v>
      </c>
      <c r="E1875" s="125" t="s">
        <v>189</v>
      </c>
      <c r="F1875" s="126">
        <v>40610.0</v>
      </c>
      <c r="G1875" s="127">
        <v>9.93E8</v>
      </c>
      <c r="H1875" s="126">
        <v>40611.0</v>
      </c>
      <c r="I1875" s="128">
        <v>7454.0</v>
      </c>
      <c r="J1875" s="128">
        <v>154.06</v>
      </c>
      <c r="K1875" s="128">
        <v>90.93</v>
      </c>
      <c r="L1875" s="128">
        <v>1148363.0</v>
      </c>
      <c r="M1875" s="128">
        <v>677792.2</v>
      </c>
      <c r="N1875" s="128">
        <v>470571.0</v>
      </c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</row>
    <row r="1876">
      <c r="A1876" s="125" t="s">
        <v>475</v>
      </c>
      <c r="B1876" s="125" t="s">
        <v>536</v>
      </c>
      <c r="C1876" s="125" t="s">
        <v>514</v>
      </c>
      <c r="D1876" s="125" t="s">
        <v>454</v>
      </c>
      <c r="E1876" s="125" t="s">
        <v>189</v>
      </c>
      <c r="F1876" s="126">
        <v>42920.0</v>
      </c>
      <c r="G1876" s="127">
        <v>4.34E8</v>
      </c>
      <c r="H1876" s="126">
        <v>42957.0</v>
      </c>
      <c r="I1876" s="128">
        <v>5950.0</v>
      </c>
      <c r="J1876" s="128">
        <v>668.27</v>
      </c>
      <c r="K1876" s="128">
        <v>502.54</v>
      </c>
      <c r="L1876" s="128">
        <v>3976207.0</v>
      </c>
      <c r="M1876" s="128">
        <v>2990113.0</v>
      </c>
      <c r="N1876" s="128">
        <v>986093.5</v>
      </c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</row>
    <row r="1877">
      <c r="A1877" s="125" t="s">
        <v>475</v>
      </c>
      <c r="B1877" s="125" t="s">
        <v>648</v>
      </c>
      <c r="C1877" s="125" t="s">
        <v>463</v>
      </c>
      <c r="D1877" s="125" t="s">
        <v>454</v>
      </c>
      <c r="E1877" s="125" t="s">
        <v>464</v>
      </c>
      <c r="F1877" s="126">
        <v>42351.0</v>
      </c>
      <c r="G1877" s="127">
        <v>2.26E8</v>
      </c>
      <c r="H1877" s="126">
        <v>42375.0</v>
      </c>
      <c r="I1877" s="128">
        <v>7235.0</v>
      </c>
      <c r="J1877" s="128">
        <v>205.7</v>
      </c>
      <c r="K1877" s="128">
        <v>117.11</v>
      </c>
      <c r="L1877" s="128">
        <v>1488240.0</v>
      </c>
      <c r="M1877" s="128">
        <v>847290.9</v>
      </c>
      <c r="N1877" s="128">
        <v>640948.7</v>
      </c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</row>
    <row r="1878">
      <c r="A1878" s="125" t="s">
        <v>475</v>
      </c>
      <c r="B1878" s="125" t="s">
        <v>552</v>
      </c>
      <c r="C1878" s="125" t="s">
        <v>453</v>
      </c>
      <c r="D1878" s="125" t="s">
        <v>457</v>
      </c>
      <c r="E1878" s="125" t="s">
        <v>284</v>
      </c>
      <c r="F1878" s="126">
        <v>40735.0</v>
      </c>
      <c r="G1878" s="127">
        <v>8.28E8</v>
      </c>
      <c r="H1878" s="126">
        <v>40746.0</v>
      </c>
      <c r="I1878" s="128">
        <v>7407.0</v>
      </c>
      <c r="J1878" s="128">
        <v>255.28</v>
      </c>
      <c r="K1878" s="128">
        <v>159.42</v>
      </c>
      <c r="L1878" s="128">
        <v>1890859.0</v>
      </c>
      <c r="M1878" s="128">
        <v>1180824.0</v>
      </c>
      <c r="N1878" s="128">
        <v>710035.0</v>
      </c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</row>
    <row r="1879">
      <c r="A1879" s="125" t="s">
        <v>451</v>
      </c>
      <c r="B1879" s="125" t="s">
        <v>550</v>
      </c>
      <c r="C1879" s="125" t="s">
        <v>456</v>
      </c>
      <c r="D1879" s="125" t="s">
        <v>454</v>
      </c>
      <c r="E1879" s="125" t="s">
        <v>284</v>
      </c>
      <c r="F1879" s="126">
        <v>41678.0</v>
      </c>
      <c r="G1879" s="127">
        <v>9.72E8</v>
      </c>
      <c r="H1879" s="126">
        <v>41713.0</v>
      </c>
      <c r="I1879" s="128">
        <v>9597.0</v>
      </c>
      <c r="J1879" s="128">
        <v>152.58</v>
      </c>
      <c r="K1879" s="128">
        <v>97.44</v>
      </c>
      <c r="L1879" s="128">
        <v>1464310.0</v>
      </c>
      <c r="M1879" s="128">
        <v>935131.7</v>
      </c>
      <c r="N1879" s="128">
        <v>529178.6</v>
      </c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</row>
    <row r="1880">
      <c r="A1880" s="125" t="s">
        <v>488</v>
      </c>
      <c r="B1880" s="125" t="s">
        <v>645</v>
      </c>
      <c r="C1880" s="125" t="s">
        <v>460</v>
      </c>
      <c r="D1880" s="125" t="s">
        <v>454</v>
      </c>
      <c r="E1880" s="125" t="s">
        <v>464</v>
      </c>
      <c r="F1880" s="126">
        <v>40874.0</v>
      </c>
      <c r="G1880" s="127">
        <v>8.1E8</v>
      </c>
      <c r="H1880" s="126">
        <v>40919.0</v>
      </c>
      <c r="I1880" s="128">
        <v>8965.0</v>
      </c>
      <c r="J1880" s="128">
        <v>47.45</v>
      </c>
      <c r="K1880" s="128">
        <v>31.79</v>
      </c>
      <c r="L1880" s="128">
        <v>425389.3</v>
      </c>
      <c r="M1880" s="128">
        <v>284997.4</v>
      </c>
      <c r="N1880" s="128">
        <v>140391.9</v>
      </c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</row>
    <row r="1881">
      <c r="A1881" s="125" t="s">
        <v>451</v>
      </c>
      <c r="B1881" s="125" t="s">
        <v>592</v>
      </c>
      <c r="C1881" s="125" t="s">
        <v>478</v>
      </c>
      <c r="D1881" s="125" t="s">
        <v>454</v>
      </c>
      <c r="E1881" s="125" t="s">
        <v>472</v>
      </c>
      <c r="F1881" s="126">
        <v>41323.0</v>
      </c>
      <c r="G1881" s="127">
        <v>5.63E8</v>
      </c>
      <c r="H1881" s="126">
        <v>41352.0</v>
      </c>
      <c r="I1881" s="128">
        <v>7704.0</v>
      </c>
      <c r="J1881" s="128">
        <v>651.21</v>
      </c>
      <c r="K1881" s="128">
        <v>524.96</v>
      </c>
      <c r="L1881" s="128">
        <v>5016922.0</v>
      </c>
      <c r="M1881" s="128">
        <v>4044292.0</v>
      </c>
      <c r="N1881" s="128">
        <v>972630.0</v>
      </c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</row>
    <row r="1882">
      <c r="A1882" s="125" t="s">
        <v>475</v>
      </c>
      <c r="B1882" s="125" t="s">
        <v>561</v>
      </c>
      <c r="C1882" s="125" t="s">
        <v>485</v>
      </c>
      <c r="D1882" s="125" t="s">
        <v>457</v>
      </c>
      <c r="E1882" s="125" t="s">
        <v>472</v>
      </c>
      <c r="F1882" s="126">
        <v>40883.0</v>
      </c>
      <c r="G1882" s="127">
        <v>9.74E8</v>
      </c>
      <c r="H1882" s="126">
        <v>40921.0</v>
      </c>
      <c r="I1882" s="128">
        <v>38.0</v>
      </c>
      <c r="J1882" s="128">
        <v>421.89</v>
      </c>
      <c r="K1882" s="128">
        <v>364.69</v>
      </c>
      <c r="L1882" s="128">
        <v>16031.82</v>
      </c>
      <c r="M1882" s="128">
        <v>13858.22</v>
      </c>
      <c r="N1882" s="128">
        <v>2173.6</v>
      </c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</row>
    <row r="1883">
      <c r="A1883" s="125" t="s">
        <v>461</v>
      </c>
      <c r="B1883" s="125" t="s">
        <v>618</v>
      </c>
      <c r="C1883" s="125" t="s">
        <v>494</v>
      </c>
      <c r="D1883" s="125" t="s">
        <v>457</v>
      </c>
      <c r="E1883" s="125" t="s">
        <v>284</v>
      </c>
      <c r="F1883" s="126">
        <v>41947.0</v>
      </c>
      <c r="G1883" s="127">
        <v>1.56E8</v>
      </c>
      <c r="H1883" s="126">
        <v>41960.0</v>
      </c>
      <c r="I1883" s="128">
        <v>7221.0</v>
      </c>
      <c r="J1883" s="128">
        <v>9.33</v>
      </c>
      <c r="K1883" s="128">
        <v>6.92</v>
      </c>
      <c r="L1883" s="128">
        <v>67371.93</v>
      </c>
      <c r="M1883" s="128">
        <v>49969.32</v>
      </c>
      <c r="N1883" s="128">
        <v>17402.61</v>
      </c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</row>
    <row r="1884">
      <c r="A1884" s="125" t="s">
        <v>475</v>
      </c>
      <c r="B1884" s="125" t="s">
        <v>574</v>
      </c>
      <c r="C1884" s="125" t="s">
        <v>514</v>
      </c>
      <c r="D1884" s="125" t="s">
        <v>454</v>
      </c>
      <c r="E1884" s="125" t="s">
        <v>189</v>
      </c>
      <c r="F1884" s="126">
        <v>41767.0</v>
      </c>
      <c r="G1884" s="127">
        <v>3.4E8</v>
      </c>
      <c r="H1884" s="126">
        <v>41772.0</v>
      </c>
      <c r="I1884" s="128">
        <v>2540.0</v>
      </c>
      <c r="J1884" s="128">
        <v>668.27</v>
      </c>
      <c r="K1884" s="128">
        <v>502.54</v>
      </c>
      <c r="L1884" s="128">
        <v>1697406.0</v>
      </c>
      <c r="M1884" s="128">
        <v>1276452.0</v>
      </c>
      <c r="N1884" s="128">
        <v>420954.2</v>
      </c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</row>
    <row r="1885">
      <c r="A1885" s="125" t="s">
        <v>458</v>
      </c>
      <c r="B1885" s="125" t="s">
        <v>633</v>
      </c>
      <c r="C1885" s="125" t="s">
        <v>471</v>
      </c>
      <c r="D1885" s="125" t="s">
        <v>454</v>
      </c>
      <c r="E1885" s="125" t="s">
        <v>189</v>
      </c>
      <c r="F1885" s="126">
        <v>42133.0</v>
      </c>
      <c r="G1885" s="127">
        <v>2.31E8</v>
      </c>
      <c r="H1885" s="126">
        <v>42140.0</v>
      </c>
      <c r="I1885" s="128">
        <v>6311.0</v>
      </c>
      <c r="J1885" s="128">
        <v>109.28</v>
      </c>
      <c r="K1885" s="128">
        <v>35.84</v>
      </c>
      <c r="L1885" s="128">
        <v>689666.1</v>
      </c>
      <c r="M1885" s="128">
        <v>226186.2</v>
      </c>
      <c r="N1885" s="128">
        <v>463479.8</v>
      </c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</row>
    <row r="1886">
      <c r="A1886" s="125" t="s">
        <v>458</v>
      </c>
      <c r="B1886" s="125" t="s">
        <v>590</v>
      </c>
      <c r="C1886" s="125" t="s">
        <v>480</v>
      </c>
      <c r="D1886" s="125" t="s">
        <v>454</v>
      </c>
      <c r="E1886" s="125" t="s">
        <v>189</v>
      </c>
      <c r="F1886" s="126">
        <v>42457.0</v>
      </c>
      <c r="G1886" s="127">
        <v>8.52E8</v>
      </c>
      <c r="H1886" s="126">
        <v>42479.0</v>
      </c>
      <c r="I1886" s="128">
        <v>884.0</v>
      </c>
      <c r="J1886" s="128">
        <v>437.2</v>
      </c>
      <c r="K1886" s="128">
        <v>263.33</v>
      </c>
      <c r="L1886" s="128">
        <v>386484.8</v>
      </c>
      <c r="M1886" s="128">
        <v>232783.7</v>
      </c>
      <c r="N1886" s="128">
        <v>153701.1</v>
      </c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</row>
    <row r="1887">
      <c r="A1887" s="125" t="s">
        <v>458</v>
      </c>
      <c r="B1887" s="125" t="s">
        <v>613</v>
      </c>
      <c r="C1887" s="125" t="s">
        <v>456</v>
      </c>
      <c r="D1887" s="125" t="s">
        <v>457</v>
      </c>
      <c r="E1887" s="125" t="s">
        <v>189</v>
      </c>
      <c r="F1887" s="126">
        <v>41158.0</v>
      </c>
      <c r="G1887" s="127">
        <v>5.97E8</v>
      </c>
      <c r="H1887" s="126">
        <v>41202.0</v>
      </c>
      <c r="I1887" s="128">
        <v>5639.0</v>
      </c>
      <c r="J1887" s="128">
        <v>152.58</v>
      </c>
      <c r="K1887" s="128">
        <v>97.44</v>
      </c>
      <c r="L1887" s="128">
        <v>860398.6</v>
      </c>
      <c r="M1887" s="128">
        <v>549464.2</v>
      </c>
      <c r="N1887" s="128">
        <v>310934.5</v>
      </c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</row>
    <row r="1888">
      <c r="A1888" s="125" t="s">
        <v>466</v>
      </c>
      <c r="B1888" s="125" t="s">
        <v>580</v>
      </c>
      <c r="C1888" s="125" t="s">
        <v>494</v>
      </c>
      <c r="D1888" s="125" t="s">
        <v>457</v>
      </c>
      <c r="E1888" s="125" t="s">
        <v>464</v>
      </c>
      <c r="F1888" s="126">
        <v>42574.0</v>
      </c>
      <c r="G1888" s="127">
        <v>1.8E8</v>
      </c>
      <c r="H1888" s="126">
        <v>42602.0</v>
      </c>
      <c r="I1888" s="128">
        <v>1986.0</v>
      </c>
      <c r="J1888" s="128">
        <v>9.33</v>
      </c>
      <c r="K1888" s="128">
        <v>6.92</v>
      </c>
      <c r="L1888" s="128">
        <v>18529.38</v>
      </c>
      <c r="M1888" s="128">
        <v>13743.12</v>
      </c>
      <c r="N1888" s="128">
        <v>4786.26</v>
      </c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</row>
    <row r="1889">
      <c r="A1889" s="125" t="s">
        <v>475</v>
      </c>
      <c r="B1889" s="125" t="s">
        <v>544</v>
      </c>
      <c r="C1889" s="125" t="s">
        <v>494</v>
      </c>
      <c r="D1889" s="125" t="s">
        <v>457</v>
      </c>
      <c r="E1889" s="125" t="s">
        <v>472</v>
      </c>
      <c r="F1889" s="126">
        <v>41755.0</v>
      </c>
      <c r="G1889" s="127">
        <v>3.84E8</v>
      </c>
      <c r="H1889" s="126">
        <v>41773.0</v>
      </c>
      <c r="I1889" s="128">
        <v>8368.0</v>
      </c>
      <c r="J1889" s="128">
        <v>9.33</v>
      </c>
      <c r="K1889" s="128">
        <v>6.92</v>
      </c>
      <c r="L1889" s="128">
        <v>78073.44</v>
      </c>
      <c r="M1889" s="128">
        <v>57906.56</v>
      </c>
      <c r="N1889" s="128">
        <v>20166.88</v>
      </c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</row>
    <row r="1890">
      <c r="A1890" s="125" t="s">
        <v>458</v>
      </c>
      <c r="B1890" s="125" t="s">
        <v>626</v>
      </c>
      <c r="C1890" s="125" t="s">
        <v>494</v>
      </c>
      <c r="D1890" s="125" t="s">
        <v>457</v>
      </c>
      <c r="E1890" s="125" t="s">
        <v>464</v>
      </c>
      <c r="F1890" s="126">
        <v>42433.0</v>
      </c>
      <c r="G1890" s="127">
        <v>7.16E8</v>
      </c>
      <c r="H1890" s="126">
        <v>42455.0</v>
      </c>
      <c r="I1890" s="128">
        <v>5258.0</v>
      </c>
      <c r="J1890" s="128">
        <v>9.33</v>
      </c>
      <c r="K1890" s="128">
        <v>6.92</v>
      </c>
      <c r="L1890" s="128">
        <v>49057.14</v>
      </c>
      <c r="M1890" s="128">
        <v>36385.36</v>
      </c>
      <c r="N1890" s="128">
        <v>12671.78</v>
      </c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</row>
    <row r="1891">
      <c r="A1891" s="125" t="s">
        <v>475</v>
      </c>
      <c r="B1891" s="125" t="s">
        <v>565</v>
      </c>
      <c r="C1891" s="125" t="s">
        <v>514</v>
      </c>
      <c r="D1891" s="125" t="s">
        <v>454</v>
      </c>
      <c r="E1891" s="125" t="s">
        <v>464</v>
      </c>
      <c r="F1891" s="126">
        <v>41817.0</v>
      </c>
      <c r="G1891" s="127">
        <v>7.5E8</v>
      </c>
      <c r="H1891" s="126">
        <v>41853.0</v>
      </c>
      <c r="I1891" s="128">
        <v>162.0</v>
      </c>
      <c r="J1891" s="128">
        <v>668.27</v>
      </c>
      <c r="K1891" s="128">
        <v>502.54</v>
      </c>
      <c r="L1891" s="128">
        <v>108259.7</v>
      </c>
      <c r="M1891" s="128">
        <v>81411.48</v>
      </c>
      <c r="N1891" s="128">
        <v>26848.26</v>
      </c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</row>
    <row r="1892">
      <c r="A1892" s="125" t="s">
        <v>469</v>
      </c>
      <c r="B1892" s="125" t="s">
        <v>630</v>
      </c>
      <c r="C1892" s="125" t="s">
        <v>460</v>
      </c>
      <c r="D1892" s="125" t="s">
        <v>457</v>
      </c>
      <c r="E1892" s="125" t="s">
        <v>472</v>
      </c>
      <c r="F1892" s="126">
        <v>40271.0</v>
      </c>
      <c r="G1892" s="127">
        <v>5.81E8</v>
      </c>
      <c r="H1892" s="126">
        <v>40290.0</v>
      </c>
      <c r="I1892" s="128">
        <v>2616.0</v>
      </c>
      <c r="J1892" s="128">
        <v>47.45</v>
      </c>
      <c r="K1892" s="128">
        <v>31.79</v>
      </c>
      <c r="L1892" s="128">
        <v>124129.2</v>
      </c>
      <c r="M1892" s="128">
        <v>83162.64</v>
      </c>
      <c r="N1892" s="128">
        <v>40966.56</v>
      </c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</row>
    <row r="1893">
      <c r="A1893" s="125" t="s">
        <v>461</v>
      </c>
      <c r="B1893" s="125" t="s">
        <v>511</v>
      </c>
      <c r="C1893" s="125" t="s">
        <v>494</v>
      </c>
      <c r="D1893" s="125" t="s">
        <v>454</v>
      </c>
      <c r="E1893" s="125" t="s">
        <v>189</v>
      </c>
      <c r="F1893" s="126">
        <v>42695.0</v>
      </c>
      <c r="G1893" s="127">
        <v>3.75E8</v>
      </c>
      <c r="H1893" s="126">
        <v>42713.0</v>
      </c>
      <c r="I1893" s="128">
        <v>9186.0</v>
      </c>
      <c r="J1893" s="128">
        <v>9.33</v>
      </c>
      <c r="K1893" s="128">
        <v>6.92</v>
      </c>
      <c r="L1893" s="128">
        <v>85705.38</v>
      </c>
      <c r="M1893" s="128">
        <v>63567.12</v>
      </c>
      <c r="N1893" s="128">
        <v>22138.26</v>
      </c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</row>
    <row r="1894">
      <c r="A1894" s="125" t="s">
        <v>475</v>
      </c>
      <c r="B1894" s="125" t="s">
        <v>500</v>
      </c>
      <c r="C1894" s="125" t="s">
        <v>460</v>
      </c>
      <c r="D1894" s="125" t="s">
        <v>454</v>
      </c>
      <c r="E1894" s="125" t="s">
        <v>464</v>
      </c>
      <c r="F1894" s="126">
        <v>40551.0</v>
      </c>
      <c r="G1894" s="127">
        <v>8.18E8</v>
      </c>
      <c r="H1894" s="126">
        <v>40595.0</v>
      </c>
      <c r="I1894" s="128">
        <v>8472.0</v>
      </c>
      <c r="J1894" s="128">
        <v>47.45</v>
      </c>
      <c r="K1894" s="128">
        <v>31.79</v>
      </c>
      <c r="L1894" s="128">
        <v>401996.4</v>
      </c>
      <c r="M1894" s="128">
        <v>269324.9</v>
      </c>
      <c r="N1894" s="128">
        <v>132671.5</v>
      </c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</row>
    <row r="1895">
      <c r="A1895" s="125" t="s">
        <v>469</v>
      </c>
      <c r="B1895" s="125" t="s">
        <v>569</v>
      </c>
      <c r="C1895" s="125" t="s">
        <v>463</v>
      </c>
      <c r="D1895" s="125" t="s">
        <v>457</v>
      </c>
      <c r="E1895" s="125" t="s">
        <v>189</v>
      </c>
      <c r="F1895" s="126">
        <v>40899.0</v>
      </c>
      <c r="G1895" s="127">
        <v>8.67E8</v>
      </c>
      <c r="H1895" s="126">
        <v>40946.0</v>
      </c>
      <c r="I1895" s="128">
        <v>6104.0</v>
      </c>
      <c r="J1895" s="128">
        <v>205.7</v>
      </c>
      <c r="K1895" s="128">
        <v>117.11</v>
      </c>
      <c r="L1895" s="128">
        <v>1255593.0</v>
      </c>
      <c r="M1895" s="128">
        <v>714839.4</v>
      </c>
      <c r="N1895" s="128">
        <v>540753.4</v>
      </c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</row>
    <row r="1896">
      <c r="A1896" s="125" t="s">
        <v>488</v>
      </c>
      <c r="B1896" s="125" t="s">
        <v>654</v>
      </c>
      <c r="C1896" s="125" t="s">
        <v>514</v>
      </c>
      <c r="D1896" s="125" t="s">
        <v>454</v>
      </c>
      <c r="E1896" s="125" t="s">
        <v>189</v>
      </c>
      <c r="F1896" s="126">
        <v>42895.0</v>
      </c>
      <c r="G1896" s="127">
        <v>8.97E8</v>
      </c>
      <c r="H1896" s="126">
        <v>42932.0</v>
      </c>
      <c r="I1896" s="128">
        <v>9742.0</v>
      </c>
      <c r="J1896" s="128">
        <v>668.27</v>
      </c>
      <c r="K1896" s="128">
        <v>502.54</v>
      </c>
      <c r="L1896" s="128">
        <v>6510286.0</v>
      </c>
      <c r="M1896" s="128">
        <v>4895745.0</v>
      </c>
      <c r="N1896" s="128">
        <v>1614542.0</v>
      </c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</row>
    <row r="1897">
      <c r="A1897" s="125" t="s">
        <v>451</v>
      </c>
      <c r="B1897" s="125" t="s">
        <v>543</v>
      </c>
      <c r="C1897" s="125" t="s">
        <v>460</v>
      </c>
      <c r="D1897" s="125" t="s">
        <v>454</v>
      </c>
      <c r="E1897" s="125" t="s">
        <v>189</v>
      </c>
      <c r="F1897" s="126">
        <v>41929.0</v>
      </c>
      <c r="G1897" s="127">
        <v>4.56E8</v>
      </c>
      <c r="H1897" s="126">
        <v>41944.0</v>
      </c>
      <c r="I1897" s="128">
        <v>4080.0</v>
      </c>
      <c r="J1897" s="128">
        <v>47.45</v>
      </c>
      <c r="K1897" s="128">
        <v>31.79</v>
      </c>
      <c r="L1897" s="128">
        <v>193596.0</v>
      </c>
      <c r="M1897" s="128">
        <v>129703.2</v>
      </c>
      <c r="N1897" s="128">
        <v>63892.8</v>
      </c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</row>
    <row r="1898">
      <c r="A1898" s="125" t="s">
        <v>458</v>
      </c>
      <c r="B1898" s="125" t="s">
        <v>486</v>
      </c>
      <c r="C1898" s="125" t="s">
        <v>478</v>
      </c>
      <c r="D1898" s="125" t="s">
        <v>457</v>
      </c>
      <c r="E1898" s="125" t="s">
        <v>284</v>
      </c>
      <c r="F1898" s="126">
        <v>42084.0</v>
      </c>
      <c r="G1898" s="127">
        <v>5.12E8</v>
      </c>
      <c r="H1898" s="126">
        <v>42131.0</v>
      </c>
      <c r="I1898" s="128">
        <v>5839.0</v>
      </c>
      <c r="J1898" s="128">
        <v>651.21</v>
      </c>
      <c r="K1898" s="128">
        <v>524.96</v>
      </c>
      <c r="L1898" s="128">
        <v>3802415.0</v>
      </c>
      <c r="M1898" s="128">
        <v>3065241.0</v>
      </c>
      <c r="N1898" s="128">
        <v>737173.8</v>
      </c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</row>
    <row r="1899">
      <c r="A1899" s="125" t="s">
        <v>461</v>
      </c>
      <c r="B1899" s="125" t="s">
        <v>639</v>
      </c>
      <c r="C1899" s="125" t="s">
        <v>494</v>
      </c>
      <c r="D1899" s="125" t="s">
        <v>454</v>
      </c>
      <c r="E1899" s="125" t="s">
        <v>284</v>
      </c>
      <c r="F1899" s="126">
        <v>40912.0</v>
      </c>
      <c r="G1899" s="127">
        <v>3.01E8</v>
      </c>
      <c r="H1899" s="126">
        <v>40945.0</v>
      </c>
      <c r="I1899" s="128">
        <v>8777.0</v>
      </c>
      <c r="J1899" s="128">
        <v>9.33</v>
      </c>
      <c r="K1899" s="128">
        <v>6.92</v>
      </c>
      <c r="L1899" s="128">
        <v>81889.41</v>
      </c>
      <c r="M1899" s="128">
        <v>60736.84</v>
      </c>
      <c r="N1899" s="128">
        <v>21152.57</v>
      </c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</row>
    <row r="1900">
      <c r="A1900" s="125" t="s">
        <v>458</v>
      </c>
      <c r="B1900" s="125" t="s">
        <v>515</v>
      </c>
      <c r="C1900" s="125" t="s">
        <v>453</v>
      </c>
      <c r="D1900" s="125" t="s">
        <v>457</v>
      </c>
      <c r="E1900" s="125" t="s">
        <v>284</v>
      </c>
      <c r="F1900" s="126">
        <v>41889.0</v>
      </c>
      <c r="G1900" s="127">
        <v>4.81E8</v>
      </c>
      <c r="H1900" s="126">
        <v>41928.0</v>
      </c>
      <c r="I1900" s="128">
        <v>8678.0</v>
      </c>
      <c r="J1900" s="128">
        <v>255.28</v>
      </c>
      <c r="K1900" s="128">
        <v>159.42</v>
      </c>
      <c r="L1900" s="128">
        <v>2215320.0</v>
      </c>
      <c r="M1900" s="128">
        <v>1383447.0</v>
      </c>
      <c r="N1900" s="128">
        <v>831873.1</v>
      </c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</row>
    <row r="1901">
      <c r="A1901" s="125" t="s">
        <v>475</v>
      </c>
      <c r="B1901" s="125" t="s">
        <v>604</v>
      </c>
      <c r="C1901" s="125" t="s">
        <v>478</v>
      </c>
      <c r="D1901" s="125" t="s">
        <v>454</v>
      </c>
      <c r="E1901" s="125" t="s">
        <v>472</v>
      </c>
      <c r="F1901" s="126">
        <v>41964.0</v>
      </c>
      <c r="G1901" s="127">
        <v>8.82E8</v>
      </c>
      <c r="H1901" s="126">
        <v>41982.0</v>
      </c>
      <c r="I1901" s="128">
        <v>8360.0</v>
      </c>
      <c r="J1901" s="128">
        <v>651.21</v>
      </c>
      <c r="K1901" s="128">
        <v>524.96</v>
      </c>
      <c r="L1901" s="128">
        <v>5444116.0</v>
      </c>
      <c r="M1901" s="128">
        <v>4388666.0</v>
      </c>
      <c r="N1901" s="128">
        <v>1055450.0</v>
      </c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</row>
    <row r="1902">
      <c r="A1902" s="125" t="s">
        <v>466</v>
      </c>
      <c r="B1902" s="125" t="s">
        <v>508</v>
      </c>
      <c r="C1902" s="125" t="s">
        <v>453</v>
      </c>
      <c r="D1902" s="125" t="s">
        <v>457</v>
      </c>
      <c r="E1902" s="125" t="s">
        <v>284</v>
      </c>
      <c r="F1902" s="126">
        <v>41240.0</v>
      </c>
      <c r="G1902" s="127">
        <v>9.5E8</v>
      </c>
      <c r="H1902" s="126">
        <v>41278.0</v>
      </c>
      <c r="I1902" s="128">
        <v>2672.0</v>
      </c>
      <c r="J1902" s="128">
        <v>255.28</v>
      </c>
      <c r="K1902" s="128">
        <v>159.42</v>
      </c>
      <c r="L1902" s="128">
        <v>682108.2</v>
      </c>
      <c r="M1902" s="128">
        <v>425970.2</v>
      </c>
      <c r="N1902" s="128">
        <v>256137.9</v>
      </c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</row>
    <row r="1903">
      <c r="A1903" s="125" t="s">
        <v>451</v>
      </c>
      <c r="B1903" s="125" t="s">
        <v>608</v>
      </c>
      <c r="C1903" s="125" t="s">
        <v>478</v>
      </c>
      <c r="D1903" s="125" t="s">
        <v>454</v>
      </c>
      <c r="E1903" s="125" t="s">
        <v>284</v>
      </c>
      <c r="F1903" s="126">
        <v>41595.0</v>
      </c>
      <c r="G1903" s="127">
        <v>2.05E8</v>
      </c>
      <c r="H1903" s="126">
        <v>41598.0</v>
      </c>
      <c r="I1903" s="128">
        <v>3493.0</v>
      </c>
      <c r="J1903" s="128">
        <v>651.21</v>
      </c>
      <c r="K1903" s="128">
        <v>524.96</v>
      </c>
      <c r="L1903" s="128">
        <v>2274677.0</v>
      </c>
      <c r="M1903" s="128">
        <v>1833685.0</v>
      </c>
      <c r="N1903" s="128">
        <v>440991.3</v>
      </c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</row>
    <row r="1904">
      <c r="A1904" s="125" t="s">
        <v>475</v>
      </c>
      <c r="B1904" s="125" t="s">
        <v>649</v>
      </c>
      <c r="C1904" s="125" t="s">
        <v>460</v>
      </c>
      <c r="D1904" s="125" t="s">
        <v>454</v>
      </c>
      <c r="E1904" s="125" t="s">
        <v>472</v>
      </c>
      <c r="F1904" s="126">
        <v>42526.0</v>
      </c>
      <c r="G1904" s="127">
        <v>4.87E8</v>
      </c>
      <c r="H1904" s="126">
        <v>42559.0</v>
      </c>
      <c r="I1904" s="128">
        <v>4735.0</v>
      </c>
      <c r="J1904" s="128">
        <v>47.45</v>
      </c>
      <c r="K1904" s="128">
        <v>31.79</v>
      </c>
      <c r="L1904" s="128">
        <v>224675.8</v>
      </c>
      <c r="M1904" s="128">
        <v>150525.7</v>
      </c>
      <c r="N1904" s="128">
        <v>74150.1</v>
      </c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</row>
    <row r="1905">
      <c r="A1905" s="125" t="s">
        <v>466</v>
      </c>
      <c r="B1905" s="125" t="s">
        <v>484</v>
      </c>
      <c r="C1905" s="125" t="s">
        <v>453</v>
      </c>
      <c r="D1905" s="125" t="s">
        <v>454</v>
      </c>
      <c r="E1905" s="125" t="s">
        <v>189</v>
      </c>
      <c r="F1905" s="126">
        <v>42539.0</v>
      </c>
      <c r="G1905" s="127">
        <v>1.04E8</v>
      </c>
      <c r="H1905" s="126">
        <v>42573.0</v>
      </c>
      <c r="I1905" s="128">
        <v>7340.0</v>
      </c>
      <c r="J1905" s="128">
        <v>255.28</v>
      </c>
      <c r="K1905" s="128">
        <v>159.42</v>
      </c>
      <c r="L1905" s="128">
        <v>1873755.0</v>
      </c>
      <c r="M1905" s="128">
        <v>1170143.0</v>
      </c>
      <c r="N1905" s="128">
        <v>703612.4</v>
      </c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</row>
    <row r="1906">
      <c r="A1906" s="125" t="s">
        <v>461</v>
      </c>
      <c r="B1906" s="125" t="s">
        <v>599</v>
      </c>
      <c r="C1906" s="125" t="s">
        <v>456</v>
      </c>
      <c r="D1906" s="125" t="s">
        <v>454</v>
      </c>
      <c r="E1906" s="125" t="s">
        <v>472</v>
      </c>
      <c r="F1906" s="126">
        <v>40527.0</v>
      </c>
      <c r="G1906" s="127">
        <v>5.86E8</v>
      </c>
      <c r="H1906" s="126">
        <v>40552.0</v>
      </c>
      <c r="I1906" s="128">
        <v>4282.0</v>
      </c>
      <c r="J1906" s="128">
        <v>152.58</v>
      </c>
      <c r="K1906" s="128">
        <v>97.44</v>
      </c>
      <c r="L1906" s="128">
        <v>653347.6</v>
      </c>
      <c r="M1906" s="128">
        <v>417238.1</v>
      </c>
      <c r="N1906" s="128">
        <v>236109.5</v>
      </c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</row>
    <row r="1907">
      <c r="A1907" s="125" t="s">
        <v>475</v>
      </c>
      <c r="B1907" s="125" t="s">
        <v>572</v>
      </c>
      <c r="C1907" s="125" t="s">
        <v>471</v>
      </c>
      <c r="D1907" s="125" t="s">
        <v>457</v>
      </c>
      <c r="E1907" s="125" t="s">
        <v>464</v>
      </c>
      <c r="F1907" s="126">
        <v>42689.0</v>
      </c>
      <c r="G1907" s="127">
        <v>8.33E8</v>
      </c>
      <c r="H1907" s="126">
        <v>42705.0</v>
      </c>
      <c r="I1907" s="128">
        <v>5566.0</v>
      </c>
      <c r="J1907" s="128">
        <v>109.28</v>
      </c>
      <c r="K1907" s="128">
        <v>35.84</v>
      </c>
      <c r="L1907" s="128">
        <v>608252.5</v>
      </c>
      <c r="M1907" s="128">
        <v>199485.4</v>
      </c>
      <c r="N1907" s="128">
        <v>408767.0</v>
      </c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</row>
    <row r="1908">
      <c r="A1908" s="125" t="s">
        <v>458</v>
      </c>
      <c r="B1908" s="125" t="s">
        <v>626</v>
      </c>
      <c r="C1908" s="125" t="s">
        <v>514</v>
      </c>
      <c r="D1908" s="125" t="s">
        <v>454</v>
      </c>
      <c r="E1908" s="125" t="s">
        <v>284</v>
      </c>
      <c r="F1908" s="126">
        <v>41781.0</v>
      </c>
      <c r="G1908" s="127">
        <v>2.67E8</v>
      </c>
      <c r="H1908" s="126">
        <v>41809.0</v>
      </c>
      <c r="I1908" s="128">
        <v>3227.0</v>
      </c>
      <c r="J1908" s="128">
        <v>668.27</v>
      </c>
      <c r="K1908" s="128">
        <v>502.54</v>
      </c>
      <c r="L1908" s="128">
        <v>2156507.0</v>
      </c>
      <c r="M1908" s="128">
        <v>1621697.0</v>
      </c>
      <c r="N1908" s="128">
        <v>534810.7</v>
      </c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</row>
    <row r="1909">
      <c r="A1909" s="125" t="s">
        <v>461</v>
      </c>
      <c r="B1909" s="125" t="s">
        <v>639</v>
      </c>
      <c r="C1909" s="125" t="s">
        <v>460</v>
      </c>
      <c r="D1909" s="125" t="s">
        <v>457</v>
      </c>
      <c r="E1909" s="125" t="s">
        <v>189</v>
      </c>
      <c r="F1909" s="126">
        <v>40630.0</v>
      </c>
      <c r="G1909" s="127">
        <v>1.76E8</v>
      </c>
      <c r="H1909" s="126">
        <v>40650.0</v>
      </c>
      <c r="I1909" s="128">
        <v>6333.0</v>
      </c>
      <c r="J1909" s="128">
        <v>47.45</v>
      </c>
      <c r="K1909" s="128">
        <v>31.79</v>
      </c>
      <c r="L1909" s="128">
        <v>300500.9</v>
      </c>
      <c r="M1909" s="128">
        <v>201326.1</v>
      </c>
      <c r="N1909" s="128">
        <v>99174.78</v>
      </c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</row>
    <row r="1910">
      <c r="A1910" s="125" t="s">
        <v>461</v>
      </c>
      <c r="B1910" s="125" t="s">
        <v>481</v>
      </c>
      <c r="C1910" s="125" t="s">
        <v>480</v>
      </c>
      <c r="D1910" s="125" t="s">
        <v>454</v>
      </c>
      <c r="E1910" s="125" t="s">
        <v>189</v>
      </c>
      <c r="F1910" s="126">
        <v>42451.0</v>
      </c>
      <c r="G1910" s="127">
        <v>5.73E8</v>
      </c>
      <c r="H1910" s="126">
        <v>42467.0</v>
      </c>
      <c r="I1910" s="128">
        <v>5983.0</v>
      </c>
      <c r="J1910" s="128">
        <v>437.2</v>
      </c>
      <c r="K1910" s="128">
        <v>263.33</v>
      </c>
      <c r="L1910" s="128">
        <v>2615768.0</v>
      </c>
      <c r="M1910" s="128">
        <v>1575503.0</v>
      </c>
      <c r="N1910" s="128">
        <v>1040264.0</v>
      </c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</row>
    <row r="1911">
      <c r="A1911" s="125" t="s">
        <v>458</v>
      </c>
      <c r="B1911" s="125" t="s">
        <v>597</v>
      </c>
      <c r="C1911" s="125" t="s">
        <v>485</v>
      </c>
      <c r="D1911" s="125" t="s">
        <v>454</v>
      </c>
      <c r="E1911" s="125" t="s">
        <v>472</v>
      </c>
      <c r="F1911" s="126">
        <v>41169.0</v>
      </c>
      <c r="G1911" s="127">
        <v>6.38E8</v>
      </c>
      <c r="H1911" s="126">
        <v>41197.0</v>
      </c>
      <c r="I1911" s="128">
        <v>306.0</v>
      </c>
      <c r="J1911" s="128">
        <v>421.89</v>
      </c>
      <c r="K1911" s="128">
        <v>364.69</v>
      </c>
      <c r="L1911" s="128">
        <v>129098.3</v>
      </c>
      <c r="M1911" s="128">
        <v>111595.1</v>
      </c>
      <c r="N1911" s="128">
        <v>17503.2</v>
      </c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</row>
    <row r="1912">
      <c r="A1912" s="125" t="s">
        <v>466</v>
      </c>
      <c r="B1912" s="125" t="s">
        <v>467</v>
      </c>
      <c r="C1912" s="125" t="s">
        <v>468</v>
      </c>
      <c r="D1912" s="125" t="s">
        <v>454</v>
      </c>
      <c r="E1912" s="125" t="s">
        <v>472</v>
      </c>
      <c r="F1912" s="126">
        <v>42160.0</v>
      </c>
      <c r="G1912" s="127">
        <v>9.74E8</v>
      </c>
      <c r="H1912" s="126">
        <v>42190.0</v>
      </c>
      <c r="I1912" s="128">
        <v>9465.0</v>
      </c>
      <c r="J1912" s="128">
        <v>81.73</v>
      </c>
      <c r="K1912" s="128">
        <v>56.67</v>
      </c>
      <c r="L1912" s="128">
        <v>773574.5</v>
      </c>
      <c r="M1912" s="128">
        <v>536381.6</v>
      </c>
      <c r="N1912" s="128">
        <v>237192.9</v>
      </c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</row>
    <row r="1913">
      <c r="A1913" s="125" t="s">
        <v>475</v>
      </c>
      <c r="B1913" s="125" t="s">
        <v>579</v>
      </c>
      <c r="C1913" s="125" t="s">
        <v>506</v>
      </c>
      <c r="D1913" s="125" t="s">
        <v>454</v>
      </c>
      <c r="E1913" s="125" t="s">
        <v>472</v>
      </c>
      <c r="F1913" s="126">
        <v>41509.0</v>
      </c>
      <c r="G1913" s="127">
        <v>4.52E8</v>
      </c>
      <c r="H1913" s="126">
        <v>41545.0</v>
      </c>
      <c r="I1913" s="128">
        <v>650.0</v>
      </c>
      <c r="J1913" s="128">
        <v>154.06</v>
      </c>
      <c r="K1913" s="128">
        <v>90.93</v>
      </c>
      <c r="L1913" s="128">
        <v>100139.0</v>
      </c>
      <c r="M1913" s="128">
        <v>59104.5</v>
      </c>
      <c r="N1913" s="128">
        <v>41034.5</v>
      </c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</row>
    <row r="1914">
      <c r="A1914" s="125" t="s">
        <v>475</v>
      </c>
      <c r="B1914" s="125" t="s">
        <v>566</v>
      </c>
      <c r="C1914" s="125" t="s">
        <v>480</v>
      </c>
      <c r="D1914" s="125" t="s">
        <v>454</v>
      </c>
      <c r="E1914" s="125" t="s">
        <v>284</v>
      </c>
      <c r="F1914" s="126">
        <v>41221.0</v>
      </c>
      <c r="G1914" s="127">
        <v>2.64E8</v>
      </c>
      <c r="H1914" s="126">
        <v>41241.0</v>
      </c>
      <c r="I1914" s="128">
        <v>3086.0</v>
      </c>
      <c r="J1914" s="128">
        <v>437.2</v>
      </c>
      <c r="K1914" s="128">
        <v>263.33</v>
      </c>
      <c r="L1914" s="128">
        <v>1349199.0</v>
      </c>
      <c r="M1914" s="128">
        <v>812636.4</v>
      </c>
      <c r="N1914" s="128">
        <v>536562.8</v>
      </c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</row>
    <row r="1915">
      <c r="A1915" s="125" t="s">
        <v>451</v>
      </c>
      <c r="B1915" s="125" t="s">
        <v>646</v>
      </c>
      <c r="C1915" s="125" t="s">
        <v>460</v>
      </c>
      <c r="D1915" s="125" t="s">
        <v>454</v>
      </c>
      <c r="E1915" s="125" t="s">
        <v>189</v>
      </c>
      <c r="F1915" s="126">
        <v>42308.0</v>
      </c>
      <c r="G1915" s="127">
        <v>7.73E8</v>
      </c>
      <c r="H1915" s="126">
        <v>42357.0</v>
      </c>
      <c r="I1915" s="128">
        <v>3028.0</v>
      </c>
      <c r="J1915" s="128">
        <v>47.45</v>
      </c>
      <c r="K1915" s="128">
        <v>31.79</v>
      </c>
      <c r="L1915" s="128">
        <v>143678.6</v>
      </c>
      <c r="M1915" s="128">
        <v>96260.12</v>
      </c>
      <c r="N1915" s="128">
        <v>47418.48</v>
      </c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</row>
    <row r="1916">
      <c r="A1916" s="125" t="s">
        <v>461</v>
      </c>
      <c r="B1916" s="125" t="s">
        <v>556</v>
      </c>
      <c r="C1916" s="125" t="s">
        <v>456</v>
      </c>
      <c r="D1916" s="125" t="s">
        <v>457</v>
      </c>
      <c r="E1916" s="125" t="s">
        <v>189</v>
      </c>
      <c r="F1916" s="126">
        <v>40639.0</v>
      </c>
      <c r="G1916" s="127">
        <v>1.62E8</v>
      </c>
      <c r="H1916" s="126">
        <v>40688.0</v>
      </c>
      <c r="I1916" s="128">
        <v>8762.0</v>
      </c>
      <c r="J1916" s="128">
        <v>152.58</v>
      </c>
      <c r="K1916" s="128">
        <v>97.44</v>
      </c>
      <c r="L1916" s="128">
        <v>1336906.0</v>
      </c>
      <c r="M1916" s="128">
        <v>853769.3</v>
      </c>
      <c r="N1916" s="128">
        <v>483136.7</v>
      </c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</row>
    <row r="1917">
      <c r="A1917" s="125" t="s">
        <v>461</v>
      </c>
      <c r="B1917" s="125" t="s">
        <v>629</v>
      </c>
      <c r="C1917" s="125" t="s">
        <v>485</v>
      </c>
      <c r="D1917" s="125" t="s">
        <v>454</v>
      </c>
      <c r="E1917" s="125" t="s">
        <v>464</v>
      </c>
      <c r="F1917" s="126">
        <v>42151.0</v>
      </c>
      <c r="G1917" s="127">
        <v>2.84E8</v>
      </c>
      <c r="H1917" s="126">
        <v>42188.0</v>
      </c>
      <c r="I1917" s="128">
        <v>5604.0</v>
      </c>
      <c r="J1917" s="128">
        <v>421.89</v>
      </c>
      <c r="K1917" s="128">
        <v>364.69</v>
      </c>
      <c r="L1917" s="128">
        <v>2364272.0</v>
      </c>
      <c r="M1917" s="128">
        <v>2043723.0</v>
      </c>
      <c r="N1917" s="128">
        <v>320548.8</v>
      </c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</row>
    <row r="1918">
      <c r="A1918" s="125" t="s">
        <v>458</v>
      </c>
      <c r="B1918" s="125" t="s">
        <v>509</v>
      </c>
      <c r="C1918" s="125" t="s">
        <v>480</v>
      </c>
      <c r="D1918" s="125" t="s">
        <v>454</v>
      </c>
      <c r="E1918" s="125" t="s">
        <v>189</v>
      </c>
      <c r="F1918" s="126">
        <v>42109.0</v>
      </c>
      <c r="G1918" s="127">
        <v>8.12E8</v>
      </c>
      <c r="H1918" s="126">
        <v>42152.0</v>
      </c>
      <c r="I1918" s="128">
        <v>905.0</v>
      </c>
      <c r="J1918" s="128">
        <v>437.2</v>
      </c>
      <c r="K1918" s="128">
        <v>263.33</v>
      </c>
      <c r="L1918" s="128">
        <v>395666.0</v>
      </c>
      <c r="M1918" s="128">
        <v>238313.7</v>
      </c>
      <c r="N1918" s="128">
        <v>157352.4</v>
      </c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</row>
    <row r="1919">
      <c r="A1919" s="125" t="s">
        <v>475</v>
      </c>
      <c r="B1919" s="125" t="s">
        <v>504</v>
      </c>
      <c r="C1919" s="125" t="s">
        <v>480</v>
      </c>
      <c r="D1919" s="125" t="s">
        <v>457</v>
      </c>
      <c r="E1919" s="125" t="s">
        <v>189</v>
      </c>
      <c r="F1919" s="126">
        <v>40314.0</v>
      </c>
      <c r="G1919" s="127">
        <v>5.91E8</v>
      </c>
      <c r="H1919" s="126">
        <v>40348.0</v>
      </c>
      <c r="I1919" s="128">
        <v>9043.0</v>
      </c>
      <c r="J1919" s="128">
        <v>437.2</v>
      </c>
      <c r="K1919" s="128">
        <v>263.33</v>
      </c>
      <c r="L1919" s="128">
        <v>3953600.0</v>
      </c>
      <c r="M1919" s="128">
        <v>2381293.0</v>
      </c>
      <c r="N1919" s="128">
        <v>1572306.0</v>
      </c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</row>
    <row r="1920">
      <c r="A1920" s="125" t="s">
        <v>461</v>
      </c>
      <c r="B1920" s="125" t="s">
        <v>510</v>
      </c>
      <c r="C1920" s="125" t="s">
        <v>468</v>
      </c>
      <c r="D1920" s="125" t="s">
        <v>457</v>
      </c>
      <c r="E1920" s="125" t="s">
        <v>284</v>
      </c>
      <c r="F1920" s="126">
        <v>42489.0</v>
      </c>
      <c r="G1920" s="127">
        <v>7.83E8</v>
      </c>
      <c r="H1920" s="126">
        <v>42530.0</v>
      </c>
      <c r="I1920" s="128">
        <v>6430.0</v>
      </c>
      <c r="J1920" s="128">
        <v>81.73</v>
      </c>
      <c r="K1920" s="128">
        <v>56.67</v>
      </c>
      <c r="L1920" s="128">
        <v>525523.9</v>
      </c>
      <c r="M1920" s="128">
        <v>364388.1</v>
      </c>
      <c r="N1920" s="128">
        <v>161135.8</v>
      </c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</row>
    <row r="1921">
      <c r="A1921" s="125" t="s">
        <v>475</v>
      </c>
      <c r="B1921" s="125" t="s">
        <v>572</v>
      </c>
      <c r="C1921" s="125" t="s">
        <v>468</v>
      </c>
      <c r="D1921" s="125" t="s">
        <v>454</v>
      </c>
      <c r="E1921" s="125" t="s">
        <v>284</v>
      </c>
      <c r="F1921" s="126">
        <v>42297.0</v>
      </c>
      <c r="G1921" s="127">
        <v>8.25E8</v>
      </c>
      <c r="H1921" s="126">
        <v>42330.0</v>
      </c>
      <c r="I1921" s="128">
        <v>6509.0</v>
      </c>
      <c r="J1921" s="128">
        <v>81.73</v>
      </c>
      <c r="K1921" s="128">
        <v>56.67</v>
      </c>
      <c r="L1921" s="128">
        <v>531980.6</v>
      </c>
      <c r="M1921" s="128">
        <v>368865.0</v>
      </c>
      <c r="N1921" s="128">
        <v>163115.5</v>
      </c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</row>
    <row r="1922">
      <c r="A1922" s="125" t="s">
        <v>475</v>
      </c>
      <c r="B1922" s="125" t="s">
        <v>605</v>
      </c>
      <c r="C1922" s="125" t="s">
        <v>494</v>
      </c>
      <c r="D1922" s="125" t="s">
        <v>457</v>
      </c>
      <c r="E1922" s="125" t="s">
        <v>189</v>
      </c>
      <c r="F1922" s="126">
        <v>42090.0</v>
      </c>
      <c r="G1922" s="127">
        <v>6.7E8</v>
      </c>
      <c r="H1922" s="126">
        <v>42133.0</v>
      </c>
      <c r="I1922" s="128">
        <v>4752.0</v>
      </c>
      <c r="J1922" s="128">
        <v>9.33</v>
      </c>
      <c r="K1922" s="128">
        <v>6.92</v>
      </c>
      <c r="L1922" s="128">
        <v>44336.16</v>
      </c>
      <c r="M1922" s="128">
        <v>32883.84</v>
      </c>
      <c r="N1922" s="128">
        <v>11452.32</v>
      </c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</row>
    <row r="1923">
      <c r="A1923" s="125" t="s">
        <v>458</v>
      </c>
      <c r="B1923" s="125" t="s">
        <v>529</v>
      </c>
      <c r="C1923" s="125" t="s">
        <v>485</v>
      </c>
      <c r="D1923" s="125" t="s">
        <v>454</v>
      </c>
      <c r="E1923" s="125" t="s">
        <v>189</v>
      </c>
      <c r="F1923" s="126">
        <v>40460.0</v>
      </c>
      <c r="G1923" s="127">
        <v>3.44E8</v>
      </c>
      <c r="H1923" s="126">
        <v>40502.0</v>
      </c>
      <c r="I1923" s="128">
        <v>3664.0</v>
      </c>
      <c r="J1923" s="128">
        <v>421.89</v>
      </c>
      <c r="K1923" s="128">
        <v>364.69</v>
      </c>
      <c r="L1923" s="128">
        <v>1545805.0</v>
      </c>
      <c r="M1923" s="128">
        <v>1336224.0</v>
      </c>
      <c r="N1923" s="128">
        <v>209580.8</v>
      </c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</row>
    <row r="1924">
      <c r="A1924" s="125" t="s">
        <v>475</v>
      </c>
      <c r="B1924" s="125" t="s">
        <v>591</v>
      </c>
      <c r="C1924" s="125" t="s">
        <v>463</v>
      </c>
      <c r="D1924" s="125" t="s">
        <v>454</v>
      </c>
      <c r="E1924" s="125" t="s">
        <v>189</v>
      </c>
      <c r="F1924" s="126">
        <v>41919.0</v>
      </c>
      <c r="G1924" s="127">
        <v>3.92E8</v>
      </c>
      <c r="H1924" s="126">
        <v>41932.0</v>
      </c>
      <c r="I1924" s="128">
        <v>7783.0</v>
      </c>
      <c r="J1924" s="128">
        <v>205.7</v>
      </c>
      <c r="K1924" s="128">
        <v>117.11</v>
      </c>
      <c r="L1924" s="128">
        <v>1600963.0</v>
      </c>
      <c r="M1924" s="128">
        <v>911467.1</v>
      </c>
      <c r="N1924" s="128">
        <v>689496.0</v>
      </c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</row>
    <row r="1925">
      <c r="A1925" s="125" t="s">
        <v>475</v>
      </c>
      <c r="B1925" s="125" t="s">
        <v>565</v>
      </c>
      <c r="C1925" s="125" t="s">
        <v>460</v>
      </c>
      <c r="D1925" s="125" t="s">
        <v>457</v>
      </c>
      <c r="E1925" s="125" t="s">
        <v>472</v>
      </c>
      <c r="F1925" s="126">
        <v>41687.0</v>
      </c>
      <c r="G1925" s="127">
        <v>5.29E8</v>
      </c>
      <c r="H1925" s="126">
        <v>41718.0</v>
      </c>
      <c r="I1925" s="128">
        <v>8675.0</v>
      </c>
      <c r="J1925" s="128">
        <v>47.45</v>
      </c>
      <c r="K1925" s="128">
        <v>31.79</v>
      </c>
      <c r="L1925" s="128">
        <v>411628.8</v>
      </c>
      <c r="M1925" s="128">
        <v>275778.3</v>
      </c>
      <c r="N1925" s="128">
        <v>135850.5</v>
      </c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</row>
    <row r="1926">
      <c r="A1926" s="125" t="s">
        <v>475</v>
      </c>
      <c r="B1926" s="125" t="s">
        <v>513</v>
      </c>
      <c r="C1926" s="125" t="s">
        <v>514</v>
      </c>
      <c r="D1926" s="125" t="s">
        <v>457</v>
      </c>
      <c r="E1926" s="125" t="s">
        <v>189</v>
      </c>
      <c r="F1926" s="126">
        <v>40905.0</v>
      </c>
      <c r="G1926" s="127">
        <v>9.92E8</v>
      </c>
      <c r="H1926" s="126">
        <v>40933.0</v>
      </c>
      <c r="I1926" s="128">
        <v>9939.0</v>
      </c>
      <c r="J1926" s="128">
        <v>668.27</v>
      </c>
      <c r="K1926" s="128">
        <v>502.54</v>
      </c>
      <c r="L1926" s="128">
        <v>6641936.0</v>
      </c>
      <c r="M1926" s="128">
        <v>4994745.0</v>
      </c>
      <c r="N1926" s="128">
        <v>1647190.0</v>
      </c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</row>
    <row r="1927">
      <c r="A1927" s="125" t="s">
        <v>469</v>
      </c>
      <c r="B1927" s="125" t="s">
        <v>519</v>
      </c>
      <c r="C1927" s="125" t="s">
        <v>463</v>
      </c>
      <c r="D1927" s="125" t="s">
        <v>454</v>
      </c>
      <c r="E1927" s="125" t="s">
        <v>472</v>
      </c>
      <c r="F1927" s="126">
        <v>42487.0</v>
      </c>
      <c r="G1927" s="127">
        <v>2.87E8</v>
      </c>
      <c r="H1927" s="126">
        <v>42518.0</v>
      </c>
      <c r="I1927" s="128">
        <v>2204.0</v>
      </c>
      <c r="J1927" s="128">
        <v>205.7</v>
      </c>
      <c r="K1927" s="128">
        <v>117.11</v>
      </c>
      <c r="L1927" s="128">
        <v>453362.8</v>
      </c>
      <c r="M1927" s="128">
        <v>258110.4</v>
      </c>
      <c r="N1927" s="128">
        <v>195252.4</v>
      </c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</row>
    <row r="1928">
      <c r="A1928" s="125" t="s">
        <v>451</v>
      </c>
      <c r="B1928" s="125" t="s">
        <v>620</v>
      </c>
      <c r="C1928" s="125" t="s">
        <v>468</v>
      </c>
      <c r="D1928" s="125" t="s">
        <v>457</v>
      </c>
      <c r="E1928" s="125" t="s">
        <v>464</v>
      </c>
      <c r="F1928" s="126">
        <v>41437.0</v>
      </c>
      <c r="G1928" s="127">
        <v>1.4E8</v>
      </c>
      <c r="H1928" s="126">
        <v>41463.0</v>
      </c>
      <c r="I1928" s="128">
        <v>8132.0</v>
      </c>
      <c r="J1928" s="128">
        <v>81.73</v>
      </c>
      <c r="K1928" s="128">
        <v>56.67</v>
      </c>
      <c r="L1928" s="128">
        <v>664628.4</v>
      </c>
      <c r="M1928" s="128">
        <v>460840.4</v>
      </c>
      <c r="N1928" s="128">
        <v>203787.9</v>
      </c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</row>
    <row r="1929">
      <c r="A1929" s="125" t="s">
        <v>458</v>
      </c>
      <c r="B1929" s="125" t="s">
        <v>533</v>
      </c>
      <c r="C1929" s="125" t="s">
        <v>514</v>
      </c>
      <c r="D1929" s="125" t="s">
        <v>454</v>
      </c>
      <c r="E1929" s="125" t="s">
        <v>472</v>
      </c>
      <c r="F1929" s="126">
        <v>42828.0</v>
      </c>
      <c r="G1929" s="127">
        <v>5.49E8</v>
      </c>
      <c r="H1929" s="126">
        <v>42866.0</v>
      </c>
      <c r="I1929" s="128">
        <v>7416.0</v>
      </c>
      <c r="J1929" s="128">
        <v>668.27</v>
      </c>
      <c r="K1929" s="128">
        <v>502.54</v>
      </c>
      <c r="L1929" s="128">
        <v>4955890.0</v>
      </c>
      <c r="M1929" s="128">
        <v>3726837.0</v>
      </c>
      <c r="N1929" s="128">
        <v>1229054.0</v>
      </c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</row>
    <row r="1930">
      <c r="A1930" s="125" t="s">
        <v>466</v>
      </c>
      <c r="B1930" s="125" t="s">
        <v>531</v>
      </c>
      <c r="C1930" s="125" t="s">
        <v>471</v>
      </c>
      <c r="D1930" s="125" t="s">
        <v>457</v>
      </c>
      <c r="E1930" s="125" t="s">
        <v>464</v>
      </c>
      <c r="F1930" s="126">
        <v>41061.0</v>
      </c>
      <c r="G1930" s="127">
        <v>2.3E8</v>
      </c>
      <c r="H1930" s="126">
        <v>41068.0</v>
      </c>
      <c r="I1930" s="128">
        <v>1778.0</v>
      </c>
      <c r="J1930" s="128">
        <v>109.28</v>
      </c>
      <c r="K1930" s="128">
        <v>35.84</v>
      </c>
      <c r="L1930" s="128">
        <v>194299.8</v>
      </c>
      <c r="M1930" s="128">
        <v>63723.52</v>
      </c>
      <c r="N1930" s="128">
        <v>130576.3</v>
      </c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</row>
    <row r="1931">
      <c r="A1931" s="125" t="s">
        <v>475</v>
      </c>
      <c r="B1931" s="125" t="s">
        <v>549</v>
      </c>
      <c r="C1931" s="125" t="s">
        <v>494</v>
      </c>
      <c r="D1931" s="125" t="s">
        <v>457</v>
      </c>
      <c r="E1931" s="125" t="s">
        <v>464</v>
      </c>
      <c r="F1931" s="126">
        <v>40603.0</v>
      </c>
      <c r="G1931" s="127">
        <v>6.72E8</v>
      </c>
      <c r="H1931" s="126">
        <v>40612.0</v>
      </c>
      <c r="I1931" s="128">
        <v>9975.0</v>
      </c>
      <c r="J1931" s="128">
        <v>9.33</v>
      </c>
      <c r="K1931" s="128">
        <v>6.92</v>
      </c>
      <c r="L1931" s="128">
        <v>93066.75</v>
      </c>
      <c r="M1931" s="128">
        <v>69027.0</v>
      </c>
      <c r="N1931" s="128">
        <v>24039.75</v>
      </c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</row>
    <row r="1932">
      <c r="A1932" s="125" t="s">
        <v>475</v>
      </c>
      <c r="B1932" s="125" t="s">
        <v>527</v>
      </c>
      <c r="C1932" s="125" t="s">
        <v>494</v>
      </c>
      <c r="D1932" s="125" t="s">
        <v>454</v>
      </c>
      <c r="E1932" s="125" t="s">
        <v>189</v>
      </c>
      <c r="F1932" s="126">
        <v>40782.0</v>
      </c>
      <c r="G1932" s="127">
        <v>2.82E8</v>
      </c>
      <c r="H1932" s="126">
        <v>40817.0</v>
      </c>
      <c r="I1932" s="128">
        <v>2791.0</v>
      </c>
      <c r="J1932" s="128">
        <v>9.33</v>
      </c>
      <c r="K1932" s="128">
        <v>6.92</v>
      </c>
      <c r="L1932" s="128">
        <v>26040.03</v>
      </c>
      <c r="M1932" s="128">
        <v>19313.72</v>
      </c>
      <c r="N1932" s="128">
        <v>6726.31</v>
      </c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</row>
    <row r="1933">
      <c r="A1933" s="125" t="s">
        <v>461</v>
      </c>
      <c r="B1933" s="125" t="s">
        <v>644</v>
      </c>
      <c r="C1933" s="125" t="s">
        <v>453</v>
      </c>
      <c r="D1933" s="125" t="s">
        <v>457</v>
      </c>
      <c r="E1933" s="125" t="s">
        <v>472</v>
      </c>
      <c r="F1933" s="126">
        <v>42695.0</v>
      </c>
      <c r="G1933" s="127">
        <v>2.38E8</v>
      </c>
      <c r="H1933" s="126">
        <v>42708.0</v>
      </c>
      <c r="I1933" s="128">
        <v>8044.0</v>
      </c>
      <c r="J1933" s="128">
        <v>255.28</v>
      </c>
      <c r="K1933" s="128">
        <v>159.42</v>
      </c>
      <c r="L1933" s="128">
        <v>2053472.0</v>
      </c>
      <c r="M1933" s="128">
        <v>1282374.0</v>
      </c>
      <c r="N1933" s="128">
        <v>771097.8</v>
      </c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</row>
    <row r="1934">
      <c r="A1934" s="125" t="s">
        <v>466</v>
      </c>
      <c r="B1934" s="125" t="s">
        <v>584</v>
      </c>
      <c r="C1934" s="125" t="s">
        <v>468</v>
      </c>
      <c r="D1934" s="125" t="s">
        <v>457</v>
      </c>
      <c r="E1934" s="125" t="s">
        <v>472</v>
      </c>
      <c r="F1934" s="126">
        <v>42297.0</v>
      </c>
      <c r="G1934" s="127">
        <v>4.38E8</v>
      </c>
      <c r="H1934" s="126">
        <v>42334.0</v>
      </c>
      <c r="I1934" s="128">
        <v>5583.0</v>
      </c>
      <c r="J1934" s="128">
        <v>81.73</v>
      </c>
      <c r="K1934" s="128">
        <v>56.67</v>
      </c>
      <c r="L1934" s="128">
        <v>456298.6</v>
      </c>
      <c r="M1934" s="128">
        <v>316388.6</v>
      </c>
      <c r="N1934" s="128">
        <v>139910.0</v>
      </c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</row>
    <row r="1935">
      <c r="A1935" s="125" t="s">
        <v>461</v>
      </c>
      <c r="B1935" s="125" t="s">
        <v>638</v>
      </c>
      <c r="C1935" s="125" t="s">
        <v>463</v>
      </c>
      <c r="D1935" s="125" t="s">
        <v>454</v>
      </c>
      <c r="E1935" s="125" t="s">
        <v>189</v>
      </c>
      <c r="F1935" s="126">
        <v>42848.0</v>
      </c>
      <c r="G1935" s="127">
        <v>8.53E8</v>
      </c>
      <c r="H1935" s="126">
        <v>42882.0</v>
      </c>
      <c r="I1935" s="128">
        <v>2289.0</v>
      </c>
      <c r="J1935" s="128">
        <v>205.7</v>
      </c>
      <c r="K1935" s="128">
        <v>117.11</v>
      </c>
      <c r="L1935" s="128">
        <v>470847.3</v>
      </c>
      <c r="M1935" s="128">
        <v>268064.8</v>
      </c>
      <c r="N1935" s="128">
        <v>202782.5</v>
      </c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</row>
    <row r="1936">
      <c r="A1936" s="125" t="s">
        <v>461</v>
      </c>
      <c r="B1936" s="125" t="s">
        <v>595</v>
      </c>
      <c r="C1936" s="125" t="s">
        <v>506</v>
      </c>
      <c r="D1936" s="125" t="s">
        <v>454</v>
      </c>
      <c r="E1936" s="125" t="s">
        <v>472</v>
      </c>
      <c r="F1936" s="126">
        <v>42462.0</v>
      </c>
      <c r="G1936" s="127">
        <v>1.7E8</v>
      </c>
      <c r="H1936" s="126">
        <v>42512.0</v>
      </c>
      <c r="I1936" s="128">
        <v>7071.0</v>
      </c>
      <c r="J1936" s="128">
        <v>154.06</v>
      </c>
      <c r="K1936" s="128">
        <v>90.93</v>
      </c>
      <c r="L1936" s="128">
        <v>1089358.0</v>
      </c>
      <c r="M1936" s="128">
        <v>642966.0</v>
      </c>
      <c r="N1936" s="128">
        <v>446392.2</v>
      </c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</row>
    <row r="1937">
      <c r="A1937" s="125" t="s">
        <v>475</v>
      </c>
      <c r="B1937" s="125" t="s">
        <v>572</v>
      </c>
      <c r="C1937" s="125" t="s">
        <v>494</v>
      </c>
      <c r="D1937" s="125" t="s">
        <v>457</v>
      </c>
      <c r="E1937" s="125" t="s">
        <v>472</v>
      </c>
      <c r="F1937" s="126">
        <v>41029.0</v>
      </c>
      <c r="G1937" s="127">
        <v>7.48E8</v>
      </c>
      <c r="H1937" s="126">
        <v>41043.0</v>
      </c>
      <c r="I1937" s="128">
        <v>5872.0</v>
      </c>
      <c r="J1937" s="128">
        <v>9.33</v>
      </c>
      <c r="K1937" s="128">
        <v>6.92</v>
      </c>
      <c r="L1937" s="128">
        <v>54785.76</v>
      </c>
      <c r="M1937" s="128">
        <v>40634.24</v>
      </c>
      <c r="N1937" s="128">
        <v>14151.52</v>
      </c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</row>
    <row r="1938">
      <c r="A1938" s="125" t="s">
        <v>458</v>
      </c>
      <c r="B1938" s="125" t="s">
        <v>614</v>
      </c>
      <c r="C1938" s="125" t="s">
        <v>485</v>
      </c>
      <c r="D1938" s="125" t="s">
        <v>454</v>
      </c>
      <c r="E1938" s="125" t="s">
        <v>472</v>
      </c>
      <c r="F1938" s="126">
        <v>41590.0</v>
      </c>
      <c r="G1938" s="127">
        <v>9.69E8</v>
      </c>
      <c r="H1938" s="126">
        <v>41615.0</v>
      </c>
      <c r="I1938" s="128">
        <v>6666.0</v>
      </c>
      <c r="J1938" s="128">
        <v>421.89</v>
      </c>
      <c r="K1938" s="128">
        <v>364.69</v>
      </c>
      <c r="L1938" s="128">
        <v>2812319.0</v>
      </c>
      <c r="M1938" s="128">
        <v>2431024.0</v>
      </c>
      <c r="N1938" s="128">
        <v>381295.2</v>
      </c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</row>
    <row r="1939">
      <c r="A1939" s="125" t="s">
        <v>451</v>
      </c>
      <c r="B1939" s="125" t="s">
        <v>546</v>
      </c>
      <c r="C1939" s="125" t="s">
        <v>460</v>
      </c>
      <c r="D1939" s="125" t="s">
        <v>457</v>
      </c>
      <c r="E1939" s="125" t="s">
        <v>284</v>
      </c>
      <c r="F1939" s="126">
        <v>40663.0</v>
      </c>
      <c r="G1939" s="127">
        <v>1.82E8</v>
      </c>
      <c r="H1939" s="126">
        <v>40676.0</v>
      </c>
      <c r="I1939" s="128">
        <v>4459.0</v>
      </c>
      <c r="J1939" s="128">
        <v>47.45</v>
      </c>
      <c r="K1939" s="128">
        <v>31.79</v>
      </c>
      <c r="L1939" s="128">
        <v>211579.6</v>
      </c>
      <c r="M1939" s="128">
        <v>141751.6</v>
      </c>
      <c r="N1939" s="128">
        <v>69827.94</v>
      </c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</row>
    <row r="1940">
      <c r="A1940" s="125" t="s">
        <v>458</v>
      </c>
      <c r="B1940" s="125" t="s">
        <v>606</v>
      </c>
      <c r="C1940" s="125" t="s">
        <v>453</v>
      </c>
      <c r="D1940" s="125" t="s">
        <v>457</v>
      </c>
      <c r="E1940" s="125" t="s">
        <v>464</v>
      </c>
      <c r="F1940" s="126">
        <v>40685.0</v>
      </c>
      <c r="G1940" s="127">
        <v>9.57E8</v>
      </c>
      <c r="H1940" s="126">
        <v>40711.0</v>
      </c>
      <c r="I1940" s="128">
        <v>6285.0</v>
      </c>
      <c r="J1940" s="128">
        <v>255.28</v>
      </c>
      <c r="K1940" s="128">
        <v>159.42</v>
      </c>
      <c r="L1940" s="128">
        <v>1604435.0</v>
      </c>
      <c r="M1940" s="128">
        <v>1001955.0</v>
      </c>
      <c r="N1940" s="128">
        <v>602480.1</v>
      </c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</row>
    <row r="1941">
      <c r="A1941" s="125" t="s">
        <v>488</v>
      </c>
      <c r="B1941" s="125" t="s">
        <v>577</v>
      </c>
      <c r="C1941" s="125" t="s">
        <v>485</v>
      </c>
      <c r="D1941" s="125" t="s">
        <v>454</v>
      </c>
      <c r="E1941" s="125" t="s">
        <v>284</v>
      </c>
      <c r="F1941" s="126">
        <v>40335.0</v>
      </c>
      <c r="G1941" s="127">
        <v>5.34E8</v>
      </c>
      <c r="H1941" s="126">
        <v>40384.0</v>
      </c>
      <c r="I1941" s="128">
        <v>6212.0</v>
      </c>
      <c r="J1941" s="128">
        <v>421.89</v>
      </c>
      <c r="K1941" s="128">
        <v>364.69</v>
      </c>
      <c r="L1941" s="128">
        <v>2620781.0</v>
      </c>
      <c r="M1941" s="128">
        <v>2265454.0</v>
      </c>
      <c r="N1941" s="128">
        <v>355326.4</v>
      </c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</row>
    <row r="1942">
      <c r="A1942" s="125" t="s">
        <v>469</v>
      </c>
      <c r="B1942" s="125" t="s">
        <v>501</v>
      </c>
      <c r="C1942" s="125" t="s">
        <v>468</v>
      </c>
      <c r="D1942" s="125" t="s">
        <v>454</v>
      </c>
      <c r="E1942" s="125" t="s">
        <v>189</v>
      </c>
      <c r="F1942" s="126">
        <v>41445.0</v>
      </c>
      <c r="G1942" s="127">
        <v>2.76E8</v>
      </c>
      <c r="H1942" s="126">
        <v>41474.0</v>
      </c>
      <c r="I1942" s="128">
        <v>340.0</v>
      </c>
      <c r="J1942" s="128">
        <v>81.73</v>
      </c>
      <c r="K1942" s="128">
        <v>56.67</v>
      </c>
      <c r="L1942" s="128">
        <v>27788.2</v>
      </c>
      <c r="M1942" s="128">
        <v>19267.8</v>
      </c>
      <c r="N1942" s="128">
        <v>8520.4</v>
      </c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</row>
    <row r="1943">
      <c r="A1943" s="125" t="s">
        <v>458</v>
      </c>
      <c r="B1943" s="125" t="s">
        <v>538</v>
      </c>
      <c r="C1943" s="125" t="s">
        <v>460</v>
      </c>
      <c r="D1943" s="125" t="s">
        <v>454</v>
      </c>
      <c r="E1943" s="125" t="s">
        <v>472</v>
      </c>
      <c r="F1943" s="126">
        <v>42087.0</v>
      </c>
      <c r="G1943" s="127">
        <v>7.13E8</v>
      </c>
      <c r="H1943" s="126">
        <v>42091.0</v>
      </c>
      <c r="I1943" s="128">
        <v>1797.0</v>
      </c>
      <c r="J1943" s="128">
        <v>47.45</v>
      </c>
      <c r="K1943" s="128">
        <v>31.79</v>
      </c>
      <c r="L1943" s="128">
        <v>85267.65</v>
      </c>
      <c r="M1943" s="128">
        <v>57126.63</v>
      </c>
      <c r="N1943" s="128">
        <v>28141.02</v>
      </c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</row>
    <row r="1944">
      <c r="A1944" s="125" t="s">
        <v>451</v>
      </c>
      <c r="B1944" s="125" t="s">
        <v>490</v>
      </c>
      <c r="C1944" s="125" t="s">
        <v>468</v>
      </c>
      <c r="D1944" s="125" t="s">
        <v>454</v>
      </c>
      <c r="E1944" s="125" t="s">
        <v>472</v>
      </c>
      <c r="F1944" s="126">
        <v>40724.0</v>
      </c>
      <c r="G1944" s="127">
        <v>1.96E8</v>
      </c>
      <c r="H1944" s="126">
        <v>40747.0</v>
      </c>
      <c r="I1944" s="128">
        <v>5745.0</v>
      </c>
      <c r="J1944" s="128">
        <v>81.73</v>
      </c>
      <c r="K1944" s="128">
        <v>56.67</v>
      </c>
      <c r="L1944" s="128">
        <v>469538.9</v>
      </c>
      <c r="M1944" s="128">
        <v>325569.2</v>
      </c>
      <c r="N1944" s="128">
        <v>143969.7</v>
      </c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</row>
    <row r="1945">
      <c r="A1945" s="125" t="s">
        <v>458</v>
      </c>
      <c r="B1945" s="125" t="s">
        <v>616</v>
      </c>
      <c r="C1945" s="125" t="s">
        <v>453</v>
      </c>
      <c r="D1945" s="125" t="s">
        <v>457</v>
      </c>
      <c r="E1945" s="125" t="s">
        <v>284</v>
      </c>
      <c r="F1945" s="126">
        <v>40355.0</v>
      </c>
      <c r="G1945" s="127">
        <v>7.48E8</v>
      </c>
      <c r="H1945" s="126">
        <v>40379.0</v>
      </c>
      <c r="I1945" s="128">
        <v>4377.0</v>
      </c>
      <c r="J1945" s="128">
        <v>255.28</v>
      </c>
      <c r="K1945" s="128">
        <v>159.42</v>
      </c>
      <c r="L1945" s="128">
        <v>1117361.0</v>
      </c>
      <c r="M1945" s="128">
        <v>697781.3</v>
      </c>
      <c r="N1945" s="128">
        <v>419579.2</v>
      </c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</row>
    <row r="1946">
      <c r="A1946" s="125" t="s">
        <v>488</v>
      </c>
      <c r="B1946" s="125" t="s">
        <v>654</v>
      </c>
      <c r="C1946" s="125" t="s">
        <v>480</v>
      </c>
      <c r="D1946" s="125" t="s">
        <v>454</v>
      </c>
      <c r="E1946" s="125" t="s">
        <v>284</v>
      </c>
      <c r="F1946" s="126">
        <v>41603.0</v>
      </c>
      <c r="G1946" s="127">
        <v>4.12E8</v>
      </c>
      <c r="H1946" s="126">
        <v>41611.0</v>
      </c>
      <c r="I1946" s="128">
        <v>1916.0</v>
      </c>
      <c r="J1946" s="128">
        <v>437.2</v>
      </c>
      <c r="K1946" s="128">
        <v>263.33</v>
      </c>
      <c r="L1946" s="128">
        <v>837675.2</v>
      </c>
      <c r="M1946" s="128">
        <v>504540.3</v>
      </c>
      <c r="N1946" s="128">
        <v>333134.9</v>
      </c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</row>
    <row r="1947">
      <c r="A1947" s="125" t="s">
        <v>458</v>
      </c>
      <c r="B1947" s="125" t="s">
        <v>493</v>
      </c>
      <c r="C1947" s="125" t="s">
        <v>494</v>
      </c>
      <c r="D1947" s="125" t="s">
        <v>457</v>
      </c>
      <c r="E1947" s="125" t="s">
        <v>464</v>
      </c>
      <c r="F1947" s="126">
        <v>41330.0</v>
      </c>
      <c r="G1947" s="127">
        <v>8.98E8</v>
      </c>
      <c r="H1947" s="126">
        <v>41345.0</v>
      </c>
      <c r="I1947" s="128">
        <v>9616.0</v>
      </c>
      <c r="J1947" s="128">
        <v>9.33</v>
      </c>
      <c r="K1947" s="128">
        <v>6.92</v>
      </c>
      <c r="L1947" s="128">
        <v>89717.28</v>
      </c>
      <c r="M1947" s="128">
        <v>66542.72</v>
      </c>
      <c r="N1947" s="128">
        <v>23174.56</v>
      </c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</row>
    <row r="1948">
      <c r="A1948" s="125" t="s">
        <v>469</v>
      </c>
      <c r="B1948" s="125" t="s">
        <v>589</v>
      </c>
      <c r="C1948" s="125" t="s">
        <v>494</v>
      </c>
      <c r="D1948" s="125" t="s">
        <v>457</v>
      </c>
      <c r="E1948" s="125" t="s">
        <v>189</v>
      </c>
      <c r="F1948" s="126">
        <v>42320.0</v>
      </c>
      <c r="G1948" s="127">
        <v>8.41E8</v>
      </c>
      <c r="H1948" s="126">
        <v>42369.0</v>
      </c>
      <c r="I1948" s="128">
        <v>765.0</v>
      </c>
      <c r="J1948" s="128">
        <v>9.33</v>
      </c>
      <c r="K1948" s="128">
        <v>6.92</v>
      </c>
      <c r="L1948" s="128">
        <v>7137.45</v>
      </c>
      <c r="M1948" s="128">
        <v>5293.8</v>
      </c>
      <c r="N1948" s="128">
        <v>1843.65</v>
      </c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</row>
    <row r="1949">
      <c r="A1949" s="125" t="s">
        <v>475</v>
      </c>
      <c r="B1949" s="125" t="s">
        <v>504</v>
      </c>
      <c r="C1949" s="125" t="s">
        <v>453</v>
      </c>
      <c r="D1949" s="125" t="s">
        <v>454</v>
      </c>
      <c r="E1949" s="125" t="s">
        <v>464</v>
      </c>
      <c r="F1949" s="126">
        <v>40830.0</v>
      </c>
      <c r="G1949" s="127">
        <v>7.44E8</v>
      </c>
      <c r="H1949" s="126">
        <v>40879.0</v>
      </c>
      <c r="I1949" s="128">
        <v>5679.0</v>
      </c>
      <c r="J1949" s="128">
        <v>255.28</v>
      </c>
      <c r="K1949" s="128">
        <v>159.42</v>
      </c>
      <c r="L1949" s="128">
        <v>1449735.0</v>
      </c>
      <c r="M1949" s="128">
        <v>905346.2</v>
      </c>
      <c r="N1949" s="128">
        <v>544388.9</v>
      </c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</row>
    <row r="1950">
      <c r="A1950" s="125" t="s">
        <v>458</v>
      </c>
      <c r="B1950" s="125" t="s">
        <v>643</v>
      </c>
      <c r="C1950" s="125" t="s">
        <v>478</v>
      </c>
      <c r="D1950" s="125" t="s">
        <v>457</v>
      </c>
      <c r="E1950" s="125" t="s">
        <v>284</v>
      </c>
      <c r="F1950" s="126">
        <v>41805.0</v>
      </c>
      <c r="G1950" s="127">
        <v>7.29E8</v>
      </c>
      <c r="H1950" s="126">
        <v>41825.0</v>
      </c>
      <c r="I1950" s="128">
        <v>6707.0</v>
      </c>
      <c r="J1950" s="128">
        <v>651.21</v>
      </c>
      <c r="K1950" s="128">
        <v>524.96</v>
      </c>
      <c r="L1950" s="128">
        <v>4367665.0</v>
      </c>
      <c r="M1950" s="128">
        <v>3520907.0</v>
      </c>
      <c r="N1950" s="128">
        <v>846758.8</v>
      </c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</row>
    <row r="1951">
      <c r="A1951" s="125" t="s">
        <v>458</v>
      </c>
      <c r="B1951" s="125" t="s">
        <v>563</v>
      </c>
      <c r="C1951" s="125" t="s">
        <v>494</v>
      </c>
      <c r="D1951" s="125" t="s">
        <v>457</v>
      </c>
      <c r="E1951" s="125" t="s">
        <v>189</v>
      </c>
      <c r="F1951" s="126">
        <v>40897.0</v>
      </c>
      <c r="G1951" s="127">
        <v>9.92E8</v>
      </c>
      <c r="H1951" s="126">
        <v>40901.0</v>
      </c>
      <c r="I1951" s="128">
        <v>3229.0</v>
      </c>
      <c r="J1951" s="128">
        <v>9.33</v>
      </c>
      <c r="K1951" s="128">
        <v>6.92</v>
      </c>
      <c r="L1951" s="128">
        <v>30126.57</v>
      </c>
      <c r="M1951" s="128">
        <v>22344.68</v>
      </c>
      <c r="N1951" s="128">
        <v>7781.89</v>
      </c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</row>
    <row r="1952">
      <c r="A1952" s="125" t="s">
        <v>475</v>
      </c>
      <c r="B1952" s="125" t="s">
        <v>521</v>
      </c>
      <c r="C1952" s="125" t="s">
        <v>480</v>
      </c>
      <c r="D1952" s="125" t="s">
        <v>454</v>
      </c>
      <c r="E1952" s="125" t="s">
        <v>464</v>
      </c>
      <c r="F1952" s="126">
        <v>42446.0</v>
      </c>
      <c r="G1952" s="127">
        <v>4.45E8</v>
      </c>
      <c r="H1952" s="126">
        <v>42456.0</v>
      </c>
      <c r="I1952" s="128">
        <v>6656.0</v>
      </c>
      <c r="J1952" s="128">
        <v>437.2</v>
      </c>
      <c r="K1952" s="128">
        <v>263.33</v>
      </c>
      <c r="L1952" s="128">
        <v>2910003.0</v>
      </c>
      <c r="M1952" s="128">
        <v>1752724.0</v>
      </c>
      <c r="N1952" s="128">
        <v>1157279.0</v>
      </c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</row>
    <row r="1953">
      <c r="A1953" s="125" t="s">
        <v>466</v>
      </c>
      <c r="B1953" s="125" t="s">
        <v>491</v>
      </c>
      <c r="C1953" s="125" t="s">
        <v>471</v>
      </c>
      <c r="D1953" s="125" t="s">
        <v>454</v>
      </c>
      <c r="E1953" s="125" t="s">
        <v>464</v>
      </c>
      <c r="F1953" s="126">
        <v>41500.0</v>
      </c>
      <c r="G1953" s="127">
        <v>7.74E8</v>
      </c>
      <c r="H1953" s="126">
        <v>41530.0</v>
      </c>
      <c r="I1953" s="128">
        <v>5431.0</v>
      </c>
      <c r="J1953" s="128">
        <v>109.28</v>
      </c>
      <c r="K1953" s="128">
        <v>35.84</v>
      </c>
      <c r="L1953" s="128">
        <v>593499.7</v>
      </c>
      <c r="M1953" s="128">
        <v>194647.0</v>
      </c>
      <c r="N1953" s="128">
        <v>398852.6</v>
      </c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</row>
    <row r="1954">
      <c r="A1954" s="125" t="s">
        <v>469</v>
      </c>
      <c r="B1954" s="125" t="s">
        <v>632</v>
      </c>
      <c r="C1954" s="125" t="s">
        <v>468</v>
      </c>
      <c r="D1954" s="125" t="s">
        <v>457</v>
      </c>
      <c r="E1954" s="125" t="s">
        <v>189</v>
      </c>
      <c r="F1954" s="126">
        <v>41792.0</v>
      </c>
      <c r="G1954" s="127">
        <v>5.82E8</v>
      </c>
      <c r="H1954" s="126">
        <v>41813.0</v>
      </c>
      <c r="I1954" s="128">
        <v>26.0</v>
      </c>
      <c r="J1954" s="128">
        <v>81.73</v>
      </c>
      <c r="K1954" s="128">
        <v>56.67</v>
      </c>
      <c r="L1954" s="128">
        <v>2124.98</v>
      </c>
      <c r="M1954" s="128">
        <v>1473.42</v>
      </c>
      <c r="N1954" s="128">
        <v>651.56</v>
      </c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</row>
    <row r="1955">
      <c r="A1955" s="125" t="s">
        <v>466</v>
      </c>
      <c r="B1955" s="125" t="s">
        <v>477</v>
      </c>
      <c r="C1955" s="125" t="s">
        <v>463</v>
      </c>
      <c r="D1955" s="125" t="s">
        <v>454</v>
      </c>
      <c r="E1955" s="125" t="s">
        <v>284</v>
      </c>
      <c r="F1955" s="126">
        <v>40530.0</v>
      </c>
      <c r="G1955" s="127">
        <v>3.46E8</v>
      </c>
      <c r="H1955" s="126">
        <v>40560.0</v>
      </c>
      <c r="I1955" s="128">
        <v>7948.0</v>
      </c>
      <c r="J1955" s="128">
        <v>205.7</v>
      </c>
      <c r="K1955" s="128">
        <v>117.11</v>
      </c>
      <c r="L1955" s="128">
        <v>1634904.0</v>
      </c>
      <c r="M1955" s="128">
        <v>930790.3</v>
      </c>
      <c r="N1955" s="128">
        <v>704113.3</v>
      </c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</row>
    <row r="1956">
      <c r="A1956" s="125" t="s">
        <v>458</v>
      </c>
      <c r="B1956" s="125" t="s">
        <v>540</v>
      </c>
      <c r="C1956" s="125" t="s">
        <v>468</v>
      </c>
      <c r="D1956" s="125" t="s">
        <v>457</v>
      </c>
      <c r="E1956" s="125" t="s">
        <v>284</v>
      </c>
      <c r="F1956" s="126">
        <v>40845.0</v>
      </c>
      <c r="G1956" s="127">
        <v>1.61E8</v>
      </c>
      <c r="H1956" s="126">
        <v>40860.0</v>
      </c>
      <c r="I1956" s="128">
        <v>8732.0</v>
      </c>
      <c r="J1956" s="128">
        <v>81.73</v>
      </c>
      <c r="K1956" s="128">
        <v>56.67</v>
      </c>
      <c r="L1956" s="128">
        <v>713666.4</v>
      </c>
      <c r="M1956" s="128">
        <v>494842.4</v>
      </c>
      <c r="N1956" s="128">
        <v>218823.9</v>
      </c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</row>
    <row r="1957">
      <c r="A1957" s="125" t="s">
        <v>461</v>
      </c>
      <c r="B1957" s="125" t="s">
        <v>629</v>
      </c>
      <c r="C1957" s="125" t="s">
        <v>478</v>
      </c>
      <c r="D1957" s="125" t="s">
        <v>457</v>
      </c>
      <c r="E1957" s="125" t="s">
        <v>464</v>
      </c>
      <c r="F1957" s="126">
        <v>42105.0</v>
      </c>
      <c r="G1957" s="127">
        <v>1.91E8</v>
      </c>
      <c r="H1957" s="126">
        <v>42130.0</v>
      </c>
      <c r="I1957" s="128">
        <v>8945.0</v>
      </c>
      <c r="J1957" s="128">
        <v>651.21</v>
      </c>
      <c r="K1957" s="128">
        <v>524.96</v>
      </c>
      <c r="L1957" s="128">
        <v>5825073.0</v>
      </c>
      <c r="M1957" s="128">
        <v>4695767.0</v>
      </c>
      <c r="N1957" s="128">
        <v>1129306.0</v>
      </c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</row>
    <row r="1958">
      <c r="A1958" s="125" t="s">
        <v>451</v>
      </c>
      <c r="B1958" s="125" t="s">
        <v>593</v>
      </c>
      <c r="C1958" s="125" t="s">
        <v>456</v>
      </c>
      <c r="D1958" s="125" t="s">
        <v>454</v>
      </c>
      <c r="E1958" s="125" t="s">
        <v>189</v>
      </c>
      <c r="F1958" s="126">
        <v>41303.0</v>
      </c>
      <c r="G1958" s="127">
        <v>2.24E8</v>
      </c>
      <c r="H1958" s="126">
        <v>41323.0</v>
      </c>
      <c r="I1958" s="128">
        <v>7186.0</v>
      </c>
      <c r="J1958" s="128">
        <v>152.58</v>
      </c>
      <c r="K1958" s="128">
        <v>97.44</v>
      </c>
      <c r="L1958" s="128">
        <v>1096440.0</v>
      </c>
      <c r="M1958" s="128">
        <v>700203.8</v>
      </c>
      <c r="N1958" s="128">
        <v>396236.0</v>
      </c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</row>
    <row r="1959">
      <c r="A1959" s="125" t="s">
        <v>466</v>
      </c>
      <c r="B1959" s="125" t="s">
        <v>492</v>
      </c>
      <c r="C1959" s="125" t="s">
        <v>460</v>
      </c>
      <c r="D1959" s="125" t="s">
        <v>454</v>
      </c>
      <c r="E1959" s="125" t="s">
        <v>464</v>
      </c>
      <c r="F1959" s="126">
        <v>42735.0</v>
      </c>
      <c r="G1959" s="127">
        <v>1.15E8</v>
      </c>
      <c r="H1959" s="126">
        <v>42783.0</v>
      </c>
      <c r="I1959" s="128">
        <v>9085.0</v>
      </c>
      <c r="J1959" s="128">
        <v>47.45</v>
      </c>
      <c r="K1959" s="128">
        <v>31.79</v>
      </c>
      <c r="L1959" s="128">
        <v>431083.3</v>
      </c>
      <c r="M1959" s="128">
        <v>288812.2</v>
      </c>
      <c r="N1959" s="128">
        <v>142271.1</v>
      </c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</row>
    <row r="1960">
      <c r="A1960" s="125" t="s">
        <v>458</v>
      </c>
      <c r="B1960" s="125" t="s">
        <v>613</v>
      </c>
      <c r="C1960" s="125" t="s">
        <v>514</v>
      </c>
      <c r="D1960" s="125" t="s">
        <v>454</v>
      </c>
      <c r="E1960" s="125" t="s">
        <v>472</v>
      </c>
      <c r="F1960" s="126">
        <v>42788.0</v>
      </c>
      <c r="G1960" s="127">
        <v>2.41E8</v>
      </c>
      <c r="H1960" s="126">
        <v>42810.0</v>
      </c>
      <c r="I1960" s="128">
        <v>2304.0</v>
      </c>
      <c r="J1960" s="128">
        <v>668.27</v>
      </c>
      <c r="K1960" s="128">
        <v>502.54</v>
      </c>
      <c r="L1960" s="128">
        <v>1539694.0</v>
      </c>
      <c r="M1960" s="128">
        <v>1157852.0</v>
      </c>
      <c r="N1960" s="128">
        <v>381841.9</v>
      </c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</row>
    <row r="1961">
      <c r="A1961" s="125" t="s">
        <v>451</v>
      </c>
      <c r="B1961" s="125" t="s">
        <v>550</v>
      </c>
      <c r="C1961" s="125" t="s">
        <v>494</v>
      </c>
      <c r="D1961" s="125" t="s">
        <v>454</v>
      </c>
      <c r="E1961" s="125" t="s">
        <v>284</v>
      </c>
      <c r="F1961" s="126">
        <v>42388.0</v>
      </c>
      <c r="G1961" s="127">
        <v>1.5E8</v>
      </c>
      <c r="H1961" s="126">
        <v>42431.0</v>
      </c>
      <c r="I1961" s="128">
        <v>1533.0</v>
      </c>
      <c r="J1961" s="128">
        <v>9.33</v>
      </c>
      <c r="K1961" s="128">
        <v>6.92</v>
      </c>
      <c r="L1961" s="128">
        <v>14302.89</v>
      </c>
      <c r="M1961" s="128">
        <v>10608.36</v>
      </c>
      <c r="N1961" s="128">
        <v>3694.53</v>
      </c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</row>
    <row r="1962">
      <c r="A1962" s="125" t="s">
        <v>475</v>
      </c>
      <c r="B1962" s="125" t="s">
        <v>636</v>
      </c>
      <c r="C1962" s="125" t="s">
        <v>478</v>
      </c>
      <c r="D1962" s="125" t="s">
        <v>457</v>
      </c>
      <c r="E1962" s="125" t="s">
        <v>284</v>
      </c>
      <c r="F1962" s="126">
        <v>42847.0</v>
      </c>
      <c r="G1962" s="127">
        <v>8.07E8</v>
      </c>
      <c r="H1962" s="126">
        <v>42871.0</v>
      </c>
      <c r="I1962" s="128">
        <v>3498.0</v>
      </c>
      <c r="J1962" s="128">
        <v>651.21</v>
      </c>
      <c r="K1962" s="128">
        <v>524.96</v>
      </c>
      <c r="L1962" s="128">
        <v>2277933.0</v>
      </c>
      <c r="M1962" s="128">
        <v>1836310.0</v>
      </c>
      <c r="N1962" s="128">
        <v>441622.5</v>
      </c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</row>
    <row r="1963">
      <c r="A1963" s="125" t="s">
        <v>451</v>
      </c>
      <c r="B1963" s="125" t="s">
        <v>596</v>
      </c>
      <c r="C1963" s="125" t="s">
        <v>453</v>
      </c>
      <c r="D1963" s="125" t="s">
        <v>454</v>
      </c>
      <c r="E1963" s="125" t="s">
        <v>189</v>
      </c>
      <c r="F1963" s="126">
        <v>41721.0</v>
      </c>
      <c r="G1963" s="127">
        <v>5.51E8</v>
      </c>
      <c r="H1963" s="126">
        <v>41738.0</v>
      </c>
      <c r="I1963" s="128">
        <v>1953.0</v>
      </c>
      <c r="J1963" s="128">
        <v>255.28</v>
      </c>
      <c r="K1963" s="128">
        <v>159.42</v>
      </c>
      <c r="L1963" s="128">
        <v>498561.8</v>
      </c>
      <c r="M1963" s="128">
        <v>311347.3</v>
      </c>
      <c r="N1963" s="128">
        <v>187214.6</v>
      </c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</row>
    <row r="1964">
      <c r="A1964" s="125" t="s">
        <v>466</v>
      </c>
      <c r="B1964" s="125" t="s">
        <v>598</v>
      </c>
      <c r="C1964" s="125" t="s">
        <v>471</v>
      </c>
      <c r="D1964" s="125" t="s">
        <v>454</v>
      </c>
      <c r="E1964" s="125" t="s">
        <v>189</v>
      </c>
      <c r="F1964" s="126">
        <v>42485.0</v>
      </c>
      <c r="G1964" s="127">
        <v>9.4E8</v>
      </c>
      <c r="H1964" s="126">
        <v>42524.0</v>
      </c>
      <c r="I1964" s="128">
        <v>2685.0</v>
      </c>
      <c r="J1964" s="128">
        <v>109.28</v>
      </c>
      <c r="K1964" s="128">
        <v>35.84</v>
      </c>
      <c r="L1964" s="128">
        <v>293416.8</v>
      </c>
      <c r="M1964" s="128">
        <v>96230.4</v>
      </c>
      <c r="N1964" s="128">
        <v>197186.4</v>
      </c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</row>
    <row r="1965">
      <c r="A1965" s="125" t="s">
        <v>458</v>
      </c>
      <c r="B1965" s="125" t="s">
        <v>555</v>
      </c>
      <c r="C1965" s="125" t="s">
        <v>485</v>
      </c>
      <c r="D1965" s="125" t="s">
        <v>454</v>
      </c>
      <c r="E1965" s="125" t="s">
        <v>472</v>
      </c>
      <c r="F1965" s="126">
        <v>42087.0</v>
      </c>
      <c r="G1965" s="127">
        <v>9.02E8</v>
      </c>
      <c r="H1965" s="126">
        <v>42129.0</v>
      </c>
      <c r="I1965" s="128">
        <v>8509.0</v>
      </c>
      <c r="J1965" s="128">
        <v>421.89</v>
      </c>
      <c r="K1965" s="128">
        <v>364.69</v>
      </c>
      <c r="L1965" s="128">
        <v>3589862.0</v>
      </c>
      <c r="M1965" s="128">
        <v>3103147.0</v>
      </c>
      <c r="N1965" s="128">
        <v>486714.8</v>
      </c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</row>
    <row r="1966">
      <c r="A1966" s="125" t="s">
        <v>469</v>
      </c>
      <c r="B1966" s="125" t="s">
        <v>520</v>
      </c>
      <c r="C1966" s="125" t="s">
        <v>485</v>
      </c>
      <c r="D1966" s="125" t="s">
        <v>454</v>
      </c>
      <c r="E1966" s="125" t="s">
        <v>464</v>
      </c>
      <c r="F1966" s="126">
        <v>40632.0</v>
      </c>
      <c r="G1966" s="127">
        <v>7.85E8</v>
      </c>
      <c r="H1966" s="126">
        <v>40674.0</v>
      </c>
      <c r="I1966" s="128">
        <v>4276.0</v>
      </c>
      <c r="J1966" s="128">
        <v>421.89</v>
      </c>
      <c r="K1966" s="128">
        <v>364.69</v>
      </c>
      <c r="L1966" s="128">
        <v>1804002.0</v>
      </c>
      <c r="M1966" s="128">
        <v>1559414.0</v>
      </c>
      <c r="N1966" s="128">
        <v>244587.2</v>
      </c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</row>
    <row r="1967">
      <c r="A1967" s="125" t="s">
        <v>475</v>
      </c>
      <c r="B1967" s="125" t="s">
        <v>579</v>
      </c>
      <c r="C1967" s="125" t="s">
        <v>468</v>
      </c>
      <c r="D1967" s="125" t="s">
        <v>454</v>
      </c>
      <c r="E1967" s="125" t="s">
        <v>189</v>
      </c>
      <c r="F1967" s="126">
        <v>42761.0</v>
      </c>
      <c r="G1967" s="127">
        <v>1.08E8</v>
      </c>
      <c r="H1967" s="126">
        <v>42808.0</v>
      </c>
      <c r="I1967" s="128">
        <v>1865.0</v>
      </c>
      <c r="J1967" s="128">
        <v>81.73</v>
      </c>
      <c r="K1967" s="128">
        <v>56.67</v>
      </c>
      <c r="L1967" s="128">
        <v>152426.5</v>
      </c>
      <c r="M1967" s="128">
        <v>105689.6</v>
      </c>
      <c r="N1967" s="128">
        <v>46736.9</v>
      </c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</row>
    <row r="1968">
      <c r="A1968" s="125" t="s">
        <v>461</v>
      </c>
      <c r="B1968" s="125" t="s">
        <v>525</v>
      </c>
      <c r="C1968" s="125" t="s">
        <v>453</v>
      </c>
      <c r="D1968" s="125" t="s">
        <v>457</v>
      </c>
      <c r="E1968" s="125" t="s">
        <v>464</v>
      </c>
      <c r="F1968" s="126">
        <v>42441.0</v>
      </c>
      <c r="G1968" s="127">
        <v>7.1E8</v>
      </c>
      <c r="H1968" s="126">
        <v>42463.0</v>
      </c>
      <c r="I1968" s="128">
        <v>5187.0</v>
      </c>
      <c r="J1968" s="128">
        <v>255.28</v>
      </c>
      <c r="K1968" s="128">
        <v>159.42</v>
      </c>
      <c r="L1968" s="128">
        <v>1324137.0</v>
      </c>
      <c r="M1968" s="128">
        <v>826911.5</v>
      </c>
      <c r="N1968" s="128">
        <v>497225.8</v>
      </c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</row>
    <row r="1969">
      <c r="A1969" s="125" t="s">
        <v>475</v>
      </c>
      <c r="B1969" s="125" t="s">
        <v>604</v>
      </c>
      <c r="C1969" s="125" t="s">
        <v>494</v>
      </c>
      <c r="D1969" s="125" t="s">
        <v>454</v>
      </c>
      <c r="E1969" s="125" t="s">
        <v>464</v>
      </c>
      <c r="F1969" s="126">
        <v>40944.0</v>
      </c>
      <c r="G1969" s="127">
        <v>9.01E8</v>
      </c>
      <c r="H1969" s="126">
        <v>40971.0</v>
      </c>
      <c r="I1969" s="128">
        <v>5185.0</v>
      </c>
      <c r="J1969" s="128">
        <v>9.33</v>
      </c>
      <c r="K1969" s="128">
        <v>6.92</v>
      </c>
      <c r="L1969" s="128">
        <v>48376.05</v>
      </c>
      <c r="M1969" s="128">
        <v>35880.2</v>
      </c>
      <c r="N1969" s="128">
        <v>12495.85</v>
      </c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</row>
    <row r="1970">
      <c r="A1970" s="125" t="s">
        <v>458</v>
      </c>
      <c r="B1970" s="125" t="s">
        <v>545</v>
      </c>
      <c r="C1970" s="125" t="s">
        <v>478</v>
      </c>
      <c r="D1970" s="125" t="s">
        <v>454</v>
      </c>
      <c r="E1970" s="125" t="s">
        <v>189</v>
      </c>
      <c r="F1970" s="126">
        <v>42695.0</v>
      </c>
      <c r="G1970" s="127">
        <v>4.1E8</v>
      </c>
      <c r="H1970" s="126">
        <v>42726.0</v>
      </c>
      <c r="I1970" s="128">
        <v>4832.0</v>
      </c>
      <c r="J1970" s="128">
        <v>651.21</v>
      </c>
      <c r="K1970" s="128">
        <v>524.96</v>
      </c>
      <c r="L1970" s="128">
        <v>3146647.0</v>
      </c>
      <c r="M1970" s="128">
        <v>2536607.0</v>
      </c>
      <c r="N1970" s="128">
        <v>610040.0</v>
      </c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</row>
    <row r="1971">
      <c r="A1971" s="125" t="s">
        <v>458</v>
      </c>
      <c r="B1971" s="125" t="s">
        <v>509</v>
      </c>
      <c r="C1971" s="125" t="s">
        <v>460</v>
      </c>
      <c r="D1971" s="125" t="s">
        <v>454</v>
      </c>
      <c r="E1971" s="125" t="s">
        <v>464</v>
      </c>
      <c r="F1971" s="126">
        <v>42829.0</v>
      </c>
      <c r="G1971" s="127">
        <v>8.38E8</v>
      </c>
      <c r="H1971" s="126">
        <v>42871.0</v>
      </c>
      <c r="I1971" s="128">
        <v>4133.0</v>
      </c>
      <c r="J1971" s="128">
        <v>47.45</v>
      </c>
      <c r="K1971" s="128">
        <v>31.79</v>
      </c>
      <c r="L1971" s="128">
        <v>196110.9</v>
      </c>
      <c r="M1971" s="128">
        <v>131388.1</v>
      </c>
      <c r="N1971" s="128">
        <v>64722.78</v>
      </c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</row>
    <row r="1972">
      <c r="A1972" s="125" t="s">
        <v>458</v>
      </c>
      <c r="B1972" s="125" t="s">
        <v>633</v>
      </c>
      <c r="C1972" s="125" t="s">
        <v>514</v>
      </c>
      <c r="D1972" s="125" t="s">
        <v>454</v>
      </c>
      <c r="E1972" s="125" t="s">
        <v>284</v>
      </c>
      <c r="F1972" s="126">
        <v>42399.0</v>
      </c>
      <c r="G1972" s="127">
        <v>7.04E8</v>
      </c>
      <c r="H1972" s="126">
        <v>42430.0</v>
      </c>
      <c r="I1972" s="128">
        <v>5124.0</v>
      </c>
      <c r="J1972" s="128">
        <v>668.27</v>
      </c>
      <c r="K1972" s="128">
        <v>502.54</v>
      </c>
      <c r="L1972" s="128">
        <v>3424215.0</v>
      </c>
      <c r="M1972" s="128">
        <v>2575015.0</v>
      </c>
      <c r="N1972" s="128">
        <v>849200.5</v>
      </c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</row>
    <row r="1973">
      <c r="A1973" s="125" t="s">
        <v>458</v>
      </c>
      <c r="B1973" s="125" t="s">
        <v>486</v>
      </c>
      <c r="C1973" s="125" t="s">
        <v>456</v>
      </c>
      <c r="D1973" s="125" t="s">
        <v>457</v>
      </c>
      <c r="E1973" s="125" t="s">
        <v>189</v>
      </c>
      <c r="F1973" s="126">
        <v>41466.0</v>
      </c>
      <c r="G1973" s="127">
        <v>4.0E8</v>
      </c>
      <c r="H1973" s="126">
        <v>41475.0</v>
      </c>
      <c r="I1973" s="128">
        <v>6873.0</v>
      </c>
      <c r="J1973" s="128">
        <v>152.58</v>
      </c>
      <c r="K1973" s="128">
        <v>97.44</v>
      </c>
      <c r="L1973" s="128">
        <v>1048682.0</v>
      </c>
      <c r="M1973" s="128">
        <v>669705.1</v>
      </c>
      <c r="N1973" s="128">
        <v>378977.2</v>
      </c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</row>
    <row r="1974">
      <c r="A1974" s="125" t="s">
        <v>475</v>
      </c>
      <c r="B1974" s="125" t="s">
        <v>558</v>
      </c>
      <c r="C1974" s="125" t="s">
        <v>506</v>
      </c>
      <c r="D1974" s="125" t="s">
        <v>457</v>
      </c>
      <c r="E1974" s="125" t="s">
        <v>189</v>
      </c>
      <c r="F1974" s="126">
        <v>40481.0</v>
      </c>
      <c r="G1974" s="127">
        <v>8.37E8</v>
      </c>
      <c r="H1974" s="126">
        <v>40531.0</v>
      </c>
      <c r="I1974" s="128">
        <v>478.0</v>
      </c>
      <c r="J1974" s="128">
        <v>154.06</v>
      </c>
      <c r="K1974" s="128">
        <v>90.93</v>
      </c>
      <c r="L1974" s="128">
        <v>73640.68</v>
      </c>
      <c r="M1974" s="128">
        <v>43464.54</v>
      </c>
      <c r="N1974" s="128">
        <v>30176.14</v>
      </c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</row>
    <row r="1975">
      <c r="A1975" s="125" t="s">
        <v>475</v>
      </c>
      <c r="B1975" s="125" t="s">
        <v>574</v>
      </c>
      <c r="C1975" s="125" t="s">
        <v>463</v>
      </c>
      <c r="D1975" s="125" t="s">
        <v>454</v>
      </c>
      <c r="E1975" s="125" t="s">
        <v>472</v>
      </c>
      <c r="F1975" s="126">
        <v>41665.0</v>
      </c>
      <c r="G1975" s="127">
        <v>2.95E8</v>
      </c>
      <c r="H1975" s="126">
        <v>41677.0</v>
      </c>
      <c r="I1975" s="128">
        <v>4069.0</v>
      </c>
      <c r="J1975" s="128">
        <v>205.7</v>
      </c>
      <c r="K1975" s="128">
        <v>117.11</v>
      </c>
      <c r="L1975" s="128">
        <v>836993.3</v>
      </c>
      <c r="M1975" s="128">
        <v>476520.6</v>
      </c>
      <c r="N1975" s="128">
        <v>360472.7</v>
      </c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</row>
    <row r="1976">
      <c r="A1976" s="125" t="s">
        <v>475</v>
      </c>
      <c r="B1976" s="125" t="s">
        <v>648</v>
      </c>
      <c r="C1976" s="125" t="s">
        <v>460</v>
      </c>
      <c r="D1976" s="125" t="s">
        <v>454</v>
      </c>
      <c r="E1976" s="125" t="s">
        <v>189</v>
      </c>
      <c r="F1976" s="126">
        <v>42097.0</v>
      </c>
      <c r="G1976" s="127">
        <v>2.76E8</v>
      </c>
      <c r="H1976" s="126">
        <v>42120.0</v>
      </c>
      <c r="I1976" s="128">
        <v>7807.0</v>
      </c>
      <c r="J1976" s="128">
        <v>47.45</v>
      </c>
      <c r="K1976" s="128">
        <v>31.79</v>
      </c>
      <c r="L1976" s="128">
        <v>370442.2</v>
      </c>
      <c r="M1976" s="128">
        <v>248184.5</v>
      </c>
      <c r="N1976" s="128">
        <v>122257.6</v>
      </c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</row>
    <row r="1977">
      <c r="A1977" s="125" t="s">
        <v>466</v>
      </c>
      <c r="B1977" s="125" t="s">
        <v>534</v>
      </c>
      <c r="C1977" s="125" t="s">
        <v>485</v>
      </c>
      <c r="D1977" s="125" t="s">
        <v>457</v>
      </c>
      <c r="E1977" s="125" t="s">
        <v>189</v>
      </c>
      <c r="F1977" s="126">
        <v>40628.0</v>
      </c>
      <c r="G1977" s="127">
        <v>5.53E8</v>
      </c>
      <c r="H1977" s="126">
        <v>40673.0</v>
      </c>
      <c r="I1977" s="128">
        <v>8885.0</v>
      </c>
      <c r="J1977" s="128">
        <v>421.89</v>
      </c>
      <c r="K1977" s="128">
        <v>364.69</v>
      </c>
      <c r="L1977" s="128">
        <v>3748493.0</v>
      </c>
      <c r="M1977" s="128">
        <v>3240271.0</v>
      </c>
      <c r="N1977" s="128">
        <v>508222.0</v>
      </c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</row>
    <row r="1978">
      <c r="A1978" s="125" t="s">
        <v>461</v>
      </c>
      <c r="B1978" s="125" t="s">
        <v>481</v>
      </c>
      <c r="C1978" s="125" t="s">
        <v>478</v>
      </c>
      <c r="D1978" s="125" t="s">
        <v>457</v>
      </c>
      <c r="E1978" s="125" t="s">
        <v>472</v>
      </c>
      <c r="F1978" s="126">
        <v>42028.0</v>
      </c>
      <c r="G1978" s="127">
        <v>5.17E8</v>
      </c>
      <c r="H1978" s="126">
        <v>42032.0</v>
      </c>
      <c r="I1978" s="128">
        <v>6526.0</v>
      </c>
      <c r="J1978" s="128">
        <v>651.21</v>
      </c>
      <c r="K1978" s="128">
        <v>524.96</v>
      </c>
      <c r="L1978" s="128">
        <v>4249796.0</v>
      </c>
      <c r="M1978" s="128">
        <v>3425889.0</v>
      </c>
      <c r="N1978" s="128">
        <v>823907.5</v>
      </c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</row>
    <row r="1979">
      <c r="A1979" s="125" t="s">
        <v>458</v>
      </c>
      <c r="B1979" s="125" t="s">
        <v>603</v>
      </c>
      <c r="C1979" s="125" t="s">
        <v>485</v>
      </c>
      <c r="D1979" s="125" t="s">
        <v>454</v>
      </c>
      <c r="E1979" s="125" t="s">
        <v>284</v>
      </c>
      <c r="F1979" s="126">
        <v>41778.0</v>
      </c>
      <c r="G1979" s="127">
        <v>5.31E8</v>
      </c>
      <c r="H1979" s="126">
        <v>41793.0</v>
      </c>
      <c r="I1979" s="128">
        <v>6986.0</v>
      </c>
      <c r="J1979" s="128">
        <v>421.89</v>
      </c>
      <c r="K1979" s="128">
        <v>364.69</v>
      </c>
      <c r="L1979" s="128">
        <v>2947324.0</v>
      </c>
      <c r="M1979" s="128">
        <v>2547724.0</v>
      </c>
      <c r="N1979" s="128">
        <v>399599.2</v>
      </c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</row>
    <row r="1980">
      <c r="A1980" s="125" t="s">
        <v>451</v>
      </c>
      <c r="B1980" s="125" t="s">
        <v>543</v>
      </c>
      <c r="C1980" s="125" t="s">
        <v>460</v>
      </c>
      <c r="D1980" s="125" t="s">
        <v>454</v>
      </c>
      <c r="E1980" s="125" t="s">
        <v>284</v>
      </c>
      <c r="F1980" s="126">
        <v>41278.0</v>
      </c>
      <c r="G1980" s="127">
        <v>5.78E8</v>
      </c>
      <c r="H1980" s="126">
        <v>41283.0</v>
      </c>
      <c r="I1980" s="128">
        <v>8550.0</v>
      </c>
      <c r="J1980" s="128">
        <v>47.45</v>
      </c>
      <c r="K1980" s="128">
        <v>31.79</v>
      </c>
      <c r="L1980" s="128">
        <v>405697.5</v>
      </c>
      <c r="M1980" s="128">
        <v>271804.5</v>
      </c>
      <c r="N1980" s="128">
        <v>133893.0</v>
      </c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</row>
    <row r="1981">
      <c r="A1981" s="125" t="s">
        <v>475</v>
      </c>
      <c r="B1981" s="125" t="s">
        <v>548</v>
      </c>
      <c r="C1981" s="125" t="s">
        <v>506</v>
      </c>
      <c r="D1981" s="125" t="s">
        <v>457</v>
      </c>
      <c r="E1981" s="125" t="s">
        <v>464</v>
      </c>
      <c r="F1981" s="126">
        <v>40935.0</v>
      </c>
      <c r="G1981" s="127">
        <v>7.12E8</v>
      </c>
      <c r="H1981" s="126">
        <v>40977.0</v>
      </c>
      <c r="I1981" s="128">
        <v>6535.0</v>
      </c>
      <c r="J1981" s="128">
        <v>154.06</v>
      </c>
      <c r="K1981" s="128">
        <v>90.93</v>
      </c>
      <c r="L1981" s="128">
        <v>1006782.0</v>
      </c>
      <c r="M1981" s="128">
        <v>594227.6</v>
      </c>
      <c r="N1981" s="128">
        <v>412554.6</v>
      </c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</row>
    <row r="1982">
      <c r="A1982" s="125" t="s">
        <v>461</v>
      </c>
      <c r="B1982" s="125" t="s">
        <v>629</v>
      </c>
      <c r="C1982" s="125" t="s">
        <v>453</v>
      </c>
      <c r="D1982" s="125" t="s">
        <v>457</v>
      </c>
      <c r="E1982" s="125" t="s">
        <v>464</v>
      </c>
      <c r="F1982" s="126">
        <v>41544.0</v>
      </c>
      <c r="G1982" s="127">
        <v>6.05E8</v>
      </c>
      <c r="H1982" s="126">
        <v>41547.0</v>
      </c>
      <c r="I1982" s="128">
        <v>8291.0</v>
      </c>
      <c r="J1982" s="128">
        <v>255.28</v>
      </c>
      <c r="K1982" s="128">
        <v>159.42</v>
      </c>
      <c r="L1982" s="128">
        <v>2116526.0</v>
      </c>
      <c r="M1982" s="128">
        <v>1321751.0</v>
      </c>
      <c r="N1982" s="128">
        <v>794775.3</v>
      </c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</row>
    <row r="1983">
      <c r="A1983" s="125" t="s">
        <v>458</v>
      </c>
      <c r="B1983" s="125" t="s">
        <v>614</v>
      </c>
      <c r="C1983" s="125" t="s">
        <v>480</v>
      </c>
      <c r="D1983" s="125" t="s">
        <v>454</v>
      </c>
      <c r="E1983" s="125" t="s">
        <v>284</v>
      </c>
      <c r="F1983" s="126">
        <v>42906.0</v>
      </c>
      <c r="G1983" s="127">
        <v>9.01E8</v>
      </c>
      <c r="H1983" s="126">
        <v>42914.0</v>
      </c>
      <c r="I1983" s="128">
        <v>8196.0</v>
      </c>
      <c r="J1983" s="128">
        <v>437.2</v>
      </c>
      <c r="K1983" s="128">
        <v>263.33</v>
      </c>
      <c r="L1983" s="128">
        <v>3583291.0</v>
      </c>
      <c r="M1983" s="128">
        <v>2158253.0</v>
      </c>
      <c r="N1983" s="128">
        <v>1425039.0</v>
      </c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</row>
    <row r="1984">
      <c r="A1984" s="125" t="s">
        <v>461</v>
      </c>
      <c r="B1984" s="125" t="s">
        <v>557</v>
      </c>
      <c r="C1984" s="125" t="s">
        <v>453</v>
      </c>
      <c r="D1984" s="125" t="s">
        <v>454</v>
      </c>
      <c r="E1984" s="125" t="s">
        <v>464</v>
      </c>
      <c r="F1984" s="126">
        <v>42447.0</v>
      </c>
      <c r="G1984" s="127">
        <v>9.65E8</v>
      </c>
      <c r="H1984" s="126">
        <v>42484.0</v>
      </c>
      <c r="I1984" s="128">
        <v>2664.0</v>
      </c>
      <c r="J1984" s="128">
        <v>255.28</v>
      </c>
      <c r="K1984" s="128">
        <v>159.42</v>
      </c>
      <c r="L1984" s="128">
        <v>680065.9</v>
      </c>
      <c r="M1984" s="128">
        <v>424694.9</v>
      </c>
      <c r="N1984" s="128">
        <v>255371.0</v>
      </c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</row>
    <row r="1985">
      <c r="A1985" s="125" t="s">
        <v>475</v>
      </c>
      <c r="B1985" s="125" t="s">
        <v>575</v>
      </c>
      <c r="C1985" s="125" t="s">
        <v>514</v>
      </c>
      <c r="D1985" s="125" t="s">
        <v>454</v>
      </c>
      <c r="E1985" s="125" t="s">
        <v>472</v>
      </c>
      <c r="F1985" s="126">
        <v>42129.0</v>
      </c>
      <c r="G1985" s="127">
        <v>2.3E8</v>
      </c>
      <c r="H1985" s="126">
        <v>42137.0</v>
      </c>
      <c r="I1985" s="128">
        <v>5134.0</v>
      </c>
      <c r="J1985" s="128">
        <v>668.27</v>
      </c>
      <c r="K1985" s="128">
        <v>502.54</v>
      </c>
      <c r="L1985" s="128">
        <v>3430898.0</v>
      </c>
      <c r="M1985" s="128">
        <v>2580040.0</v>
      </c>
      <c r="N1985" s="128">
        <v>850857.8</v>
      </c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</row>
    <row r="1986">
      <c r="A1986" s="125" t="s">
        <v>469</v>
      </c>
      <c r="B1986" s="125" t="s">
        <v>503</v>
      </c>
      <c r="C1986" s="125" t="s">
        <v>480</v>
      </c>
      <c r="D1986" s="125" t="s">
        <v>457</v>
      </c>
      <c r="E1986" s="125" t="s">
        <v>284</v>
      </c>
      <c r="F1986" s="126">
        <v>41536.0</v>
      </c>
      <c r="G1986" s="127">
        <v>4.52E8</v>
      </c>
      <c r="H1986" s="126">
        <v>41541.0</v>
      </c>
      <c r="I1986" s="128">
        <v>1082.0</v>
      </c>
      <c r="J1986" s="128">
        <v>437.2</v>
      </c>
      <c r="K1986" s="128">
        <v>263.33</v>
      </c>
      <c r="L1986" s="128">
        <v>473050.4</v>
      </c>
      <c r="M1986" s="128">
        <v>284923.1</v>
      </c>
      <c r="N1986" s="128">
        <v>188127.3</v>
      </c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</row>
    <row r="1987">
      <c r="A1987" s="125" t="s">
        <v>458</v>
      </c>
      <c r="B1987" s="125" t="s">
        <v>459</v>
      </c>
      <c r="C1987" s="125" t="s">
        <v>485</v>
      </c>
      <c r="D1987" s="125" t="s">
        <v>454</v>
      </c>
      <c r="E1987" s="125" t="s">
        <v>472</v>
      </c>
      <c r="F1987" s="126">
        <v>42026.0</v>
      </c>
      <c r="G1987" s="127">
        <v>7.56E8</v>
      </c>
      <c r="H1987" s="126">
        <v>42076.0</v>
      </c>
      <c r="I1987" s="128">
        <v>3013.0</v>
      </c>
      <c r="J1987" s="128">
        <v>421.89</v>
      </c>
      <c r="K1987" s="128">
        <v>364.69</v>
      </c>
      <c r="L1987" s="128">
        <v>1271155.0</v>
      </c>
      <c r="M1987" s="128">
        <v>1098811.0</v>
      </c>
      <c r="N1987" s="128">
        <v>172343.6</v>
      </c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</row>
    <row r="1988">
      <c r="A1988" s="125" t="s">
        <v>475</v>
      </c>
      <c r="B1988" s="125" t="s">
        <v>500</v>
      </c>
      <c r="C1988" s="125" t="s">
        <v>506</v>
      </c>
      <c r="D1988" s="125" t="s">
        <v>454</v>
      </c>
      <c r="E1988" s="125" t="s">
        <v>464</v>
      </c>
      <c r="F1988" s="126">
        <v>42580.0</v>
      </c>
      <c r="G1988" s="127">
        <v>7.87E8</v>
      </c>
      <c r="H1988" s="126">
        <v>42604.0</v>
      </c>
      <c r="I1988" s="128">
        <v>5462.0</v>
      </c>
      <c r="J1988" s="128">
        <v>154.06</v>
      </c>
      <c r="K1988" s="128">
        <v>90.93</v>
      </c>
      <c r="L1988" s="128">
        <v>841475.7</v>
      </c>
      <c r="M1988" s="128">
        <v>496659.7</v>
      </c>
      <c r="N1988" s="128">
        <v>344816.1</v>
      </c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</row>
    <row r="1989">
      <c r="A1989" s="125" t="s">
        <v>458</v>
      </c>
      <c r="B1989" s="125" t="s">
        <v>643</v>
      </c>
      <c r="C1989" s="125" t="s">
        <v>471</v>
      </c>
      <c r="D1989" s="125" t="s">
        <v>454</v>
      </c>
      <c r="E1989" s="125" t="s">
        <v>284</v>
      </c>
      <c r="F1989" s="126">
        <v>41184.0</v>
      </c>
      <c r="G1989" s="127">
        <v>2.61E8</v>
      </c>
      <c r="H1989" s="126">
        <v>41185.0</v>
      </c>
      <c r="I1989" s="128">
        <v>9996.0</v>
      </c>
      <c r="J1989" s="128">
        <v>109.28</v>
      </c>
      <c r="K1989" s="128">
        <v>35.84</v>
      </c>
      <c r="L1989" s="128">
        <v>1092363.0</v>
      </c>
      <c r="M1989" s="128">
        <v>358256.6</v>
      </c>
      <c r="N1989" s="128">
        <v>734106.2</v>
      </c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</row>
    <row r="1990">
      <c r="A1990" s="125" t="s">
        <v>466</v>
      </c>
      <c r="B1990" s="125" t="s">
        <v>580</v>
      </c>
      <c r="C1990" s="125" t="s">
        <v>480</v>
      </c>
      <c r="D1990" s="125" t="s">
        <v>454</v>
      </c>
      <c r="E1990" s="125" t="s">
        <v>464</v>
      </c>
      <c r="F1990" s="126">
        <v>41745.0</v>
      </c>
      <c r="G1990" s="127">
        <v>3.14E8</v>
      </c>
      <c r="H1990" s="126">
        <v>41763.0</v>
      </c>
      <c r="I1990" s="128">
        <v>215.0</v>
      </c>
      <c r="J1990" s="128">
        <v>437.2</v>
      </c>
      <c r="K1990" s="128">
        <v>263.33</v>
      </c>
      <c r="L1990" s="128">
        <v>93998.0</v>
      </c>
      <c r="M1990" s="128">
        <v>56615.95</v>
      </c>
      <c r="N1990" s="128">
        <v>37382.05</v>
      </c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</row>
    <row r="1991">
      <c r="A1991" s="125" t="s">
        <v>451</v>
      </c>
      <c r="B1991" s="125" t="s">
        <v>455</v>
      </c>
      <c r="C1991" s="125" t="s">
        <v>485</v>
      </c>
      <c r="D1991" s="125" t="s">
        <v>457</v>
      </c>
      <c r="E1991" s="125" t="s">
        <v>284</v>
      </c>
      <c r="F1991" s="126">
        <v>41644.0</v>
      </c>
      <c r="G1991" s="127">
        <v>3.51E8</v>
      </c>
      <c r="H1991" s="126">
        <v>41691.0</v>
      </c>
      <c r="I1991" s="128">
        <v>6748.0</v>
      </c>
      <c r="J1991" s="128">
        <v>421.89</v>
      </c>
      <c r="K1991" s="128">
        <v>364.69</v>
      </c>
      <c r="L1991" s="128">
        <v>2846914.0</v>
      </c>
      <c r="M1991" s="128">
        <v>2460928.0</v>
      </c>
      <c r="N1991" s="128">
        <v>385985.6</v>
      </c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</row>
    <row r="1992">
      <c r="A1992" s="125" t="s">
        <v>461</v>
      </c>
      <c r="B1992" s="125" t="s">
        <v>556</v>
      </c>
      <c r="C1992" s="125" t="s">
        <v>480</v>
      </c>
      <c r="D1992" s="125" t="s">
        <v>457</v>
      </c>
      <c r="E1992" s="125" t="s">
        <v>284</v>
      </c>
      <c r="F1992" s="126">
        <v>41417.0</v>
      </c>
      <c r="G1992" s="127">
        <v>3.0E8</v>
      </c>
      <c r="H1992" s="126">
        <v>41443.0</v>
      </c>
      <c r="I1992" s="128">
        <v>2256.0</v>
      </c>
      <c r="J1992" s="128">
        <v>437.2</v>
      </c>
      <c r="K1992" s="128">
        <v>263.33</v>
      </c>
      <c r="L1992" s="128">
        <v>986323.2</v>
      </c>
      <c r="M1992" s="128">
        <v>594072.5</v>
      </c>
      <c r="N1992" s="128">
        <v>392250.7</v>
      </c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</row>
    <row r="1993">
      <c r="A1993" s="125" t="s">
        <v>461</v>
      </c>
      <c r="B1993" s="125" t="s">
        <v>615</v>
      </c>
      <c r="C1993" s="125" t="s">
        <v>514</v>
      </c>
      <c r="D1993" s="125" t="s">
        <v>454</v>
      </c>
      <c r="E1993" s="125" t="s">
        <v>472</v>
      </c>
      <c r="F1993" s="126">
        <v>40607.0</v>
      </c>
      <c r="G1993" s="127">
        <v>1.58E8</v>
      </c>
      <c r="H1993" s="126">
        <v>40637.0</v>
      </c>
      <c r="I1993" s="128">
        <v>6432.0</v>
      </c>
      <c r="J1993" s="128">
        <v>668.27</v>
      </c>
      <c r="K1993" s="128">
        <v>502.54</v>
      </c>
      <c r="L1993" s="128">
        <v>4298313.0</v>
      </c>
      <c r="M1993" s="128">
        <v>3232337.0</v>
      </c>
      <c r="N1993" s="128">
        <v>1065975.0</v>
      </c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</row>
    <row r="1994">
      <c r="A1994" s="125" t="s">
        <v>466</v>
      </c>
      <c r="B1994" s="125" t="s">
        <v>625</v>
      </c>
      <c r="C1994" s="125" t="s">
        <v>506</v>
      </c>
      <c r="D1994" s="125" t="s">
        <v>457</v>
      </c>
      <c r="E1994" s="125" t="s">
        <v>189</v>
      </c>
      <c r="F1994" s="126">
        <v>41911.0</v>
      </c>
      <c r="G1994" s="127">
        <v>4.41E8</v>
      </c>
      <c r="H1994" s="126">
        <v>41960.0</v>
      </c>
      <c r="I1994" s="128">
        <v>1000.0</v>
      </c>
      <c r="J1994" s="128">
        <v>154.06</v>
      </c>
      <c r="K1994" s="128">
        <v>90.93</v>
      </c>
      <c r="L1994" s="128">
        <v>154060.0</v>
      </c>
      <c r="M1994" s="128">
        <v>90930.0</v>
      </c>
      <c r="N1994" s="128">
        <v>63130.0</v>
      </c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</row>
    <row r="1995">
      <c r="A1995" s="125" t="s">
        <v>475</v>
      </c>
      <c r="B1995" s="125" t="s">
        <v>521</v>
      </c>
      <c r="C1995" s="125" t="s">
        <v>468</v>
      </c>
      <c r="D1995" s="125" t="s">
        <v>457</v>
      </c>
      <c r="E1995" s="125" t="s">
        <v>472</v>
      </c>
      <c r="F1995" s="126">
        <v>41499.0</v>
      </c>
      <c r="G1995" s="127">
        <v>8.38E8</v>
      </c>
      <c r="H1995" s="126">
        <v>41507.0</v>
      </c>
      <c r="I1995" s="128">
        <v>4714.0</v>
      </c>
      <c r="J1995" s="128">
        <v>81.73</v>
      </c>
      <c r="K1995" s="128">
        <v>56.67</v>
      </c>
      <c r="L1995" s="128">
        <v>385275.2</v>
      </c>
      <c r="M1995" s="128">
        <v>267142.4</v>
      </c>
      <c r="N1995" s="128">
        <v>118132.8</v>
      </c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</row>
    <row r="1996">
      <c r="A1996" s="125" t="s">
        <v>466</v>
      </c>
      <c r="B1996" s="125" t="s">
        <v>524</v>
      </c>
      <c r="C1996" s="125" t="s">
        <v>514</v>
      </c>
      <c r="D1996" s="125" t="s">
        <v>457</v>
      </c>
      <c r="E1996" s="125" t="s">
        <v>189</v>
      </c>
      <c r="F1996" s="126">
        <v>41465.0</v>
      </c>
      <c r="G1996" s="127">
        <v>6.56E8</v>
      </c>
      <c r="H1996" s="126">
        <v>41515.0</v>
      </c>
      <c r="I1996" s="128">
        <v>8360.0</v>
      </c>
      <c r="J1996" s="128">
        <v>668.27</v>
      </c>
      <c r="K1996" s="128">
        <v>502.54</v>
      </c>
      <c r="L1996" s="128">
        <v>5586737.0</v>
      </c>
      <c r="M1996" s="128">
        <v>4201234.0</v>
      </c>
      <c r="N1996" s="128">
        <v>1385503.0</v>
      </c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</row>
    <row r="1997">
      <c r="A1997" s="125" t="s">
        <v>461</v>
      </c>
      <c r="B1997" s="125" t="s">
        <v>465</v>
      </c>
      <c r="C1997" s="125" t="s">
        <v>514</v>
      </c>
      <c r="D1997" s="125" t="s">
        <v>457</v>
      </c>
      <c r="E1997" s="125" t="s">
        <v>284</v>
      </c>
      <c r="F1997" s="126">
        <v>42905.0</v>
      </c>
      <c r="G1997" s="127">
        <v>1.74E8</v>
      </c>
      <c r="H1997" s="126">
        <v>42905.0</v>
      </c>
      <c r="I1997" s="128">
        <v>9756.0</v>
      </c>
      <c r="J1997" s="128">
        <v>668.27</v>
      </c>
      <c r="K1997" s="128">
        <v>502.54</v>
      </c>
      <c r="L1997" s="128">
        <v>6519642.0</v>
      </c>
      <c r="M1997" s="128">
        <v>4902780.0</v>
      </c>
      <c r="N1997" s="128">
        <v>1616862.0</v>
      </c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</row>
    <row r="1998">
      <c r="A1998" s="125" t="s">
        <v>458</v>
      </c>
      <c r="B1998" s="125" t="s">
        <v>554</v>
      </c>
      <c r="C1998" s="125" t="s">
        <v>471</v>
      </c>
      <c r="D1998" s="125" t="s">
        <v>457</v>
      </c>
      <c r="E1998" s="125" t="s">
        <v>464</v>
      </c>
      <c r="F1998" s="126">
        <v>41775.0</v>
      </c>
      <c r="G1998" s="127">
        <v>1.89E8</v>
      </c>
      <c r="H1998" s="126">
        <v>41779.0</v>
      </c>
      <c r="I1998" s="128">
        <v>8750.0</v>
      </c>
      <c r="J1998" s="128">
        <v>109.28</v>
      </c>
      <c r="K1998" s="128">
        <v>35.84</v>
      </c>
      <c r="L1998" s="128">
        <v>956200.0</v>
      </c>
      <c r="M1998" s="128">
        <v>313600.0</v>
      </c>
      <c r="N1998" s="128">
        <v>642600.0</v>
      </c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</row>
    <row r="1999">
      <c r="A1999" s="125" t="s">
        <v>469</v>
      </c>
      <c r="B1999" s="125" t="s">
        <v>589</v>
      </c>
      <c r="C1999" s="125" t="s">
        <v>460</v>
      </c>
      <c r="D1999" s="125" t="s">
        <v>457</v>
      </c>
      <c r="E1999" s="125" t="s">
        <v>464</v>
      </c>
      <c r="F1999" s="126">
        <v>41334.0</v>
      </c>
      <c r="G1999" s="127">
        <v>6.71E8</v>
      </c>
      <c r="H1999" s="126">
        <v>41375.0</v>
      </c>
      <c r="I1999" s="128">
        <v>2223.0</v>
      </c>
      <c r="J1999" s="128">
        <v>47.45</v>
      </c>
      <c r="K1999" s="128">
        <v>31.79</v>
      </c>
      <c r="L1999" s="128">
        <v>105481.4</v>
      </c>
      <c r="M1999" s="128">
        <v>70669.17</v>
      </c>
      <c r="N1999" s="128">
        <v>34812.18</v>
      </c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</row>
    <row r="2000">
      <c r="A2000" s="125" t="s">
        <v>475</v>
      </c>
      <c r="B2000" s="125" t="s">
        <v>526</v>
      </c>
      <c r="C2000" s="125" t="s">
        <v>463</v>
      </c>
      <c r="D2000" s="125" t="s">
        <v>457</v>
      </c>
      <c r="E2000" s="125" t="s">
        <v>189</v>
      </c>
      <c r="F2000" s="126">
        <v>42464.0</v>
      </c>
      <c r="G2000" s="127">
        <v>3.08E8</v>
      </c>
      <c r="H2000" s="126">
        <v>42466.0</v>
      </c>
      <c r="I2000" s="128">
        <v>9085.0</v>
      </c>
      <c r="J2000" s="128">
        <v>205.7</v>
      </c>
      <c r="K2000" s="128">
        <v>117.11</v>
      </c>
      <c r="L2000" s="128">
        <v>1868785.0</v>
      </c>
      <c r="M2000" s="128">
        <v>1063944.0</v>
      </c>
      <c r="N2000" s="128">
        <v>804840.2</v>
      </c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</row>
    <row r="2001">
      <c r="A2001" s="125" t="s">
        <v>461</v>
      </c>
      <c r="B2001" s="125" t="s">
        <v>510</v>
      </c>
      <c r="C2001" s="125" t="s">
        <v>463</v>
      </c>
      <c r="D2001" s="125" t="s">
        <v>454</v>
      </c>
      <c r="E2001" s="125" t="s">
        <v>284</v>
      </c>
      <c r="F2001" s="126">
        <v>42286.0</v>
      </c>
      <c r="G2001" s="127">
        <v>5.61E8</v>
      </c>
      <c r="H2001" s="126">
        <v>42308.0</v>
      </c>
      <c r="I2001" s="128">
        <v>5279.0</v>
      </c>
      <c r="J2001" s="128">
        <v>205.7</v>
      </c>
      <c r="K2001" s="128">
        <v>117.11</v>
      </c>
      <c r="L2001" s="128">
        <v>1085890.0</v>
      </c>
      <c r="M2001" s="128">
        <v>618223.7</v>
      </c>
      <c r="N2001" s="128">
        <v>467666.6</v>
      </c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</row>
    <row r="2002">
      <c r="A2002" s="125" t="s">
        <v>458</v>
      </c>
      <c r="B2002" s="125" t="s">
        <v>559</v>
      </c>
      <c r="C2002" s="125" t="s">
        <v>514</v>
      </c>
      <c r="D2002" s="125" t="s">
        <v>454</v>
      </c>
      <c r="E2002" s="125" t="s">
        <v>284</v>
      </c>
      <c r="F2002" s="126">
        <v>41078.0</v>
      </c>
      <c r="G2002" s="127">
        <v>7.09E8</v>
      </c>
      <c r="H2002" s="126">
        <v>41123.0</v>
      </c>
      <c r="I2002" s="128">
        <v>8778.0</v>
      </c>
      <c r="J2002" s="128">
        <v>668.27</v>
      </c>
      <c r="K2002" s="128">
        <v>502.54</v>
      </c>
      <c r="L2002" s="128">
        <v>5866074.0</v>
      </c>
      <c r="M2002" s="128">
        <v>4411296.0</v>
      </c>
      <c r="N2002" s="128">
        <v>1454778.0</v>
      </c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</row>
    <row r="2003">
      <c r="A2003" s="125" t="s">
        <v>475</v>
      </c>
      <c r="B2003" s="125" t="s">
        <v>601</v>
      </c>
      <c r="C2003" s="125" t="s">
        <v>514</v>
      </c>
      <c r="D2003" s="125" t="s">
        <v>454</v>
      </c>
      <c r="E2003" s="125" t="s">
        <v>189</v>
      </c>
      <c r="F2003" s="126">
        <v>40889.0</v>
      </c>
      <c r="G2003" s="127">
        <v>1.02E8</v>
      </c>
      <c r="H2003" s="126">
        <v>40891.0</v>
      </c>
      <c r="I2003" s="128">
        <v>4588.0</v>
      </c>
      <c r="J2003" s="128">
        <v>668.27</v>
      </c>
      <c r="K2003" s="128">
        <v>502.54</v>
      </c>
      <c r="L2003" s="128">
        <v>3066023.0</v>
      </c>
      <c r="M2003" s="128">
        <v>2305654.0</v>
      </c>
      <c r="N2003" s="128">
        <v>760369.2</v>
      </c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</row>
    <row r="2004">
      <c r="A2004" s="125" t="s">
        <v>466</v>
      </c>
      <c r="B2004" s="125" t="s">
        <v>508</v>
      </c>
      <c r="C2004" s="125" t="s">
        <v>468</v>
      </c>
      <c r="D2004" s="125" t="s">
        <v>454</v>
      </c>
      <c r="E2004" s="125" t="s">
        <v>189</v>
      </c>
      <c r="F2004" s="126">
        <v>41389.0</v>
      </c>
      <c r="G2004" s="127">
        <v>4.1E8</v>
      </c>
      <c r="H2004" s="126">
        <v>41433.0</v>
      </c>
      <c r="I2004" s="128">
        <v>9744.0</v>
      </c>
      <c r="J2004" s="128">
        <v>81.73</v>
      </c>
      <c r="K2004" s="128">
        <v>56.67</v>
      </c>
      <c r="L2004" s="128">
        <v>796377.1</v>
      </c>
      <c r="M2004" s="128">
        <v>552192.5</v>
      </c>
      <c r="N2004" s="128">
        <v>244184.6</v>
      </c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</row>
    <row r="2005">
      <c r="A2005" s="125" t="s">
        <v>458</v>
      </c>
      <c r="B2005" s="125" t="s">
        <v>642</v>
      </c>
      <c r="C2005" s="125" t="s">
        <v>463</v>
      </c>
      <c r="D2005" s="125" t="s">
        <v>454</v>
      </c>
      <c r="E2005" s="125" t="s">
        <v>464</v>
      </c>
      <c r="F2005" s="126">
        <v>41258.0</v>
      </c>
      <c r="G2005" s="127">
        <v>6.74E8</v>
      </c>
      <c r="H2005" s="126">
        <v>41260.0</v>
      </c>
      <c r="I2005" s="128">
        <v>8315.0</v>
      </c>
      <c r="J2005" s="128">
        <v>205.7</v>
      </c>
      <c r="K2005" s="128">
        <v>117.11</v>
      </c>
      <c r="L2005" s="128">
        <v>1710396.0</v>
      </c>
      <c r="M2005" s="128">
        <v>973769.7</v>
      </c>
      <c r="N2005" s="128">
        <v>736625.9</v>
      </c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</row>
    <row r="2006">
      <c r="A2006" s="125" t="s">
        <v>466</v>
      </c>
      <c r="B2006" s="125" t="s">
        <v>474</v>
      </c>
      <c r="C2006" s="125" t="s">
        <v>478</v>
      </c>
      <c r="D2006" s="125" t="s">
        <v>457</v>
      </c>
      <c r="E2006" s="125" t="s">
        <v>284</v>
      </c>
      <c r="F2006" s="126">
        <v>42327.0</v>
      </c>
      <c r="G2006" s="127">
        <v>4.55E8</v>
      </c>
      <c r="H2006" s="126">
        <v>42353.0</v>
      </c>
      <c r="I2006" s="128">
        <v>6397.0</v>
      </c>
      <c r="J2006" s="128">
        <v>651.21</v>
      </c>
      <c r="K2006" s="128">
        <v>524.96</v>
      </c>
      <c r="L2006" s="128">
        <v>4165790.0</v>
      </c>
      <c r="M2006" s="128">
        <v>3358169.0</v>
      </c>
      <c r="N2006" s="128">
        <v>807621.3</v>
      </c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</row>
    <row r="2007">
      <c r="A2007" s="125" t="s">
        <v>458</v>
      </c>
      <c r="B2007" s="125" t="s">
        <v>518</v>
      </c>
      <c r="C2007" s="125" t="s">
        <v>480</v>
      </c>
      <c r="D2007" s="125" t="s">
        <v>457</v>
      </c>
      <c r="E2007" s="125" t="s">
        <v>284</v>
      </c>
      <c r="F2007" s="126">
        <v>42670.0</v>
      </c>
      <c r="G2007" s="127">
        <v>2.85E8</v>
      </c>
      <c r="H2007" s="126">
        <v>42672.0</v>
      </c>
      <c r="I2007" s="128">
        <v>7122.0</v>
      </c>
      <c r="J2007" s="128">
        <v>437.2</v>
      </c>
      <c r="K2007" s="128">
        <v>263.33</v>
      </c>
      <c r="L2007" s="128">
        <v>3113738.0</v>
      </c>
      <c r="M2007" s="128">
        <v>1875436.0</v>
      </c>
      <c r="N2007" s="128">
        <v>1238302.0</v>
      </c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</row>
    <row r="2008">
      <c r="A2008" s="125" t="s">
        <v>475</v>
      </c>
      <c r="B2008" s="125" t="s">
        <v>526</v>
      </c>
      <c r="C2008" s="125" t="s">
        <v>485</v>
      </c>
      <c r="D2008" s="125" t="s">
        <v>454</v>
      </c>
      <c r="E2008" s="125" t="s">
        <v>284</v>
      </c>
      <c r="F2008" s="126">
        <v>40748.0</v>
      </c>
      <c r="G2008" s="127">
        <v>3.14E8</v>
      </c>
      <c r="H2008" s="126">
        <v>40778.0</v>
      </c>
      <c r="I2008" s="128">
        <v>5650.0</v>
      </c>
      <c r="J2008" s="128">
        <v>421.89</v>
      </c>
      <c r="K2008" s="128">
        <v>364.69</v>
      </c>
      <c r="L2008" s="128">
        <v>2383679.0</v>
      </c>
      <c r="M2008" s="128">
        <v>2060499.0</v>
      </c>
      <c r="N2008" s="128">
        <v>323180.0</v>
      </c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</row>
    <row r="2009">
      <c r="A2009" s="125" t="s">
        <v>466</v>
      </c>
      <c r="B2009" s="125" t="s">
        <v>580</v>
      </c>
      <c r="C2009" s="125" t="s">
        <v>471</v>
      </c>
      <c r="D2009" s="125" t="s">
        <v>454</v>
      </c>
      <c r="E2009" s="125" t="s">
        <v>464</v>
      </c>
      <c r="F2009" s="126">
        <v>42326.0</v>
      </c>
      <c r="G2009" s="127">
        <v>7.65E8</v>
      </c>
      <c r="H2009" s="126">
        <v>42374.0</v>
      </c>
      <c r="I2009" s="128">
        <v>4175.0</v>
      </c>
      <c r="J2009" s="128">
        <v>109.28</v>
      </c>
      <c r="K2009" s="128">
        <v>35.84</v>
      </c>
      <c r="L2009" s="128">
        <v>456244.0</v>
      </c>
      <c r="M2009" s="128">
        <v>149632.0</v>
      </c>
      <c r="N2009" s="128">
        <v>306612.0</v>
      </c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</row>
    <row r="2010">
      <c r="A2010" s="125" t="s">
        <v>458</v>
      </c>
      <c r="B2010" s="125" t="s">
        <v>627</v>
      </c>
      <c r="C2010" s="125" t="s">
        <v>453</v>
      </c>
      <c r="D2010" s="125" t="s">
        <v>457</v>
      </c>
      <c r="E2010" s="125" t="s">
        <v>284</v>
      </c>
      <c r="F2010" s="126">
        <v>42496.0</v>
      </c>
      <c r="G2010" s="127">
        <v>5.8E8</v>
      </c>
      <c r="H2010" s="126">
        <v>42502.0</v>
      </c>
      <c r="I2010" s="128">
        <v>6918.0</v>
      </c>
      <c r="J2010" s="128">
        <v>255.28</v>
      </c>
      <c r="K2010" s="128">
        <v>159.42</v>
      </c>
      <c r="L2010" s="128">
        <v>1766027.0</v>
      </c>
      <c r="M2010" s="128">
        <v>1102868.0</v>
      </c>
      <c r="N2010" s="128">
        <v>663159.5</v>
      </c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</row>
    <row r="2011">
      <c r="A2011" s="125" t="s">
        <v>451</v>
      </c>
      <c r="B2011" s="125" t="s">
        <v>609</v>
      </c>
      <c r="C2011" s="125" t="s">
        <v>485</v>
      </c>
      <c r="D2011" s="125" t="s">
        <v>457</v>
      </c>
      <c r="E2011" s="125" t="s">
        <v>284</v>
      </c>
      <c r="F2011" s="126">
        <v>40886.0</v>
      </c>
      <c r="G2011" s="127">
        <v>5.72E8</v>
      </c>
      <c r="H2011" s="126">
        <v>40933.0</v>
      </c>
      <c r="I2011" s="128">
        <v>5137.0</v>
      </c>
      <c r="J2011" s="128">
        <v>421.89</v>
      </c>
      <c r="K2011" s="128">
        <v>364.69</v>
      </c>
      <c r="L2011" s="128">
        <v>2167249.0</v>
      </c>
      <c r="M2011" s="128">
        <v>1873413.0</v>
      </c>
      <c r="N2011" s="128">
        <v>293836.4</v>
      </c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</row>
    <row r="2012">
      <c r="A2012" s="125" t="s">
        <v>461</v>
      </c>
      <c r="B2012" s="125" t="s">
        <v>462</v>
      </c>
      <c r="C2012" s="125" t="s">
        <v>460</v>
      </c>
      <c r="D2012" s="125" t="s">
        <v>454</v>
      </c>
      <c r="E2012" s="125" t="s">
        <v>284</v>
      </c>
      <c r="F2012" s="126">
        <v>40279.0</v>
      </c>
      <c r="G2012" s="127">
        <v>2.73E8</v>
      </c>
      <c r="H2012" s="126">
        <v>40299.0</v>
      </c>
      <c r="I2012" s="128">
        <v>2115.0</v>
      </c>
      <c r="J2012" s="128">
        <v>47.45</v>
      </c>
      <c r="K2012" s="128">
        <v>31.79</v>
      </c>
      <c r="L2012" s="128">
        <v>100356.8</v>
      </c>
      <c r="M2012" s="128">
        <v>67235.85</v>
      </c>
      <c r="N2012" s="128">
        <v>33120.9</v>
      </c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</row>
    <row r="2013">
      <c r="A2013" s="125" t="s">
        <v>466</v>
      </c>
      <c r="B2013" s="125" t="s">
        <v>535</v>
      </c>
      <c r="C2013" s="125" t="s">
        <v>485</v>
      </c>
      <c r="D2013" s="125" t="s">
        <v>457</v>
      </c>
      <c r="E2013" s="125" t="s">
        <v>472</v>
      </c>
      <c r="F2013" s="126">
        <v>42466.0</v>
      </c>
      <c r="G2013" s="127">
        <v>1.87E8</v>
      </c>
      <c r="H2013" s="126">
        <v>42484.0</v>
      </c>
      <c r="I2013" s="128">
        <v>8172.0</v>
      </c>
      <c r="J2013" s="128">
        <v>421.89</v>
      </c>
      <c r="K2013" s="128">
        <v>364.69</v>
      </c>
      <c r="L2013" s="128">
        <v>3447685.0</v>
      </c>
      <c r="M2013" s="128">
        <v>2980247.0</v>
      </c>
      <c r="N2013" s="128">
        <v>467438.4</v>
      </c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</row>
    <row r="2014">
      <c r="A2014" s="125" t="s">
        <v>458</v>
      </c>
      <c r="B2014" s="125" t="s">
        <v>505</v>
      </c>
      <c r="C2014" s="125" t="s">
        <v>456</v>
      </c>
      <c r="D2014" s="125" t="s">
        <v>454</v>
      </c>
      <c r="E2014" s="125" t="s">
        <v>464</v>
      </c>
      <c r="F2014" s="126">
        <v>41326.0</v>
      </c>
      <c r="G2014" s="127">
        <v>4.38E8</v>
      </c>
      <c r="H2014" s="126">
        <v>41371.0</v>
      </c>
      <c r="I2014" s="128">
        <v>5655.0</v>
      </c>
      <c r="J2014" s="128">
        <v>152.58</v>
      </c>
      <c r="K2014" s="128">
        <v>97.44</v>
      </c>
      <c r="L2014" s="128">
        <v>862839.9</v>
      </c>
      <c r="M2014" s="128">
        <v>551023.2</v>
      </c>
      <c r="N2014" s="128">
        <v>311816.7</v>
      </c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</row>
    <row r="2015">
      <c r="A2015" s="125" t="s">
        <v>488</v>
      </c>
      <c r="B2015" s="125" t="s">
        <v>577</v>
      </c>
      <c r="C2015" s="125" t="s">
        <v>460</v>
      </c>
      <c r="D2015" s="125" t="s">
        <v>457</v>
      </c>
      <c r="E2015" s="125" t="s">
        <v>189</v>
      </c>
      <c r="F2015" s="126">
        <v>40810.0</v>
      </c>
      <c r="G2015" s="127">
        <v>3.18E8</v>
      </c>
      <c r="H2015" s="126">
        <v>40854.0</v>
      </c>
      <c r="I2015" s="128">
        <v>3945.0</v>
      </c>
      <c r="J2015" s="128">
        <v>47.45</v>
      </c>
      <c r="K2015" s="128">
        <v>31.79</v>
      </c>
      <c r="L2015" s="128">
        <v>187190.3</v>
      </c>
      <c r="M2015" s="128">
        <v>125411.6</v>
      </c>
      <c r="N2015" s="128">
        <v>61778.7</v>
      </c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</row>
    <row r="2016">
      <c r="A2016" s="125" t="s">
        <v>466</v>
      </c>
      <c r="B2016" s="125" t="s">
        <v>612</v>
      </c>
      <c r="C2016" s="125" t="s">
        <v>480</v>
      </c>
      <c r="D2016" s="125" t="s">
        <v>457</v>
      </c>
      <c r="E2016" s="125" t="s">
        <v>472</v>
      </c>
      <c r="F2016" s="126">
        <v>42491.0</v>
      </c>
      <c r="G2016" s="127">
        <v>5.42E8</v>
      </c>
      <c r="H2016" s="126">
        <v>42511.0</v>
      </c>
      <c r="I2016" s="128">
        <v>4452.0</v>
      </c>
      <c r="J2016" s="128">
        <v>437.2</v>
      </c>
      <c r="K2016" s="128">
        <v>263.33</v>
      </c>
      <c r="L2016" s="128">
        <v>1946414.0</v>
      </c>
      <c r="M2016" s="128">
        <v>1172345.0</v>
      </c>
      <c r="N2016" s="128">
        <v>774069.2</v>
      </c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</row>
    <row r="2017">
      <c r="A2017" s="125" t="s">
        <v>451</v>
      </c>
      <c r="B2017" s="125" t="s">
        <v>483</v>
      </c>
      <c r="C2017" s="125" t="s">
        <v>478</v>
      </c>
      <c r="D2017" s="125" t="s">
        <v>454</v>
      </c>
      <c r="E2017" s="125" t="s">
        <v>189</v>
      </c>
      <c r="F2017" s="126">
        <v>41418.0</v>
      </c>
      <c r="G2017" s="127">
        <v>9.94E8</v>
      </c>
      <c r="H2017" s="126">
        <v>41437.0</v>
      </c>
      <c r="I2017" s="128">
        <v>5619.0</v>
      </c>
      <c r="J2017" s="128">
        <v>651.21</v>
      </c>
      <c r="K2017" s="128">
        <v>524.96</v>
      </c>
      <c r="L2017" s="128">
        <v>3659149.0</v>
      </c>
      <c r="M2017" s="128">
        <v>2949750.0</v>
      </c>
      <c r="N2017" s="128">
        <v>709398.8</v>
      </c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</row>
    <row r="2018">
      <c r="A2018" s="125" t="s">
        <v>475</v>
      </c>
      <c r="B2018" s="125" t="s">
        <v>507</v>
      </c>
      <c r="C2018" s="125" t="s">
        <v>463</v>
      </c>
      <c r="D2018" s="125" t="s">
        <v>454</v>
      </c>
      <c r="E2018" s="125" t="s">
        <v>464</v>
      </c>
      <c r="F2018" s="126">
        <v>41323.0</v>
      </c>
      <c r="G2018" s="127">
        <v>2.8E8</v>
      </c>
      <c r="H2018" s="126">
        <v>41371.0</v>
      </c>
      <c r="I2018" s="128">
        <v>7920.0</v>
      </c>
      <c r="J2018" s="128">
        <v>205.7</v>
      </c>
      <c r="K2018" s="128">
        <v>117.11</v>
      </c>
      <c r="L2018" s="128">
        <v>1629144.0</v>
      </c>
      <c r="M2018" s="128">
        <v>927511.2</v>
      </c>
      <c r="N2018" s="128">
        <v>701632.8</v>
      </c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</row>
    <row r="2019">
      <c r="A2019" s="125" t="s">
        <v>475</v>
      </c>
      <c r="B2019" s="125" t="s">
        <v>507</v>
      </c>
      <c r="C2019" s="125" t="s">
        <v>514</v>
      </c>
      <c r="D2019" s="125" t="s">
        <v>454</v>
      </c>
      <c r="E2019" s="125" t="s">
        <v>189</v>
      </c>
      <c r="F2019" s="126">
        <v>42182.0</v>
      </c>
      <c r="G2019" s="127">
        <v>6.74E8</v>
      </c>
      <c r="H2019" s="126">
        <v>42183.0</v>
      </c>
      <c r="I2019" s="128">
        <v>8859.0</v>
      </c>
      <c r="J2019" s="128">
        <v>668.27</v>
      </c>
      <c r="K2019" s="128">
        <v>502.54</v>
      </c>
      <c r="L2019" s="128">
        <v>5920204.0</v>
      </c>
      <c r="M2019" s="128">
        <v>4452002.0</v>
      </c>
      <c r="N2019" s="128">
        <v>1468202.0</v>
      </c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</row>
    <row r="2020">
      <c r="A2020" s="125" t="s">
        <v>475</v>
      </c>
      <c r="B2020" s="125" t="s">
        <v>565</v>
      </c>
      <c r="C2020" s="125" t="s">
        <v>478</v>
      </c>
      <c r="D2020" s="125" t="s">
        <v>454</v>
      </c>
      <c r="E2020" s="125" t="s">
        <v>284</v>
      </c>
      <c r="F2020" s="126">
        <v>41592.0</v>
      </c>
      <c r="G2020" s="127">
        <v>4.72E8</v>
      </c>
      <c r="H2020" s="126">
        <v>41632.0</v>
      </c>
      <c r="I2020" s="128">
        <v>7973.0</v>
      </c>
      <c r="J2020" s="128">
        <v>651.21</v>
      </c>
      <c r="K2020" s="128">
        <v>524.96</v>
      </c>
      <c r="L2020" s="128">
        <v>5192097.0</v>
      </c>
      <c r="M2020" s="128">
        <v>4185506.0</v>
      </c>
      <c r="N2020" s="128">
        <v>1006591.0</v>
      </c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</row>
    <row r="2021">
      <c r="A2021" s="125" t="s">
        <v>461</v>
      </c>
      <c r="B2021" s="125" t="s">
        <v>615</v>
      </c>
      <c r="C2021" s="125" t="s">
        <v>456</v>
      </c>
      <c r="D2021" s="125" t="s">
        <v>454</v>
      </c>
      <c r="E2021" s="125" t="s">
        <v>472</v>
      </c>
      <c r="F2021" s="126">
        <v>41688.0</v>
      </c>
      <c r="G2021" s="127">
        <v>7.39E8</v>
      </c>
      <c r="H2021" s="126">
        <v>41698.0</v>
      </c>
      <c r="I2021" s="128">
        <v>1828.0</v>
      </c>
      <c r="J2021" s="128">
        <v>152.58</v>
      </c>
      <c r="K2021" s="128">
        <v>97.44</v>
      </c>
      <c r="L2021" s="128">
        <v>278916.2</v>
      </c>
      <c r="M2021" s="128">
        <v>178120.3</v>
      </c>
      <c r="N2021" s="128">
        <v>100795.9</v>
      </c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</row>
    <row r="2022">
      <c r="A2022" s="125" t="s">
        <v>488</v>
      </c>
      <c r="B2022" s="125" t="s">
        <v>645</v>
      </c>
      <c r="C2022" s="125" t="s">
        <v>460</v>
      </c>
      <c r="D2022" s="125" t="s">
        <v>454</v>
      </c>
      <c r="E2022" s="125" t="s">
        <v>189</v>
      </c>
      <c r="F2022" s="126">
        <v>42229.0</v>
      </c>
      <c r="G2022" s="127">
        <v>3.61E8</v>
      </c>
      <c r="H2022" s="126">
        <v>42252.0</v>
      </c>
      <c r="I2022" s="128">
        <v>9025.0</v>
      </c>
      <c r="J2022" s="128">
        <v>47.45</v>
      </c>
      <c r="K2022" s="128">
        <v>31.79</v>
      </c>
      <c r="L2022" s="128">
        <v>428236.3</v>
      </c>
      <c r="M2022" s="128">
        <v>286904.8</v>
      </c>
      <c r="N2022" s="128">
        <v>141331.5</v>
      </c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</row>
    <row r="2023">
      <c r="A2023" s="125" t="s">
        <v>458</v>
      </c>
      <c r="B2023" s="125" t="s">
        <v>616</v>
      </c>
      <c r="C2023" s="125" t="s">
        <v>460</v>
      </c>
      <c r="D2023" s="125" t="s">
        <v>457</v>
      </c>
      <c r="E2023" s="125" t="s">
        <v>472</v>
      </c>
      <c r="F2023" s="126">
        <v>41978.0</v>
      </c>
      <c r="G2023" s="127">
        <v>9.95E8</v>
      </c>
      <c r="H2023" s="126">
        <v>42006.0</v>
      </c>
      <c r="I2023" s="128">
        <v>5192.0</v>
      </c>
      <c r="J2023" s="128">
        <v>47.45</v>
      </c>
      <c r="K2023" s="128">
        <v>31.79</v>
      </c>
      <c r="L2023" s="128">
        <v>246360.4</v>
      </c>
      <c r="M2023" s="128">
        <v>165053.7</v>
      </c>
      <c r="N2023" s="128">
        <v>81306.72</v>
      </c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</row>
    <row r="2024">
      <c r="A2024" s="125" t="s">
        <v>458</v>
      </c>
      <c r="B2024" s="125" t="s">
        <v>614</v>
      </c>
      <c r="C2024" s="125" t="s">
        <v>460</v>
      </c>
      <c r="D2024" s="125" t="s">
        <v>457</v>
      </c>
      <c r="E2024" s="125" t="s">
        <v>472</v>
      </c>
      <c r="F2024" s="126">
        <v>42855.0</v>
      </c>
      <c r="G2024" s="127">
        <v>3.17E8</v>
      </c>
      <c r="H2024" s="126">
        <v>42891.0</v>
      </c>
      <c r="I2024" s="128">
        <v>7990.0</v>
      </c>
      <c r="J2024" s="128">
        <v>47.45</v>
      </c>
      <c r="K2024" s="128">
        <v>31.79</v>
      </c>
      <c r="L2024" s="128">
        <v>379125.5</v>
      </c>
      <c r="M2024" s="128">
        <v>254002.1</v>
      </c>
      <c r="N2024" s="128">
        <v>125123.4</v>
      </c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</row>
    <row r="2025">
      <c r="A2025" s="125" t="s">
        <v>475</v>
      </c>
      <c r="B2025" s="125" t="s">
        <v>558</v>
      </c>
      <c r="C2025" s="125" t="s">
        <v>456</v>
      </c>
      <c r="D2025" s="125" t="s">
        <v>454</v>
      </c>
      <c r="E2025" s="125" t="s">
        <v>189</v>
      </c>
      <c r="F2025" s="126">
        <v>40253.0</v>
      </c>
      <c r="G2025" s="127">
        <v>5.74E8</v>
      </c>
      <c r="H2025" s="126">
        <v>40302.0</v>
      </c>
      <c r="I2025" s="128">
        <v>2112.0</v>
      </c>
      <c r="J2025" s="128">
        <v>152.58</v>
      </c>
      <c r="K2025" s="128">
        <v>97.44</v>
      </c>
      <c r="L2025" s="128">
        <v>322249.0</v>
      </c>
      <c r="M2025" s="128">
        <v>205793.3</v>
      </c>
      <c r="N2025" s="128">
        <v>116455.7</v>
      </c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</row>
    <row r="2026">
      <c r="A2026" s="125" t="s">
        <v>458</v>
      </c>
      <c r="B2026" s="125" t="s">
        <v>498</v>
      </c>
      <c r="C2026" s="125" t="s">
        <v>468</v>
      </c>
      <c r="D2026" s="125" t="s">
        <v>454</v>
      </c>
      <c r="E2026" s="125" t="s">
        <v>472</v>
      </c>
      <c r="F2026" s="126">
        <v>41018.0</v>
      </c>
      <c r="G2026" s="127">
        <v>9.34E8</v>
      </c>
      <c r="H2026" s="126">
        <v>41048.0</v>
      </c>
      <c r="I2026" s="128">
        <v>4282.0</v>
      </c>
      <c r="J2026" s="128">
        <v>81.73</v>
      </c>
      <c r="K2026" s="128">
        <v>56.67</v>
      </c>
      <c r="L2026" s="128">
        <v>349967.9</v>
      </c>
      <c r="M2026" s="128">
        <v>242660.9</v>
      </c>
      <c r="N2026" s="128">
        <v>107306.9</v>
      </c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</row>
    <row r="2027">
      <c r="A2027" s="125" t="s">
        <v>461</v>
      </c>
      <c r="B2027" s="125" t="s">
        <v>557</v>
      </c>
      <c r="C2027" s="125" t="s">
        <v>453</v>
      </c>
      <c r="D2027" s="125" t="s">
        <v>454</v>
      </c>
      <c r="E2027" s="125" t="s">
        <v>189</v>
      </c>
      <c r="F2027" s="126">
        <v>42704.0</v>
      </c>
      <c r="G2027" s="127">
        <v>6.33E8</v>
      </c>
      <c r="H2027" s="126">
        <v>42735.0</v>
      </c>
      <c r="I2027" s="128">
        <v>8255.0</v>
      </c>
      <c r="J2027" s="128">
        <v>255.28</v>
      </c>
      <c r="K2027" s="128">
        <v>159.42</v>
      </c>
      <c r="L2027" s="128">
        <v>2107336.0</v>
      </c>
      <c r="M2027" s="128">
        <v>1316012.0</v>
      </c>
      <c r="N2027" s="128">
        <v>791324.3</v>
      </c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</row>
    <row r="2028">
      <c r="A2028" s="125" t="s">
        <v>461</v>
      </c>
      <c r="B2028" s="125" t="s">
        <v>511</v>
      </c>
      <c r="C2028" s="125" t="s">
        <v>456</v>
      </c>
      <c r="D2028" s="125" t="s">
        <v>454</v>
      </c>
      <c r="E2028" s="125" t="s">
        <v>284</v>
      </c>
      <c r="F2028" s="126">
        <v>40488.0</v>
      </c>
      <c r="G2028" s="127">
        <v>3.3E8</v>
      </c>
      <c r="H2028" s="126">
        <v>40505.0</v>
      </c>
      <c r="I2028" s="128">
        <v>9816.0</v>
      </c>
      <c r="J2028" s="128">
        <v>152.58</v>
      </c>
      <c r="K2028" s="128">
        <v>97.44</v>
      </c>
      <c r="L2028" s="128">
        <v>1497725.0</v>
      </c>
      <c r="M2028" s="128">
        <v>956471.0</v>
      </c>
      <c r="N2028" s="128">
        <v>541254.2</v>
      </c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</row>
    <row r="2029">
      <c r="A2029" s="125" t="s">
        <v>461</v>
      </c>
      <c r="B2029" s="125" t="s">
        <v>511</v>
      </c>
      <c r="C2029" s="125" t="s">
        <v>471</v>
      </c>
      <c r="D2029" s="125" t="s">
        <v>454</v>
      </c>
      <c r="E2029" s="125" t="s">
        <v>189</v>
      </c>
      <c r="F2029" s="126">
        <v>42383.0</v>
      </c>
      <c r="G2029" s="127">
        <v>7.53E8</v>
      </c>
      <c r="H2029" s="126">
        <v>42426.0</v>
      </c>
      <c r="I2029" s="128">
        <v>1784.0</v>
      </c>
      <c r="J2029" s="128">
        <v>109.28</v>
      </c>
      <c r="K2029" s="128">
        <v>35.84</v>
      </c>
      <c r="L2029" s="128">
        <v>194955.5</v>
      </c>
      <c r="M2029" s="128">
        <v>63938.56</v>
      </c>
      <c r="N2029" s="128">
        <v>131017.0</v>
      </c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</row>
    <row r="2030">
      <c r="A2030" s="125" t="s">
        <v>475</v>
      </c>
      <c r="B2030" s="125" t="s">
        <v>640</v>
      </c>
      <c r="C2030" s="125" t="s">
        <v>494</v>
      </c>
      <c r="D2030" s="125" t="s">
        <v>457</v>
      </c>
      <c r="E2030" s="125" t="s">
        <v>284</v>
      </c>
      <c r="F2030" s="126">
        <v>40196.0</v>
      </c>
      <c r="G2030" s="127">
        <v>4.51E8</v>
      </c>
      <c r="H2030" s="126">
        <v>40220.0</v>
      </c>
      <c r="I2030" s="128">
        <v>9006.0</v>
      </c>
      <c r="J2030" s="128">
        <v>9.33</v>
      </c>
      <c r="K2030" s="128">
        <v>6.92</v>
      </c>
      <c r="L2030" s="128">
        <v>84025.98</v>
      </c>
      <c r="M2030" s="128">
        <v>62321.52</v>
      </c>
      <c r="N2030" s="128">
        <v>21704.46</v>
      </c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</row>
    <row r="2031">
      <c r="A2031" s="125" t="s">
        <v>466</v>
      </c>
      <c r="B2031" s="125" t="s">
        <v>508</v>
      </c>
      <c r="C2031" s="125" t="s">
        <v>463</v>
      </c>
      <c r="D2031" s="125" t="s">
        <v>457</v>
      </c>
      <c r="E2031" s="125" t="s">
        <v>189</v>
      </c>
      <c r="F2031" s="126">
        <v>41334.0</v>
      </c>
      <c r="G2031" s="127">
        <v>7.42E8</v>
      </c>
      <c r="H2031" s="126">
        <v>41351.0</v>
      </c>
      <c r="I2031" s="128">
        <v>3362.0</v>
      </c>
      <c r="J2031" s="128">
        <v>205.7</v>
      </c>
      <c r="K2031" s="128">
        <v>117.11</v>
      </c>
      <c r="L2031" s="128">
        <v>691563.4</v>
      </c>
      <c r="M2031" s="128">
        <v>393723.8</v>
      </c>
      <c r="N2031" s="128">
        <v>297839.6</v>
      </c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</row>
    <row r="2032">
      <c r="A2032" s="125" t="s">
        <v>458</v>
      </c>
      <c r="B2032" s="125" t="s">
        <v>616</v>
      </c>
      <c r="C2032" s="125" t="s">
        <v>478</v>
      </c>
      <c r="D2032" s="125" t="s">
        <v>457</v>
      </c>
      <c r="E2032" s="125" t="s">
        <v>189</v>
      </c>
      <c r="F2032" s="126">
        <v>42530.0</v>
      </c>
      <c r="G2032" s="127">
        <v>7.65E8</v>
      </c>
      <c r="H2032" s="126">
        <v>42570.0</v>
      </c>
      <c r="I2032" s="128">
        <v>8764.0</v>
      </c>
      <c r="J2032" s="128">
        <v>651.21</v>
      </c>
      <c r="K2032" s="128">
        <v>524.96</v>
      </c>
      <c r="L2032" s="128">
        <v>5707204.0</v>
      </c>
      <c r="M2032" s="128">
        <v>4600749.0</v>
      </c>
      <c r="N2032" s="128">
        <v>1106455.0</v>
      </c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</row>
    <row r="2033">
      <c r="A2033" s="125" t="s">
        <v>451</v>
      </c>
      <c r="B2033" s="125" t="s">
        <v>452</v>
      </c>
      <c r="C2033" s="125" t="s">
        <v>471</v>
      </c>
      <c r="D2033" s="125" t="s">
        <v>457</v>
      </c>
      <c r="E2033" s="125" t="s">
        <v>472</v>
      </c>
      <c r="F2033" s="126">
        <v>42289.0</v>
      </c>
      <c r="G2033" s="127">
        <v>6.29E8</v>
      </c>
      <c r="H2033" s="126">
        <v>42339.0</v>
      </c>
      <c r="I2033" s="128">
        <v>6154.0</v>
      </c>
      <c r="J2033" s="128">
        <v>109.28</v>
      </c>
      <c r="K2033" s="128">
        <v>35.84</v>
      </c>
      <c r="L2033" s="128">
        <v>672509.1</v>
      </c>
      <c r="M2033" s="128">
        <v>220559.4</v>
      </c>
      <c r="N2033" s="128">
        <v>451949.8</v>
      </c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</row>
    <row r="2034">
      <c r="A2034" s="125" t="s">
        <v>469</v>
      </c>
      <c r="B2034" s="125" t="s">
        <v>470</v>
      </c>
      <c r="C2034" s="125" t="s">
        <v>494</v>
      </c>
      <c r="D2034" s="125" t="s">
        <v>457</v>
      </c>
      <c r="E2034" s="125" t="s">
        <v>284</v>
      </c>
      <c r="F2034" s="126">
        <v>42270.0</v>
      </c>
      <c r="G2034" s="127">
        <v>9.66E8</v>
      </c>
      <c r="H2034" s="126">
        <v>42285.0</v>
      </c>
      <c r="I2034" s="128">
        <v>8506.0</v>
      </c>
      <c r="J2034" s="128">
        <v>9.33</v>
      </c>
      <c r="K2034" s="128">
        <v>6.92</v>
      </c>
      <c r="L2034" s="128">
        <v>79360.98</v>
      </c>
      <c r="M2034" s="128">
        <v>58861.52</v>
      </c>
      <c r="N2034" s="128">
        <v>20499.46</v>
      </c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</row>
    <row r="2035">
      <c r="A2035" s="125" t="s">
        <v>466</v>
      </c>
      <c r="B2035" s="125" t="s">
        <v>607</v>
      </c>
      <c r="C2035" s="125" t="s">
        <v>506</v>
      </c>
      <c r="D2035" s="125" t="s">
        <v>454</v>
      </c>
      <c r="E2035" s="125" t="s">
        <v>472</v>
      </c>
      <c r="F2035" s="126">
        <v>40375.0</v>
      </c>
      <c r="G2035" s="127">
        <v>6.74E8</v>
      </c>
      <c r="H2035" s="126">
        <v>40421.0</v>
      </c>
      <c r="I2035" s="128">
        <v>5825.0</v>
      </c>
      <c r="J2035" s="128">
        <v>154.06</v>
      </c>
      <c r="K2035" s="128">
        <v>90.93</v>
      </c>
      <c r="L2035" s="128">
        <v>897399.5</v>
      </c>
      <c r="M2035" s="128">
        <v>529667.3</v>
      </c>
      <c r="N2035" s="128">
        <v>367732.3</v>
      </c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</row>
    <row r="2036">
      <c r="A2036" s="125" t="s">
        <v>475</v>
      </c>
      <c r="B2036" s="125" t="s">
        <v>566</v>
      </c>
      <c r="C2036" s="125" t="s">
        <v>456</v>
      </c>
      <c r="D2036" s="125" t="s">
        <v>457</v>
      </c>
      <c r="E2036" s="125" t="s">
        <v>472</v>
      </c>
      <c r="F2036" s="126">
        <v>40423.0</v>
      </c>
      <c r="G2036" s="127">
        <v>9.73E8</v>
      </c>
      <c r="H2036" s="126">
        <v>40436.0</v>
      </c>
      <c r="I2036" s="128">
        <v>146.0</v>
      </c>
      <c r="J2036" s="128">
        <v>152.58</v>
      </c>
      <c r="K2036" s="128">
        <v>97.44</v>
      </c>
      <c r="L2036" s="128">
        <v>22276.68</v>
      </c>
      <c r="M2036" s="128">
        <v>14226.24</v>
      </c>
      <c r="N2036" s="128">
        <v>8050.44</v>
      </c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</row>
    <row r="2037">
      <c r="A2037" s="125" t="s">
        <v>451</v>
      </c>
      <c r="B2037" s="125" t="s">
        <v>546</v>
      </c>
      <c r="C2037" s="125" t="s">
        <v>453</v>
      </c>
      <c r="D2037" s="125" t="s">
        <v>454</v>
      </c>
      <c r="E2037" s="125" t="s">
        <v>464</v>
      </c>
      <c r="F2037" s="126">
        <v>42476.0</v>
      </c>
      <c r="G2037" s="127">
        <v>4.56E8</v>
      </c>
      <c r="H2037" s="126">
        <v>42503.0</v>
      </c>
      <c r="I2037" s="128">
        <v>538.0</v>
      </c>
      <c r="J2037" s="128">
        <v>255.28</v>
      </c>
      <c r="K2037" s="128">
        <v>159.42</v>
      </c>
      <c r="L2037" s="128">
        <v>137340.6</v>
      </c>
      <c r="M2037" s="128">
        <v>85767.96</v>
      </c>
      <c r="N2037" s="128">
        <v>51572.68</v>
      </c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</row>
    <row r="2038">
      <c r="A2038" s="125" t="s">
        <v>458</v>
      </c>
      <c r="B2038" s="125" t="s">
        <v>583</v>
      </c>
      <c r="C2038" s="125" t="s">
        <v>471</v>
      </c>
      <c r="D2038" s="125" t="s">
        <v>457</v>
      </c>
      <c r="E2038" s="125" t="s">
        <v>284</v>
      </c>
      <c r="F2038" s="126">
        <v>41450.0</v>
      </c>
      <c r="G2038" s="127">
        <v>9.32E8</v>
      </c>
      <c r="H2038" s="126">
        <v>41460.0</v>
      </c>
      <c r="I2038" s="128">
        <v>8098.0</v>
      </c>
      <c r="J2038" s="128">
        <v>109.28</v>
      </c>
      <c r="K2038" s="128">
        <v>35.84</v>
      </c>
      <c r="L2038" s="128">
        <v>884949.4</v>
      </c>
      <c r="M2038" s="128">
        <v>290232.3</v>
      </c>
      <c r="N2038" s="128">
        <v>594717.1</v>
      </c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</row>
    <row r="2039">
      <c r="A2039" s="125" t="s">
        <v>458</v>
      </c>
      <c r="B2039" s="125" t="s">
        <v>622</v>
      </c>
      <c r="C2039" s="125" t="s">
        <v>460</v>
      </c>
      <c r="D2039" s="125" t="s">
        <v>457</v>
      </c>
      <c r="E2039" s="125" t="s">
        <v>464</v>
      </c>
      <c r="F2039" s="126">
        <v>42334.0</v>
      </c>
      <c r="G2039" s="127">
        <v>6.82E8</v>
      </c>
      <c r="H2039" s="126">
        <v>42358.0</v>
      </c>
      <c r="I2039" s="128">
        <v>956.0</v>
      </c>
      <c r="J2039" s="128">
        <v>47.45</v>
      </c>
      <c r="K2039" s="128">
        <v>31.79</v>
      </c>
      <c r="L2039" s="128">
        <v>45362.2</v>
      </c>
      <c r="M2039" s="128">
        <v>30391.24</v>
      </c>
      <c r="N2039" s="128">
        <v>14970.96</v>
      </c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</row>
    <row r="2040">
      <c r="A2040" s="125" t="s">
        <v>451</v>
      </c>
      <c r="B2040" s="125" t="s">
        <v>497</v>
      </c>
      <c r="C2040" s="125" t="s">
        <v>478</v>
      </c>
      <c r="D2040" s="125" t="s">
        <v>457</v>
      </c>
      <c r="E2040" s="125" t="s">
        <v>284</v>
      </c>
      <c r="F2040" s="126">
        <v>42207.0</v>
      </c>
      <c r="G2040" s="127">
        <v>3.1E8</v>
      </c>
      <c r="H2040" s="126">
        <v>42252.0</v>
      </c>
      <c r="I2040" s="128">
        <v>9275.0</v>
      </c>
      <c r="J2040" s="128">
        <v>651.21</v>
      </c>
      <c r="K2040" s="128">
        <v>524.96</v>
      </c>
      <c r="L2040" s="128">
        <v>6039973.0</v>
      </c>
      <c r="M2040" s="128">
        <v>4869004.0</v>
      </c>
      <c r="N2040" s="128">
        <v>1170969.0</v>
      </c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</row>
    <row r="2041">
      <c r="A2041" s="125" t="s">
        <v>458</v>
      </c>
      <c r="B2041" s="125" t="s">
        <v>606</v>
      </c>
      <c r="C2041" s="125" t="s">
        <v>456</v>
      </c>
      <c r="D2041" s="125" t="s">
        <v>454</v>
      </c>
      <c r="E2041" s="125" t="s">
        <v>284</v>
      </c>
      <c r="F2041" s="126">
        <v>42685.0</v>
      </c>
      <c r="G2041" s="127">
        <v>4.85E8</v>
      </c>
      <c r="H2041" s="126">
        <v>42718.0</v>
      </c>
      <c r="I2041" s="128">
        <v>245.0</v>
      </c>
      <c r="J2041" s="128">
        <v>152.58</v>
      </c>
      <c r="K2041" s="128">
        <v>97.44</v>
      </c>
      <c r="L2041" s="128">
        <v>37382.1</v>
      </c>
      <c r="M2041" s="128">
        <v>23872.8</v>
      </c>
      <c r="N2041" s="128">
        <v>13509.3</v>
      </c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</row>
    <row r="2042">
      <c r="A2042" s="125" t="s">
        <v>458</v>
      </c>
      <c r="B2042" s="125" t="s">
        <v>529</v>
      </c>
      <c r="C2042" s="125" t="s">
        <v>460</v>
      </c>
      <c r="D2042" s="125" t="s">
        <v>454</v>
      </c>
      <c r="E2042" s="125" t="s">
        <v>284</v>
      </c>
      <c r="F2042" s="126">
        <v>40241.0</v>
      </c>
      <c r="G2042" s="127">
        <v>6.01E8</v>
      </c>
      <c r="H2042" s="126">
        <v>40257.0</v>
      </c>
      <c r="I2042" s="128">
        <v>3092.0</v>
      </c>
      <c r="J2042" s="128">
        <v>47.45</v>
      </c>
      <c r="K2042" s="128">
        <v>31.79</v>
      </c>
      <c r="L2042" s="128">
        <v>146715.4</v>
      </c>
      <c r="M2042" s="128">
        <v>98294.68</v>
      </c>
      <c r="N2042" s="128">
        <v>48420.72</v>
      </c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</row>
    <row r="2043">
      <c r="A2043" s="125" t="s">
        <v>466</v>
      </c>
      <c r="B2043" s="125" t="s">
        <v>534</v>
      </c>
      <c r="C2043" s="125" t="s">
        <v>494</v>
      </c>
      <c r="D2043" s="125" t="s">
        <v>454</v>
      </c>
      <c r="E2043" s="125" t="s">
        <v>464</v>
      </c>
      <c r="F2043" s="126">
        <v>41420.0</v>
      </c>
      <c r="G2043" s="127">
        <v>1.21E8</v>
      </c>
      <c r="H2043" s="126">
        <v>41430.0</v>
      </c>
      <c r="I2043" s="128">
        <v>4069.0</v>
      </c>
      <c r="J2043" s="128">
        <v>9.33</v>
      </c>
      <c r="K2043" s="128">
        <v>6.92</v>
      </c>
      <c r="L2043" s="128">
        <v>37963.77</v>
      </c>
      <c r="M2043" s="128">
        <v>28157.48</v>
      </c>
      <c r="N2043" s="128">
        <v>9806.29</v>
      </c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</row>
    <row r="2044">
      <c r="A2044" s="125" t="s">
        <v>466</v>
      </c>
      <c r="B2044" s="125" t="s">
        <v>502</v>
      </c>
      <c r="C2044" s="125" t="s">
        <v>494</v>
      </c>
      <c r="D2044" s="125" t="s">
        <v>457</v>
      </c>
      <c r="E2044" s="125" t="s">
        <v>284</v>
      </c>
      <c r="F2044" s="126">
        <v>42090.0</v>
      </c>
      <c r="G2044" s="127">
        <v>8.26E8</v>
      </c>
      <c r="H2044" s="126">
        <v>42131.0</v>
      </c>
      <c r="I2044" s="128">
        <v>1462.0</v>
      </c>
      <c r="J2044" s="128">
        <v>9.33</v>
      </c>
      <c r="K2044" s="128">
        <v>6.92</v>
      </c>
      <c r="L2044" s="128">
        <v>13640.46</v>
      </c>
      <c r="M2044" s="128">
        <v>10117.04</v>
      </c>
      <c r="N2044" s="128">
        <v>3523.42</v>
      </c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</row>
    <row r="2045">
      <c r="A2045" s="125" t="s">
        <v>475</v>
      </c>
      <c r="B2045" s="125" t="s">
        <v>635</v>
      </c>
      <c r="C2045" s="125" t="s">
        <v>478</v>
      </c>
      <c r="D2045" s="125" t="s">
        <v>454</v>
      </c>
      <c r="E2045" s="125" t="s">
        <v>464</v>
      </c>
      <c r="F2045" s="126">
        <v>42657.0</v>
      </c>
      <c r="G2045" s="127">
        <v>9.71E8</v>
      </c>
      <c r="H2045" s="126">
        <v>42682.0</v>
      </c>
      <c r="I2045" s="128">
        <v>590.0</v>
      </c>
      <c r="J2045" s="128">
        <v>651.21</v>
      </c>
      <c r="K2045" s="128">
        <v>524.96</v>
      </c>
      <c r="L2045" s="128">
        <v>384213.9</v>
      </c>
      <c r="M2045" s="128">
        <v>309726.4</v>
      </c>
      <c r="N2045" s="128">
        <v>74487.5</v>
      </c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</row>
    <row r="2046">
      <c r="A2046" s="125" t="s">
        <v>451</v>
      </c>
      <c r="B2046" s="125" t="s">
        <v>497</v>
      </c>
      <c r="C2046" s="125" t="s">
        <v>453</v>
      </c>
      <c r="D2046" s="125" t="s">
        <v>457</v>
      </c>
      <c r="E2046" s="125" t="s">
        <v>472</v>
      </c>
      <c r="F2046" s="126">
        <v>41151.0</v>
      </c>
      <c r="G2046" s="127">
        <v>2.28E8</v>
      </c>
      <c r="H2046" s="126">
        <v>41194.0</v>
      </c>
      <c r="I2046" s="128">
        <v>8801.0</v>
      </c>
      <c r="J2046" s="128">
        <v>255.28</v>
      </c>
      <c r="K2046" s="128">
        <v>159.42</v>
      </c>
      <c r="L2046" s="128">
        <v>2246719.0</v>
      </c>
      <c r="M2046" s="128">
        <v>1403055.0</v>
      </c>
      <c r="N2046" s="128">
        <v>843663.9</v>
      </c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</row>
    <row r="2047">
      <c r="A2047" s="125" t="s">
        <v>469</v>
      </c>
      <c r="B2047" s="125" t="s">
        <v>501</v>
      </c>
      <c r="C2047" s="125" t="s">
        <v>478</v>
      </c>
      <c r="D2047" s="125" t="s">
        <v>457</v>
      </c>
      <c r="E2047" s="125" t="s">
        <v>464</v>
      </c>
      <c r="F2047" s="126">
        <v>42906.0</v>
      </c>
      <c r="G2047" s="127">
        <v>1.42E8</v>
      </c>
      <c r="H2047" s="126">
        <v>42917.0</v>
      </c>
      <c r="I2047" s="128">
        <v>475.0</v>
      </c>
      <c r="J2047" s="128">
        <v>651.21</v>
      </c>
      <c r="K2047" s="128">
        <v>524.96</v>
      </c>
      <c r="L2047" s="128">
        <v>309324.8</v>
      </c>
      <c r="M2047" s="128">
        <v>249356.0</v>
      </c>
      <c r="N2047" s="128">
        <v>59968.75</v>
      </c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</row>
    <row r="2048">
      <c r="A2048" s="125" t="s">
        <v>466</v>
      </c>
      <c r="B2048" s="125" t="s">
        <v>484</v>
      </c>
      <c r="C2048" s="125" t="s">
        <v>514</v>
      </c>
      <c r="D2048" s="125" t="s">
        <v>457</v>
      </c>
      <c r="E2048" s="125" t="s">
        <v>284</v>
      </c>
      <c r="F2048" s="126">
        <v>42579.0</v>
      </c>
      <c r="G2048" s="127">
        <v>9.77E8</v>
      </c>
      <c r="H2048" s="126">
        <v>42590.0</v>
      </c>
      <c r="I2048" s="128">
        <v>2022.0</v>
      </c>
      <c r="J2048" s="128">
        <v>668.27</v>
      </c>
      <c r="K2048" s="128">
        <v>502.54</v>
      </c>
      <c r="L2048" s="128">
        <v>1351242.0</v>
      </c>
      <c r="M2048" s="128">
        <v>1016136.0</v>
      </c>
      <c r="N2048" s="128">
        <v>335106.1</v>
      </c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</row>
    <row r="2049">
      <c r="A2049" s="125" t="s">
        <v>475</v>
      </c>
      <c r="B2049" s="125" t="s">
        <v>500</v>
      </c>
      <c r="C2049" s="125" t="s">
        <v>453</v>
      </c>
      <c r="D2049" s="125" t="s">
        <v>454</v>
      </c>
      <c r="E2049" s="125" t="s">
        <v>189</v>
      </c>
      <c r="F2049" s="126">
        <v>42133.0</v>
      </c>
      <c r="G2049" s="127">
        <v>3.66E8</v>
      </c>
      <c r="H2049" s="126">
        <v>42145.0</v>
      </c>
      <c r="I2049" s="128">
        <v>6885.0</v>
      </c>
      <c r="J2049" s="128">
        <v>255.28</v>
      </c>
      <c r="K2049" s="128">
        <v>159.42</v>
      </c>
      <c r="L2049" s="128">
        <v>1757603.0</v>
      </c>
      <c r="M2049" s="128">
        <v>1097607.0</v>
      </c>
      <c r="N2049" s="128">
        <v>659996.1</v>
      </c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</row>
    <row r="2050">
      <c r="A2050" s="125" t="s">
        <v>466</v>
      </c>
      <c r="B2050" s="125" t="s">
        <v>531</v>
      </c>
      <c r="C2050" s="125" t="s">
        <v>494</v>
      </c>
      <c r="D2050" s="125" t="s">
        <v>457</v>
      </c>
      <c r="E2050" s="125" t="s">
        <v>464</v>
      </c>
      <c r="F2050" s="126">
        <v>41154.0</v>
      </c>
      <c r="G2050" s="127">
        <v>9.66E8</v>
      </c>
      <c r="H2050" s="126">
        <v>41201.0</v>
      </c>
      <c r="I2050" s="128">
        <v>538.0</v>
      </c>
      <c r="J2050" s="128">
        <v>9.33</v>
      </c>
      <c r="K2050" s="128">
        <v>6.92</v>
      </c>
      <c r="L2050" s="128">
        <v>5019.54</v>
      </c>
      <c r="M2050" s="128">
        <v>3722.96</v>
      </c>
      <c r="N2050" s="128">
        <v>1296.58</v>
      </c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</row>
    <row r="2051">
      <c r="A2051" s="125" t="s">
        <v>458</v>
      </c>
      <c r="B2051" s="125" t="s">
        <v>594</v>
      </c>
      <c r="C2051" s="125" t="s">
        <v>514</v>
      </c>
      <c r="D2051" s="125" t="s">
        <v>457</v>
      </c>
      <c r="E2051" s="125" t="s">
        <v>189</v>
      </c>
      <c r="F2051" s="126">
        <v>40999.0</v>
      </c>
      <c r="G2051" s="127">
        <v>1.0E9</v>
      </c>
      <c r="H2051" s="126">
        <v>41035.0</v>
      </c>
      <c r="I2051" s="128">
        <v>5486.0</v>
      </c>
      <c r="J2051" s="128">
        <v>668.27</v>
      </c>
      <c r="K2051" s="128">
        <v>502.54</v>
      </c>
      <c r="L2051" s="128">
        <v>3666129.0</v>
      </c>
      <c r="M2051" s="128">
        <v>2756934.0</v>
      </c>
      <c r="N2051" s="128">
        <v>909194.8</v>
      </c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</row>
    <row r="2052">
      <c r="A2052" s="125" t="s">
        <v>475</v>
      </c>
      <c r="B2052" s="125" t="s">
        <v>570</v>
      </c>
      <c r="C2052" s="125" t="s">
        <v>456</v>
      </c>
      <c r="D2052" s="125" t="s">
        <v>454</v>
      </c>
      <c r="E2052" s="125" t="s">
        <v>189</v>
      </c>
      <c r="F2052" s="126">
        <v>40648.0</v>
      </c>
      <c r="G2052" s="127">
        <v>1.14E8</v>
      </c>
      <c r="H2052" s="126">
        <v>40661.0</v>
      </c>
      <c r="I2052" s="128">
        <v>6265.0</v>
      </c>
      <c r="J2052" s="128">
        <v>152.58</v>
      </c>
      <c r="K2052" s="128">
        <v>97.44</v>
      </c>
      <c r="L2052" s="128">
        <v>955913.7</v>
      </c>
      <c r="M2052" s="128">
        <v>610461.6</v>
      </c>
      <c r="N2052" s="128">
        <v>345452.1</v>
      </c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</row>
    <row r="2053">
      <c r="A2053" s="125" t="s">
        <v>469</v>
      </c>
      <c r="B2053" s="125" t="s">
        <v>503</v>
      </c>
      <c r="C2053" s="125" t="s">
        <v>514</v>
      </c>
      <c r="D2053" s="125" t="s">
        <v>454</v>
      </c>
      <c r="E2053" s="125" t="s">
        <v>472</v>
      </c>
      <c r="F2053" s="126">
        <v>40853.0</v>
      </c>
      <c r="G2053" s="127">
        <v>7.24E8</v>
      </c>
      <c r="H2053" s="126">
        <v>40854.0</v>
      </c>
      <c r="I2053" s="128">
        <v>4442.0</v>
      </c>
      <c r="J2053" s="128">
        <v>668.27</v>
      </c>
      <c r="K2053" s="128">
        <v>502.54</v>
      </c>
      <c r="L2053" s="128">
        <v>2968455.0</v>
      </c>
      <c r="M2053" s="128">
        <v>2232283.0</v>
      </c>
      <c r="N2053" s="128">
        <v>736172.7</v>
      </c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</row>
    <row r="2054">
      <c r="A2054" s="125" t="s">
        <v>451</v>
      </c>
      <c r="B2054" s="125" t="s">
        <v>482</v>
      </c>
      <c r="C2054" s="125" t="s">
        <v>460</v>
      </c>
      <c r="D2054" s="125" t="s">
        <v>454</v>
      </c>
      <c r="E2054" s="125" t="s">
        <v>189</v>
      </c>
      <c r="F2054" s="126">
        <v>42757.0</v>
      </c>
      <c r="G2054" s="127">
        <v>3.66E8</v>
      </c>
      <c r="H2054" s="126">
        <v>42793.0</v>
      </c>
      <c r="I2054" s="128">
        <v>3616.0</v>
      </c>
      <c r="J2054" s="128">
        <v>47.45</v>
      </c>
      <c r="K2054" s="128">
        <v>31.79</v>
      </c>
      <c r="L2054" s="128">
        <v>171579.2</v>
      </c>
      <c r="M2054" s="128">
        <v>114952.6</v>
      </c>
      <c r="N2054" s="128">
        <v>56626.56</v>
      </c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</row>
    <row r="2055">
      <c r="A2055" s="125" t="s">
        <v>458</v>
      </c>
      <c r="B2055" s="125" t="s">
        <v>540</v>
      </c>
      <c r="C2055" s="125" t="s">
        <v>480</v>
      </c>
      <c r="D2055" s="125" t="s">
        <v>457</v>
      </c>
      <c r="E2055" s="125" t="s">
        <v>472</v>
      </c>
      <c r="F2055" s="126">
        <v>40973.0</v>
      </c>
      <c r="G2055" s="127">
        <v>2.47E8</v>
      </c>
      <c r="H2055" s="126">
        <v>41014.0</v>
      </c>
      <c r="I2055" s="128">
        <v>4417.0</v>
      </c>
      <c r="J2055" s="128">
        <v>437.2</v>
      </c>
      <c r="K2055" s="128">
        <v>263.33</v>
      </c>
      <c r="L2055" s="128">
        <v>1931112.0</v>
      </c>
      <c r="M2055" s="128">
        <v>1163129.0</v>
      </c>
      <c r="N2055" s="128">
        <v>767983.8</v>
      </c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</row>
    <row r="2056">
      <c r="A2056" s="125" t="s">
        <v>458</v>
      </c>
      <c r="B2056" s="125" t="s">
        <v>633</v>
      </c>
      <c r="C2056" s="125" t="s">
        <v>460</v>
      </c>
      <c r="D2056" s="125" t="s">
        <v>454</v>
      </c>
      <c r="E2056" s="125" t="s">
        <v>464</v>
      </c>
      <c r="F2056" s="126">
        <v>41570.0</v>
      </c>
      <c r="G2056" s="127">
        <v>2.92E8</v>
      </c>
      <c r="H2056" s="126">
        <v>41573.0</v>
      </c>
      <c r="I2056" s="128">
        <v>9505.0</v>
      </c>
      <c r="J2056" s="128">
        <v>47.45</v>
      </c>
      <c r="K2056" s="128">
        <v>31.79</v>
      </c>
      <c r="L2056" s="128">
        <v>451012.3</v>
      </c>
      <c r="M2056" s="128">
        <v>302164.0</v>
      </c>
      <c r="N2056" s="128">
        <v>148848.3</v>
      </c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</row>
    <row r="2057">
      <c r="A2057" s="125" t="s">
        <v>451</v>
      </c>
      <c r="B2057" s="125" t="s">
        <v>593</v>
      </c>
      <c r="C2057" s="125" t="s">
        <v>456</v>
      </c>
      <c r="D2057" s="125" t="s">
        <v>457</v>
      </c>
      <c r="E2057" s="125" t="s">
        <v>464</v>
      </c>
      <c r="F2057" s="126">
        <v>41325.0</v>
      </c>
      <c r="G2057" s="127">
        <v>4.98E8</v>
      </c>
      <c r="H2057" s="126">
        <v>41375.0</v>
      </c>
      <c r="I2057" s="128">
        <v>8574.0</v>
      </c>
      <c r="J2057" s="128">
        <v>152.58</v>
      </c>
      <c r="K2057" s="128">
        <v>97.44</v>
      </c>
      <c r="L2057" s="128">
        <v>1308221.0</v>
      </c>
      <c r="M2057" s="128">
        <v>835450.6</v>
      </c>
      <c r="N2057" s="128">
        <v>472770.4</v>
      </c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</row>
    <row r="2058">
      <c r="A2058" s="125" t="s">
        <v>458</v>
      </c>
      <c r="B2058" s="125" t="s">
        <v>582</v>
      </c>
      <c r="C2058" s="125" t="s">
        <v>463</v>
      </c>
      <c r="D2058" s="125" t="s">
        <v>457</v>
      </c>
      <c r="E2058" s="125" t="s">
        <v>472</v>
      </c>
      <c r="F2058" s="126">
        <v>42934.0</v>
      </c>
      <c r="G2058" s="127">
        <v>4.84E8</v>
      </c>
      <c r="H2058" s="126">
        <v>42952.0</v>
      </c>
      <c r="I2058" s="128">
        <v>3346.0</v>
      </c>
      <c r="J2058" s="128">
        <v>205.7</v>
      </c>
      <c r="K2058" s="128">
        <v>117.11</v>
      </c>
      <c r="L2058" s="128">
        <v>688272.2</v>
      </c>
      <c r="M2058" s="128">
        <v>391850.1</v>
      </c>
      <c r="N2058" s="128">
        <v>296422.1</v>
      </c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</row>
    <row r="2059">
      <c r="A2059" s="125" t="s">
        <v>475</v>
      </c>
      <c r="B2059" s="125" t="s">
        <v>640</v>
      </c>
      <c r="C2059" s="125" t="s">
        <v>480</v>
      </c>
      <c r="D2059" s="125" t="s">
        <v>457</v>
      </c>
      <c r="E2059" s="125" t="s">
        <v>464</v>
      </c>
      <c r="F2059" s="126">
        <v>42568.0</v>
      </c>
      <c r="G2059" s="127">
        <v>8.36E8</v>
      </c>
      <c r="H2059" s="126">
        <v>42603.0</v>
      </c>
      <c r="I2059" s="128">
        <v>2578.0</v>
      </c>
      <c r="J2059" s="128">
        <v>437.2</v>
      </c>
      <c r="K2059" s="128">
        <v>263.33</v>
      </c>
      <c r="L2059" s="128">
        <v>1127102.0</v>
      </c>
      <c r="M2059" s="128">
        <v>678864.7</v>
      </c>
      <c r="N2059" s="128">
        <v>448236.9</v>
      </c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</row>
    <row r="2060">
      <c r="A2060" s="125" t="s">
        <v>451</v>
      </c>
      <c r="B2060" s="125" t="s">
        <v>483</v>
      </c>
      <c r="C2060" s="125" t="s">
        <v>494</v>
      </c>
      <c r="D2060" s="125" t="s">
        <v>457</v>
      </c>
      <c r="E2060" s="125" t="s">
        <v>284</v>
      </c>
      <c r="F2060" s="126">
        <v>42320.0</v>
      </c>
      <c r="G2060" s="127">
        <v>8.62E8</v>
      </c>
      <c r="H2060" s="126">
        <v>42362.0</v>
      </c>
      <c r="I2060" s="128">
        <v>7054.0</v>
      </c>
      <c r="J2060" s="128">
        <v>9.33</v>
      </c>
      <c r="K2060" s="128">
        <v>6.92</v>
      </c>
      <c r="L2060" s="128">
        <v>65813.82</v>
      </c>
      <c r="M2060" s="128">
        <v>48813.68</v>
      </c>
      <c r="N2060" s="128">
        <v>17000.14</v>
      </c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</row>
    <row r="2061">
      <c r="A2061" s="125" t="s">
        <v>458</v>
      </c>
      <c r="B2061" s="125" t="s">
        <v>567</v>
      </c>
      <c r="C2061" s="125" t="s">
        <v>468</v>
      </c>
      <c r="D2061" s="125" t="s">
        <v>454</v>
      </c>
      <c r="E2061" s="125" t="s">
        <v>284</v>
      </c>
      <c r="F2061" s="126">
        <v>40522.0</v>
      </c>
      <c r="G2061" s="127">
        <v>8.41E8</v>
      </c>
      <c r="H2061" s="126">
        <v>40538.0</v>
      </c>
      <c r="I2061" s="128">
        <v>4593.0</v>
      </c>
      <c r="J2061" s="128">
        <v>81.73</v>
      </c>
      <c r="K2061" s="128">
        <v>56.67</v>
      </c>
      <c r="L2061" s="128">
        <v>375385.9</v>
      </c>
      <c r="M2061" s="128">
        <v>260285.3</v>
      </c>
      <c r="N2061" s="128">
        <v>115100.6</v>
      </c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</row>
    <row r="2062">
      <c r="A2062" s="125" t="s">
        <v>475</v>
      </c>
      <c r="B2062" s="125" t="s">
        <v>585</v>
      </c>
      <c r="C2062" s="125" t="s">
        <v>463</v>
      </c>
      <c r="D2062" s="125" t="s">
        <v>454</v>
      </c>
      <c r="E2062" s="125" t="s">
        <v>189</v>
      </c>
      <c r="F2062" s="126">
        <v>41426.0</v>
      </c>
      <c r="G2062" s="127">
        <v>6.71E8</v>
      </c>
      <c r="H2062" s="126">
        <v>41426.0</v>
      </c>
      <c r="I2062" s="128">
        <v>5042.0</v>
      </c>
      <c r="J2062" s="128">
        <v>205.7</v>
      </c>
      <c r="K2062" s="128">
        <v>117.11</v>
      </c>
      <c r="L2062" s="128">
        <v>1037139.0</v>
      </c>
      <c r="M2062" s="128">
        <v>590468.6</v>
      </c>
      <c r="N2062" s="128">
        <v>446670.8</v>
      </c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</row>
    <row r="2063">
      <c r="A2063" s="125" t="s">
        <v>475</v>
      </c>
      <c r="B2063" s="125" t="s">
        <v>536</v>
      </c>
      <c r="C2063" s="125" t="s">
        <v>453</v>
      </c>
      <c r="D2063" s="125" t="s">
        <v>457</v>
      </c>
      <c r="E2063" s="125" t="s">
        <v>472</v>
      </c>
      <c r="F2063" s="126">
        <v>42759.0</v>
      </c>
      <c r="G2063" s="127">
        <v>3.2E8</v>
      </c>
      <c r="H2063" s="126">
        <v>42785.0</v>
      </c>
      <c r="I2063" s="128">
        <v>5282.0</v>
      </c>
      <c r="J2063" s="128">
        <v>255.28</v>
      </c>
      <c r="K2063" s="128">
        <v>159.42</v>
      </c>
      <c r="L2063" s="128">
        <v>1348389.0</v>
      </c>
      <c r="M2063" s="128">
        <v>842056.4</v>
      </c>
      <c r="N2063" s="128">
        <v>506332.5</v>
      </c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</row>
    <row r="2064">
      <c r="A2064" s="125" t="s">
        <v>475</v>
      </c>
      <c r="B2064" s="125" t="s">
        <v>588</v>
      </c>
      <c r="C2064" s="125" t="s">
        <v>453</v>
      </c>
      <c r="D2064" s="125" t="s">
        <v>454</v>
      </c>
      <c r="E2064" s="125" t="s">
        <v>464</v>
      </c>
      <c r="F2064" s="126">
        <v>42639.0</v>
      </c>
      <c r="G2064" s="127">
        <v>2.79E8</v>
      </c>
      <c r="H2064" s="126">
        <v>42673.0</v>
      </c>
      <c r="I2064" s="128">
        <v>4225.0</v>
      </c>
      <c r="J2064" s="128">
        <v>255.28</v>
      </c>
      <c r="K2064" s="128">
        <v>159.42</v>
      </c>
      <c r="L2064" s="128">
        <v>1078558.0</v>
      </c>
      <c r="M2064" s="128">
        <v>673549.5</v>
      </c>
      <c r="N2064" s="128">
        <v>405008.5</v>
      </c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</row>
    <row r="2065">
      <c r="A2065" s="125" t="s">
        <v>458</v>
      </c>
      <c r="B2065" s="125" t="s">
        <v>473</v>
      </c>
      <c r="C2065" s="125" t="s">
        <v>480</v>
      </c>
      <c r="D2065" s="125" t="s">
        <v>457</v>
      </c>
      <c r="E2065" s="125" t="s">
        <v>472</v>
      </c>
      <c r="F2065" s="126">
        <v>40951.0</v>
      </c>
      <c r="G2065" s="127">
        <v>2.05E8</v>
      </c>
      <c r="H2065" s="126">
        <v>40959.0</v>
      </c>
      <c r="I2065" s="128">
        <v>7811.0</v>
      </c>
      <c r="J2065" s="128">
        <v>437.2</v>
      </c>
      <c r="K2065" s="128">
        <v>263.33</v>
      </c>
      <c r="L2065" s="128">
        <v>3414969.0</v>
      </c>
      <c r="M2065" s="128">
        <v>2056871.0</v>
      </c>
      <c r="N2065" s="128">
        <v>1358099.0</v>
      </c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</row>
    <row r="2066">
      <c r="A2066" s="125" t="s">
        <v>458</v>
      </c>
      <c r="B2066" s="125" t="s">
        <v>515</v>
      </c>
      <c r="C2066" s="125" t="s">
        <v>463</v>
      </c>
      <c r="D2066" s="125" t="s">
        <v>454</v>
      </c>
      <c r="E2066" s="125" t="s">
        <v>472</v>
      </c>
      <c r="F2066" s="126">
        <v>40740.0</v>
      </c>
      <c r="G2066" s="127">
        <v>2.8E8</v>
      </c>
      <c r="H2066" s="126">
        <v>40783.0</v>
      </c>
      <c r="I2066" s="128">
        <v>4016.0</v>
      </c>
      <c r="J2066" s="128">
        <v>205.7</v>
      </c>
      <c r="K2066" s="128">
        <v>117.11</v>
      </c>
      <c r="L2066" s="128">
        <v>826091.2</v>
      </c>
      <c r="M2066" s="128">
        <v>470313.8</v>
      </c>
      <c r="N2066" s="128">
        <v>355777.4</v>
      </c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</row>
    <row r="2067">
      <c r="A2067" s="125" t="s">
        <v>469</v>
      </c>
      <c r="B2067" s="125" t="s">
        <v>589</v>
      </c>
      <c r="C2067" s="125" t="s">
        <v>514</v>
      </c>
      <c r="D2067" s="125" t="s">
        <v>454</v>
      </c>
      <c r="E2067" s="125" t="s">
        <v>464</v>
      </c>
      <c r="F2067" s="126">
        <v>41288.0</v>
      </c>
      <c r="G2067" s="127">
        <v>7.53E8</v>
      </c>
      <c r="H2067" s="126">
        <v>41309.0</v>
      </c>
      <c r="I2067" s="128">
        <v>7843.0</v>
      </c>
      <c r="J2067" s="128">
        <v>668.27</v>
      </c>
      <c r="K2067" s="128">
        <v>502.54</v>
      </c>
      <c r="L2067" s="128">
        <v>5241242.0</v>
      </c>
      <c r="M2067" s="128">
        <v>3941421.0</v>
      </c>
      <c r="N2067" s="128">
        <v>1299820.0</v>
      </c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</row>
    <row r="2068">
      <c r="A2068" s="125" t="s">
        <v>461</v>
      </c>
      <c r="B2068" s="125" t="s">
        <v>586</v>
      </c>
      <c r="C2068" s="125" t="s">
        <v>506</v>
      </c>
      <c r="D2068" s="125" t="s">
        <v>457</v>
      </c>
      <c r="E2068" s="125" t="s">
        <v>189</v>
      </c>
      <c r="F2068" s="126">
        <v>42266.0</v>
      </c>
      <c r="G2068" s="127">
        <v>5.95E8</v>
      </c>
      <c r="H2068" s="126">
        <v>42306.0</v>
      </c>
      <c r="I2068" s="128">
        <v>6329.0</v>
      </c>
      <c r="J2068" s="128">
        <v>154.06</v>
      </c>
      <c r="K2068" s="128">
        <v>90.93</v>
      </c>
      <c r="L2068" s="128">
        <v>975045.7</v>
      </c>
      <c r="M2068" s="128">
        <v>575496.0</v>
      </c>
      <c r="N2068" s="128">
        <v>399549.8</v>
      </c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</row>
    <row r="2069">
      <c r="A2069" s="125" t="s">
        <v>461</v>
      </c>
      <c r="B2069" s="125" t="s">
        <v>578</v>
      </c>
      <c r="C2069" s="125" t="s">
        <v>456</v>
      </c>
      <c r="D2069" s="125" t="s">
        <v>454</v>
      </c>
      <c r="E2069" s="125" t="s">
        <v>464</v>
      </c>
      <c r="F2069" s="126">
        <v>42354.0</v>
      </c>
      <c r="G2069" s="127">
        <v>6.45E8</v>
      </c>
      <c r="H2069" s="126">
        <v>42388.0</v>
      </c>
      <c r="I2069" s="128">
        <v>3542.0</v>
      </c>
      <c r="J2069" s="128">
        <v>152.58</v>
      </c>
      <c r="K2069" s="128">
        <v>97.44</v>
      </c>
      <c r="L2069" s="128">
        <v>540438.4</v>
      </c>
      <c r="M2069" s="128">
        <v>345132.5</v>
      </c>
      <c r="N2069" s="128">
        <v>195305.9</v>
      </c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</row>
    <row r="2070">
      <c r="A2070" s="125" t="s">
        <v>458</v>
      </c>
      <c r="B2070" s="125" t="s">
        <v>622</v>
      </c>
      <c r="C2070" s="125" t="s">
        <v>506</v>
      </c>
      <c r="D2070" s="125" t="s">
        <v>457</v>
      </c>
      <c r="E2070" s="125" t="s">
        <v>284</v>
      </c>
      <c r="F2070" s="126">
        <v>40616.0</v>
      </c>
      <c r="G2070" s="127">
        <v>4.66E8</v>
      </c>
      <c r="H2070" s="126">
        <v>40616.0</v>
      </c>
      <c r="I2070" s="128">
        <v>5579.0</v>
      </c>
      <c r="J2070" s="128">
        <v>154.06</v>
      </c>
      <c r="K2070" s="128">
        <v>90.93</v>
      </c>
      <c r="L2070" s="128">
        <v>859500.7</v>
      </c>
      <c r="M2070" s="128">
        <v>507298.5</v>
      </c>
      <c r="N2070" s="128">
        <v>352202.3</v>
      </c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</row>
    <row r="2071">
      <c r="A2071" s="125" t="s">
        <v>458</v>
      </c>
      <c r="B2071" s="125" t="s">
        <v>610</v>
      </c>
      <c r="C2071" s="125" t="s">
        <v>468</v>
      </c>
      <c r="D2071" s="125" t="s">
        <v>454</v>
      </c>
      <c r="E2071" s="125" t="s">
        <v>284</v>
      </c>
      <c r="F2071" s="126">
        <v>40659.0</v>
      </c>
      <c r="G2071" s="127">
        <v>5.88E8</v>
      </c>
      <c r="H2071" s="126">
        <v>40687.0</v>
      </c>
      <c r="I2071" s="128">
        <v>5572.0</v>
      </c>
      <c r="J2071" s="128">
        <v>81.73</v>
      </c>
      <c r="K2071" s="128">
        <v>56.67</v>
      </c>
      <c r="L2071" s="128">
        <v>455399.6</v>
      </c>
      <c r="M2071" s="128">
        <v>315765.2</v>
      </c>
      <c r="N2071" s="128">
        <v>139634.3</v>
      </c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</row>
    <row r="2072">
      <c r="A2072" s="125" t="s">
        <v>461</v>
      </c>
      <c r="B2072" s="125" t="s">
        <v>539</v>
      </c>
      <c r="C2072" s="125" t="s">
        <v>468</v>
      </c>
      <c r="D2072" s="125" t="s">
        <v>454</v>
      </c>
      <c r="E2072" s="125" t="s">
        <v>284</v>
      </c>
      <c r="F2072" s="126">
        <v>40944.0</v>
      </c>
      <c r="G2072" s="127">
        <v>2.63E8</v>
      </c>
      <c r="H2072" s="126">
        <v>40959.0</v>
      </c>
      <c r="I2072" s="128">
        <v>8680.0</v>
      </c>
      <c r="J2072" s="128">
        <v>81.73</v>
      </c>
      <c r="K2072" s="128">
        <v>56.67</v>
      </c>
      <c r="L2072" s="128">
        <v>709416.4</v>
      </c>
      <c r="M2072" s="128">
        <v>491895.6</v>
      </c>
      <c r="N2072" s="128">
        <v>217520.8</v>
      </c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</row>
    <row r="2073">
      <c r="A2073" s="125" t="s">
        <v>461</v>
      </c>
      <c r="B2073" s="125" t="s">
        <v>510</v>
      </c>
      <c r="C2073" s="125" t="s">
        <v>471</v>
      </c>
      <c r="D2073" s="125" t="s">
        <v>454</v>
      </c>
      <c r="E2073" s="125" t="s">
        <v>284</v>
      </c>
      <c r="F2073" s="126">
        <v>41704.0</v>
      </c>
      <c r="G2073" s="127">
        <v>6.13E8</v>
      </c>
      <c r="H2073" s="126">
        <v>41754.0</v>
      </c>
      <c r="I2073" s="128">
        <v>7097.0</v>
      </c>
      <c r="J2073" s="128">
        <v>109.28</v>
      </c>
      <c r="K2073" s="128">
        <v>35.84</v>
      </c>
      <c r="L2073" s="128">
        <v>775560.2</v>
      </c>
      <c r="M2073" s="128">
        <v>254356.5</v>
      </c>
      <c r="N2073" s="128">
        <v>521203.7</v>
      </c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</row>
    <row r="2074">
      <c r="A2074" s="125" t="s">
        <v>458</v>
      </c>
      <c r="B2074" s="125" t="s">
        <v>567</v>
      </c>
      <c r="C2074" s="125" t="s">
        <v>463</v>
      </c>
      <c r="D2074" s="125" t="s">
        <v>457</v>
      </c>
      <c r="E2074" s="125" t="s">
        <v>472</v>
      </c>
      <c r="F2074" s="126">
        <v>40796.0</v>
      </c>
      <c r="G2074" s="127">
        <v>5.8E8</v>
      </c>
      <c r="H2074" s="126">
        <v>40830.0</v>
      </c>
      <c r="I2074" s="128">
        <v>5046.0</v>
      </c>
      <c r="J2074" s="128">
        <v>205.7</v>
      </c>
      <c r="K2074" s="128">
        <v>117.11</v>
      </c>
      <c r="L2074" s="128">
        <v>1037962.0</v>
      </c>
      <c r="M2074" s="128">
        <v>590937.1</v>
      </c>
      <c r="N2074" s="128">
        <v>447025.1</v>
      </c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</row>
    <row r="2075">
      <c r="A2075" s="125" t="s">
        <v>469</v>
      </c>
      <c r="B2075" s="125" t="s">
        <v>647</v>
      </c>
      <c r="C2075" s="125" t="s">
        <v>456</v>
      </c>
      <c r="D2075" s="125" t="s">
        <v>457</v>
      </c>
      <c r="E2075" s="125" t="s">
        <v>189</v>
      </c>
      <c r="F2075" s="126">
        <v>40615.0</v>
      </c>
      <c r="G2075" s="127">
        <v>9.77E8</v>
      </c>
      <c r="H2075" s="126">
        <v>40620.0</v>
      </c>
      <c r="I2075" s="128">
        <v>3782.0</v>
      </c>
      <c r="J2075" s="128">
        <v>152.58</v>
      </c>
      <c r="K2075" s="128">
        <v>97.44</v>
      </c>
      <c r="L2075" s="128">
        <v>577057.6</v>
      </c>
      <c r="M2075" s="128">
        <v>368518.1</v>
      </c>
      <c r="N2075" s="128">
        <v>208539.5</v>
      </c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</row>
    <row r="2076">
      <c r="A2076" s="125" t="s">
        <v>466</v>
      </c>
      <c r="B2076" s="125" t="s">
        <v>496</v>
      </c>
      <c r="C2076" s="125" t="s">
        <v>456</v>
      </c>
      <c r="D2076" s="125" t="s">
        <v>457</v>
      </c>
      <c r="E2076" s="125" t="s">
        <v>189</v>
      </c>
      <c r="F2076" s="126">
        <v>41178.0</v>
      </c>
      <c r="G2076" s="127">
        <v>4.37E8</v>
      </c>
      <c r="H2076" s="126">
        <v>41197.0</v>
      </c>
      <c r="I2076" s="128">
        <v>6591.0</v>
      </c>
      <c r="J2076" s="128">
        <v>152.58</v>
      </c>
      <c r="K2076" s="128">
        <v>97.44</v>
      </c>
      <c r="L2076" s="128">
        <v>1005655.0</v>
      </c>
      <c r="M2076" s="128">
        <v>642227.0</v>
      </c>
      <c r="N2076" s="128">
        <v>363427.7</v>
      </c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</row>
    <row r="2077">
      <c r="A2077" s="125" t="s">
        <v>451</v>
      </c>
      <c r="B2077" s="125" t="s">
        <v>609</v>
      </c>
      <c r="C2077" s="125" t="s">
        <v>480</v>
      </c>
      <c r="D2077" s="125" t="s">
        <v>457</v>
      </c>
      <c r="E2077" s="125" t="s">
        <v>472</v>
      </c>
      <c r="F2077" s="126">
        <v>41509.0</v>
      </c>
      <c r="G2077" s="127">
        <v>3.62E8</v>
      </c>
      <c r="H2077" s="126">
        <v>41524.0</v>
      </c>
      <c r="I2077" s="128">
        <v>3790.0</v>
      </c>
      <c r="J2077" s="128">
        <v>437.2</v>
      </c>
      <c r="K2077" s="128">
        <v>263.33</v>
      </c>
      <c r="L2077" s="128">
        <v>1656988.0</v>
      </c>
      <c r="M2077" s="128">
        <v>998020.7</v>
      </c>
      <c r="N2077" s="128">
        <v>658967.3</v>
      </c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</row>
    <row r="2078">
      <c r="A2078" s="125" t="s">
        <v>458</v>
      </c>
      <c r="B2078" s="125" t="s">
        <v>509</v>
      </c>
      <c r="C2078" s="125" t="s">
        <v>485</v>
      </c>
      <c r="D2078" s="125" t="s">
        <v>454</v>
      </c>
      <c r="E2078" s="125" t="s">
        <v>284</v>
      </c>
      <c r="F2078" s="126">
        <v>41020.0</v>
      </c>
      <c r="G2078" s="127">
        <v>8.77E8</v>
      </c>
      <c r="H2078" s="126">
        <v>41069.0</v>
      </c>
      <c r="I2078" s="128">
        <v>7728.0</v>
      </c>
      <c r="J2078" s="128">
        <v>421.89</v>
      </c>
      <c r="K2078" s="128">
        <v>364.69</v>
      </c>
      <c r="L2078" s="128">
        <v>3260366.0</v>
      </c>
      <c r="M2078" s="128">
        <v>2818324.0</v>
      </c>
      <c r="N2078" s="128">
        <v>442041.6</v>
      </c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</row>
    <row r="2079">
      <c r="A2079" s="125" t="s">
        <v>475</v>
      </c>
      <c r="B2079" s="125" t="s">
        <v>588</v>
      </c>
      <c r="C2079" s="125" t="s">
        <v>471</v>
      </c>
      <c r="D2079" s="125" t="s">
        <v>454</v>
      </c>
      <c r="E2079" s="125" t="s">
        <v>284</v>
      </c>
      <c r="F2079" s="126">
        <v>40895.0</v>
      </c>
      <c r="G2079" s="127">
        <v>3.75E8</v>
      </c>
      <c r="H2079" s="126">
        <v>40905.0</v>
      </c>
      <c r="I2079" s="128">
        <v>7785.0</v>
      </c>
      <c r="J2079" s="128">
        <v>109.28</v>
      </c>
      <c r="K2079" s="128">
        <v>35.84</v>
      </c>
      <c r="L2079" s="128">
        <v>850744.8</v>
      </c>
      <c r="M2079" s="128">
        <v>279014.4</v>
      </c>
      <c r="N2079" s="128">
        <v>571730.4</v>
      </c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</row>
    <row r="2080">
      <c r="A2080" s="125" t="s">
        <v>475</v>
      </c>
      <c r="B2080" s="125" t="s">
        <v>623</v>
      </c>
      <c r="C2080" s="125" t="s">
        <v>478</v>
      </c>
      <c r="D2080" s="125" t="s">
        <v>454</v>
      </c>
      <c r="E2080" s="125" t="s">
        <v>284</v>
      </c>
      <c r="F2080" s="126">
        <v>42709.0</v>
      </c>
      <c r="G2080" s="127">
        <v>4.7E8</v>
      </c>
      <c r="H2080" s="126">
        <v>42718.0</v>
      </c>
      <c r="I2080" s="128">
        <v>5373.0</v>
      </c>
      <c r="J2080" s="128">
        <v>651.21</v>
      </c>
      <c r="K2080" s="128">
        <v>524.96</v>
      </c>
      <c r="L2080" s="128">
        <v>3498951.0</v>
      </c>
      <c r="M2080" s="128">
        <v>2820610.0</v>
      </c>
      <c r="N2080" s="128">
        <v>678341.3</v>
      </c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</row>
    <row r="2081">
      <c r="A2081" s="125" t="s">
        <v>466</v>
      </c>
      <c r="B2081" s="125" t="s">
        <v>534</v>
      </c>
      <c r="C2081" s="125" t="s">
        <v>506</v>
      </c>
      <c r="D2081" s="125" t="s">
        <v>457</v>
      </c>
      <c r="E2081" s="125" t="s">
        <v>189</v>
      </c>
      <c r="F2081" s="126">
        <v>41509.0</v>
      </c>
      <c r="G2081" s="127">
        <v>1.46E8</v>
      </c>
      <c r="H2081" s="126">
        <v>41546.0</v>
      </c>
      <c r="I2081" s="128">
        <v>8932.0</v>
      </c>
      <c r="J2081" s="128">
        <v>154.06</v>
      </c>
      <c r="K2081" s="128">
        <v>90.93</v>
      </c>
      <c r="L2081" s="128">
        <v>1376064.0</v>
      </c>
      <c r="M2081" s="128">
        <v>812186.8</v>
      </c>
      <c r="N2081" s="128">
        <v>563877.2</v>
      </c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</row>
    <row r="2082">
      <c r="A2082" s="125" t="s">
        <v>458</v>
      </c>
      <c r="B2082" s="125" t="s">
        <v>563</v>
      </c>
      <c r="C2082" s="125" t="s">
        <v>471</v>
      </c>
      <c r="D2082" s="125" t="s">
        <v>454</v>
      </c>
      <c r="E2082" s="125" t="s">
        <v>284</v>
      </c>
      <c r="F2082" s="126">
        <v>41028.0</v>
      </c>
      <c r="G2082" s="127">
        <v>7.09E8</v>
      </c>
      <c r="H2082" s="126">
        <v>41030.0</v>
      </c>
      <c r="I2082" s="128">
        <v>8938.0</v>
      </c>
      <c r="J2082" s="128">
        <v>109.28</v>
      </c>
      <c r="K2082" s="128">
        <v>35.84</v>
      </c>
      <c r="L2082" s="128">
        <v>976744.6</v>
      </c>
      <c r="M2082" s="128">
        <v>320337.9</v>
      </c>
      <c r="N2082" s="128">
        <v>656406.7</v>
      </c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</row>
    <row r="2083">
      <c r="A2083" s="125" t="s">
        <v>461</v>
      </c>
      <c r="B2083" s="125" t="s">
        <v>621</v>
      </c>
      <c r="C2083" s="125" t="s">
        <v>478</v>
      </c>
      <c r="D2083" s="125" t="s">
        <v>457</v>
      </c>
      <c r="E2083" s="125" t="s">
        <v>189</v>
      </c>
      <c r="F2083" s="126">
        <v>41241.0</v>
      </c>
      <c r="G2083" s="127">
        <v>8.33E8</v>
      </c>
      <c r="H2083" s="126">
        <v>41242.0</v>
      </c>
      <c r="I2083" s="128">
        <v>2895.0</v>
      </c>
      <c r="J2083" s="128">
        <v>651.21</v>
      </c>
      <c r="K2083" s="128">
        <v>524.96</v>
      </c>
      <c r="L2083" s="128">
        <v>1885253.0</v>
      </c>
      <c r="M2083" s="128">
        <v>1519759.0</v>
      </c>
      <c r="N2083" s="128">
        <v>365493.8</v>
      </c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</row>
    <row r="2084">
      <c r="A2084" s="125" t="s">
        <v>458</v>
      </c>
      <c r="B2084" s="125" t="s">
        <v>518</v>
      </c>
      <c r="C2084" s="125" t="s">
        <v>485</v>
      </c>
      <c r="D2084" s="125" t="s">
        <v>454</v>
      </c>
      <c r="E2084" s="125" t="s">
        <v>472</v>
      </c>
      <c r="F2084" s="126">
        <v>42513.0</v>
      </c>
      <c r="G2084" s="127">
        <v>6.14E8</v>
      </c>
      <c r="H2084" s="126">
        <v>42556.0</v>
      </c>
      <c r="I2084" s="128">
        <v>339.0</v>
      </c>
      <c r="J2084" s="128">
        <v>421.89</v>
      </c>
      <c r="K2084" s="128">
        <v>364.69</v>
      </c>
      <c r="L2084" s="128">
        <v>143020.7</v>
      </c>
      <c r="M2084" s="128">
        <v>123629.9</v>
      </c>
      <c r="N2084" s="128">
        <v>19390.8</v>
      </c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</row>
    <row r="2085">
      <c r="A2085" s="125" t="s">
        <v>461</v>
      </c>
      <c r="B2085" s="125" t="s">
        <v>539</v>
      </c>
      <c r="C2085" s="125" t="s">
        <v>506</v>
      </c>
      <c r="D2085" s="125" t="s">
        <v>457</v>
      </c>
      <c r="E2085" s="125" t="s">
        <v>284</v>
      </c>
      <c r="F2085" s="126">
        <v>41444.0</v>
      </c>
      <c r="G2085" s="127">
        <v>2.18E8</v>
      </c>
      <c r="H2085" s="126">
        <v>41468.0</v>
      </c>
      <c r="I2085" s="128">
        <v>7837.0</v>
      </c>
      <c r="J2085" s="128">
        <v>154.06</v>
      </c>
      <c r="K2085" s="128">
        <v>90.93</v>
      </c>
      <c r="L2085" s="128">
        <v>1207368.0</v>
      </c>
      <c r="M2085" s="128">
        <v>712618.4</v>
      </c>
      <c r="N2085" s="128">
        <v>494749.8</v>
      </c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</row>
    <row r="2086">
      <c r="A2086" s="125" t="s">
        <v>458</v>
      </c>
      <c r="B2086" s="125" t="s">
        <v>538</v>
      </c>
      <c r="C2086" s="125" t="s">
        <v>480</v>
      </c>
      <c r="D2086" s="125" t="s">
        <v>454</v>
      </c>
      <c r="E2086" s="125" t="s">
        <v>464</v>
      </c>
      <c r="F2086" s="126">
        <v>40561.0</v>
      </c>
      <c r="G2086" s="127">
        <v>3.3E8</v>
      </c>
      <c r="H2086" s="126">
        <v>40566.0</v>
      </c>
      <c r="I2086" s="128">
        <v>3988.0</v>
      </c>
      <c r="J2086" s="128">
        <v>437.2</v>
      </c>
      <c r="K2086" s="128">
        <v>263.33</v>
      </c>
      <c r="L2086" s="128">
        <v>1743554.0</v>
      </c>
      <c r="M2086" s="128">
        <v>1050160.0</v>
      </c>
      <c r="N2086" s="128">
        <v>693393.6</v>
      </c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</row>
    <row r="2087">
      <c r="A2087" s="125" t="s">
        <v>475</v>
      </c>
      <c r="B2087" s="125" t="s">
        <v>657</v>
      </c>
      <c r="C2087" s="125" t="s">
        <v>480</v>
      </c>
      <c r="D2087" s="125" t="s">
        <v>454</v>
      </c>
      <c r="E2087" s="125" t="s">
        <v>284</v>
      </c>
      <c r="F2087" s="126">
        <v>41394.0</v>
      </c>
      <c r="G2087" s="127">
        <v>8.06E8</v>
      </c>
      <c r="H2087" s="126">
        <v>41430.0</v>
      </c>
      <c r="I2087" s="128">
        <v>4423.0</v>
      </c>
      <c r="J2087" s="128">
        <v>437.2</v>
      </c>
      <c r="K2087" s="128">
        <v>263.33</v>
      </c>
      <c r="L2087" s="128">
        <v>1933736.0</v>
      </c>
      <c r="M2087" s="128">
        <v>1164709.0</v>
      </c>
      <c r="N2087" s="128">
        <v>769027.0</v>
      </c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</row>
    <row r="2088">
      <c r="A2088" s="125" t="s">
        <v>458</v>
      </c>
      <c r="B2088" s="125" t="s">
        <v>643</v>
      </c>
      <c r="C2088" s="125" t="s">
        <v>494</v>
      </c>
      <c r="D2088" s="125" t="s">
        <v>454</v>
      </c>
      <c r="E2088" s="125" t="s">
        <v>464</v>
      </c>
      <c r="F2088" s="126">
        <v>40328.0</v>
      </c>
      <c r="G2088" s="127">
        <v>2.24E8</v>
      </c>
      <c r="H2088" s="126">
        <v>40356.0</v>
      </c>
      <c r="I2088" s="128">
        <v>6801.0</v>
      </c>
      <c r="J2088" s="128">
        <v>9.33</v>
      </c>
      <c r="K2088" s="128">
        <v>6.92</v>
      </c>
      <c r="L2088" s="128">
        <v>63453.33</v>
      </c>
      <c r="M2088" s="128">
        <v>47062.92</v>
      </c>
      <c r="N2088" s="128">
        <v>16390.41</v>
      </c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</row>
    <row r="2089">
      <c r="A2089" s="125" t="s">
        <v>475</v>
      </c>
      <c r="B2089" s="125" t="s">
        <v>585</v>
      </c>
      <c r="C2089" s="125" t="s">
        <v>468</v>
      </c>
      <c r="D2089" s="125" t="s">
        <v>457</v>
      </c>
      <c r="E2089" s="125" t="s">
        <v>189</v>
      </c>
      <c r="F2089" s="126">
        <v>41057.0</v>
      </c>
      <c r="G2089" s="127">
        <v>8.3E8</v>
      </c>
      <c r="H2089" s="126">
        <v>41090.0</v>
      </c>
      <c r="I2089" s="128">
        <v>5816.0</v>
      </c>
      <c r="J2089" s="128">
        <v>81.73</v>
      </c>
      <c r="K2089" s="128">
        <v>56.67</v>
      </c>
      <c r="L2089" s="128">
        <v>475341.7</v>
      </c>
      <c r="M2089" s="128">
        <v>329592.7</v>
      </c>
      <c r="N2089" s="128">
        <v>145749.0</v>
      </c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</row>
    <row r="2090">
      <c r="A2090" s="125" t="s">
        <v>461</v>
      </c>
      <c r="B2090" s="125" t="s">
        <v>465</v>
      </c>
      <c r="C2090" s="125" t="s">
        <v>460</v>
      </c>
      <c r="D2090" s="125" t="s">
        <v>454</v>
      </c>
      <c r="E2090" s="125" t="s">
        <v>464</v>
      </c>
      <c r="F2090" s="126">
        <v>42127.0</v>
      </c>
      <c r="G2090" s="127">
        <v>8.91E8</v>
      </c>
      <c r="H2090" s="126">
        <v>42140.0</v>
      </c>
      <c r="I2090" s="128">
        <v>8191.0</v>
      </c>
      <c r="J2090" s="128">
        <v>47.45</v>
      </c>
      <c r="K2090" s="128">
        <v>31.79</v>
      </c>
      <c r="L2090" s="128">
        <v>388663.0</v>
      </c>
      <c r="M2090" s="128">
        <v>260391.9</v>
      </c>
      <c r="N2090" s="128">
        <v>128271.1</v>
      </c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</row>
    <row r="2091">
      <c r="A2091" s="125" t="s">
        <v>475</v>
      </c>
      <c r="B2091" s="125" t="s">
        <v>601</v>
      </c>
      <c r="C2091" s="125" t="s">
        <v>480</v>
      </c>
      <c r="D2091" s="125" t="s">
        <v>454</v>
      </c>
      <c r="E2091" s="125" t="s">
        <v>464</v>
      </c>
      <c r="F2091" s="126">
        <v>41093.0</v>
      </c>
      <c r="G2091" s="127">
        <v>5.46E8</v>
      </c>
      <c r="H2091" s="126">
        <v>41115.0</v>
      </c>
      <c r="I2091" s="128">
        <v>7682.0</v>
      </c>
      <c r="J2091" s="128">
        <v>437.2</v>
      </c>
      <c r="K2091" s="128">
        <v>263.33</v>
      </c>
      <c r="L2091" s="128">
        <v>3358570.0</v>
      </c>
      <c r="M2091" s="128">
        <v>2022901.0</v>
      </c>
      <c r="N2091" s="128">
        <v>1335669.0</v>
      </c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</row>
    <row r="2092">
      <c r="A2092" s="125" t="s">
        <v>461</v>
      </c>
      <c r="B2092" s="125" t="s">
        <v>629</v>
      </c>
      <c r="C2092" s="125" t="s">
        <v>453</v>
      </c>
      <c r="D2092" s="125" t="s">
        <v>457</v>
      </c>
      <c r="E2092" s="125" t="s">
        <v>284</v>
      </c>
      <c r="F2092" s="126">
        <v>41430.0</v>
      </c>
      <c r="G2092" s="127">
        <v>4.52E8</v>
      </c>
      <c r="H2092" s="126">
        <v>41453.0</v>
      </c>
      <c r="I2092" s="128">
        <v>73.0</v>
      </c>
      <c r="J2092" s="128">
        <v>255.28</v>
      </c>
      <c r="K2092" s="128">
        <v>159.42</v>
      </c>
      <c r="L2092" s="128">
        <v>18635.44</v>
      </c>
      <c r="M2092" s="128">
        <v>11637.66</v>
      </c>
      <c r="N2092" s="128">
        <v>6997.78</v>
      </c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</row>
    <row r="2093">
      <c r="A2093" s="125" t="s">
        <v>475</v>
      </c>
      <c r="B2093" s="125" t="s">
        <v>500</v>
      </c>
      <c r="C2093" s="125" t="s">
        <v>480</v>
      </c>
      <c r="D2093" s="125" t="s">
        <v>457</v>
      </c>
      <c r="E2093" s="125" t="s">
        <v>472</v>
      </c>
      <c r="F2093" s="126">
        <v>42852.0</v>
      </c>
      <c r="G2093" s="127">
        <v>4.36E8</v>
      </c>
      <c r="H2093" s="126">
        <v>42874.0</v>
      </c>
      <c r="I2093" s="128">
        <v>8183.0</v>
      </c>
      <c r="J2093" s="128">
        <v>437.2</v>
      </c>
      <c r="K2093" s="128">
        <v>263.33</v>
      </c>
      <c r="L2093" s="128">
        <v>3577608.0</v>
      </c>
      <c r="M2093" s="128">
        <v>2154829.0</v>
      </c>
      <c r="N2093" s="128">
        <v>1422778.0</v>
      </c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</row>
    <row r="2094">
      <c r="A2094" s="125" t="s">
        <v>451</v>
      </c>
      <c r="B2094" s="125" t="s">
        <v>455</v>
      </c>
      <c r="C2094" s="125" t="s">
        <v>480</v>
      </c>
      <c r="D2094" s="125" t="s">
        <v>454</v>
      </c>
      <c r="E2094" s="125" t="s">
        <v>189</v>
      </c>
      <c r="F2094" s="126">
        <v>42699.0</v>
      </c>
      <c r="G2094" s="127">
        <v>8.48E8</v>
      </c>
      <c r="H2094" s="126">
        <v>42734.0</v>
      </c>
      <c r="I2094" s="128">
        <v>6860.0</v>
      </c>
      <c r="J2094" s="128">
        <v>437.2</v>
      </c>
      <c r="K2094" s="128">
        <v>263.33</v>
      </c>
      <c r="L2094" s="128">
        <v>2999192.0</v>
      </c>
      <c r="M2094" s="128">
        <v>1806444.0</v>
      </c>
      <c r="N2094" s="128">
        <v>1192748.0</v>
      </c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</row>
    <row r="2095">
      <c r="A2095" s="125" t="s">
        <v>475</v>
      </c>
      <c r="B2095" s="125" t="s">
        <v>512</v>
      </c>
      <c r="C2095" s="125" t="s">
        <v>514</v>
      </c>
      <c r="D2095" s="125" t="s">
        <v>454</v>
      </c>
      <c r="E2095" s="125" t="s">
        <v>464</v>
      </c>
      <c r="F2095" s="126">
        <v>42845.0</v>
      </c>
      <c r="G2095" s="127">
        <v>3.06E8</v>
      </c>
      <c r="H2095" s="126">
        <v>42861.0</v>
      </c>
      <c r="I2095" s="128">
        <v>7984.0</v>
      </c>
      <c r="J2095" s="128">
        <v>668.27</v>
      </c>
      <c r="K2095" s="128">
        <v>502.54</v>
      </c>
      <c r="L2095" s="128">
        <v>5335468.0</v>
      </c>
      <c r="M2095" s="128">
        <v>4012279.0</v>
      </c>
      <c r="N2095" s="128">
        <v>1323188.0</v>
      </c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</row>
    <row r="2096">
      <c r="A2096" s="125" t="s">
        <v>475</v>
      </c>
      <c r="B2096" s="125" t="s">
        <v>624</v>
      </c>
      <c r="C2096" s="125" t="s">
        <v>460</v>
      </c>
      <c r="D2096" s="125" t="s">
        <v>454</v>
      </c>
      <c r="E2096" s="125" t="s">
        <v>189</v>
      </c>
      <c r="F2096" s="126">
        <v>42791.0</v>
      </c>
      <c r="G2096" s="127">
        <v>6.5E8</v>
      </c>
      <c r="H2096" s="126">
        <v>42827.0</v>
      </c>
      <c r="I2096" s="128">
        <v>5466.0</v>
      </c>
      <c r="J2096" s="128">
        <v>47.45</v>
      </c>
      <c r="K2096" s="128">
        <v>31.79</v>
      </c>
      <c r="L2096" s="128">
        <v>259361.7</v>
      </c>
      <c r="M2096" s="128">
        <v>173764.1</v>
      </c>
      <c r="N2096" s="128">
        <v>85597.56</v>
      </c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</row>
    <row r="2097">
      <c r="A2097" s="125" t="s">
        <v>458</v>
      </c>
      <c r="B2097" s="125" t="s">
        <v>459</v>
      </c>
      <c r="C2097" s="125" t="s">
        <v>478</v>
      </c>
      <c r="D2097" s="125" t="s">
        <v>457</v>
      </c>
      <c r="E2097" s="125" t="s">
        <v>472</v>
      </c>
      <c r="F2097" s="126">
        <v>41040.0</v>
      </c>
      <c r="G2097" s="127">
        <v>1.89E8</v>
      </c>
      <c r="H2097" s="126">
        <v>41090.0</v>
      </c>
      <c r="I2097" s="128">
        <v>249.0</v>
      </c>
      <c r="J2097" s="128">
        <v>651.21</v>
      </c>
      <c r="K2097" s="128">
        <v>524.96</v>
      </c>
      <c r="L2097" s="128">
        <v>162151.3</v>
      </c>
      <c r="M2097" s="128">
        <v>130715.0</v>
      </c>
      <c r="N2097" s="128">
        <v>31436.25</v>
      </c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</row>
    <row r="2098">
      <c r="A2098" s="125" t="s">
        <v>458</v>
      </c>
      <c r="B2098" s="125" t="s">
        <v>610</v>
      </c>
      <c r="C2098" s="125" t="s">
        <v>494</v>
      </c>
      <c r="D2098" s="125" t="s">
        <v>457</v>
      </c>
      <c r="E2098" s="125" t="s">
        <v>464</v>
      </c>
      <c r="F2098" s="126">
        <v>42018.0</v>
      </c>
      <c r="G2098" s="127">
        <v>4.52E8</v>
      </c>
      <c r="H2098" s="126">
        <v>42045.0</v>
      </c>
      <c r="I2098" s="128">
        <v>5306.0</v>
      </c>
      <c r="J2098" s="128">
        <v>9.33</v>
      </c>
      <c r="K2098" s="128">
        <v>6.92</v>
      </c>
      <c r="L2098" s="128">
        <v>49504.98</v>
      </c>
      <c r="M2098" s="128">
        <v>36717.52</v>
      </c>
      <c r="N2098" s="128">
        <v>12787.46</v>
      </c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</row>
    <row r="2099">
      <c r="A2099" s="125" t="s">
        <v>469</v>
      </c>
      <c r="B2099" s="125" t="s">
        <v>589</v>
      </c>
      <c r="C2099" s="125" t="s">
        <v>456</v>
      </c>
      <c r="D2099" s="125" t="s">
        <v>454</v>
      </c>
      <c r="E2099" s="125" t="s">
        <v>284</v>
      </c>
      <c r="F2099" s="126">
        <v>40860.0</v>
      </c>
      <c r="G2099" s="127">
        <v>3.41E8</v>
      </c>
      <c r="H2099" s="126">
        <v>40888.0</v>
      </c>
      <c r="I2099" s="128">
        <v>642.0</v>
      </c>
      <c r="J2099" s="128">
        <v>152.58</v>
      </c>
      <c r="K2099" s="128">
        <v>97.44</v>
      </c>
      <c r="L2099" s="128">
        <v>97956.36</v>
      </c>
      <c r="M2099" s="128">
        <v>62556.48</v>
      </c>
      <c r="N2099" s="128">
        <v>35399.88</v>
      </c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</row>
    <row r="2100">
      <c r="A2100" s="125" t="s">
        <v>461</v>
      </c>
      <c r="B2100" s="125" t="s">
        <v>578</v>
      </c>
      <c r="C2100" s="125" t="s">
        <v>480</v>
      </c>
      <c r="D2100" s="125" t="s">
        <v>454</v>
      </c>
      <c r="E2100" s="125" t="s">
        <v>284</v>
      </c>
      <c r="F2100" s="126">
        <v>41387.0</v>
      </c>
      <c r="G2100" s="127">
        <v>1.74E8</v>
      </c>
      <c r="H2100" s="126">
        <v>41410.0</v>
      </c>
      <c r="I2100" s="128">
        <v>8293.0</v>
      </c>
      <c r="J2100" s="128">
        <v>437.2</v>
      </c>
      <c r="K2100" s="128">
        <v>263.33</v>
      </c>
      <c r="L2100" s="128">
        <v>3625700.0</v>
      </c>
      <c r="M2100" s="128">
        <v>2183796.0</v>
      </c>
      <c r="N2100" s="128">
        <v>1441904.0</v>
      </c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</row>
    <row r="2101">
      <c r="A2101" s="125" t="s">
        <v>475</v>
      </c>
      <c r="B2101" s="125" t="s">
        <v>623</v>
      </c>
      <c r="C2101" s="125" t="s">
        <v>478</v>
      </c>
      <c r="D2101" s="125" t="s">
        <v>457</v>
      </c>
      <c r="E2101" s="125" t="s">
        <v>472</v>
      </c>
      <c r="F2101" s="126">
        <v>40892.0</v>
      </c>
      <c r="G2101" s="127">
        <v>3.42E8</v>
      </c>
      <c r="H2101" s="126">
        <v>40914.0</v>
      </c>
      <c r="I2101" s="128">
        <v>7327.0</v>
      </c>
      <c r="J2101" s="128">
        <v>651.21</v>
      </c>
      <c r="K2101" s="128">
        <v>524.96</v>
      </c>
      <c r="L2101" s="128">
        <v>4771416.0</v>
      </c>
      <c r="M2101" s="128">
        <v>3846382.0</v>
      </c>
      <c r="N2101" s="128">
        <v>925033.8</v>
      </c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</row>
    <row r="2102">
      <c r="A2102" s="125" t="s">
        <v>461</v>
      </c>
      <c r="B2102" s="125" t="s">
        <v>516</v>
      </c>
      <c r="C2102" s="125" t="s">
        <v>506</v>
      </c>
      <c r="D2102" s="125" t="s">
        <v>457</v>
      </c>
      <c r="E2102" s="125" t="s">
        <v>189</v>
      </c>
      <c r="F2102" s="126">
        <v>42592.0</v>
      </c>
      <c r="G2102" s="127">
        <v>8.58E8</v>
      </c>
      <c r="H2102" s="126">
        <v>42641.0</v>
      </c>
      <c r="I2102" s="128">
        <v>8843.0</v>
      </c>
      <c r="J2102" s="128">
        <v>154.06</v>
      </c>
      <c r="K2102" s="128">
        <v>90.93</v>
      </c>
      <c r="L2102" s="128">
        <v>1362353.0</v>
      </c>
      <c r="M2102" s="128">
        <v>804094.0</v>
      </c>
      <c r="N2102" s="128">
        <v>558258.6</v>
      </c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</row>
    <row r="2103">
      <c r="A2103" s="125" t="s">
        <v>475</v>
      </c>
      <c r="B2103" s="125" t="s">
        <v>651</v>
      </c>
      <c r="C2103" s="125" t="s">
        <v>453</v>
      </c>
      <c r="D2103" s="125" t="s">
        <v>457</v>
      </c>
      <c r="E2103" s="125" t="s">
        <v>472</v>
      </c>
      <c r="F2103" s="126">
        <v>40410.0</v>
      </c>
      <c r="G2103" s="127">
        <v>9.01E8</v>
      </c>
      <c r="H2103" s="126">
        <v>40424.0</v>
      </c>
      <c r="I2103" s="128">
        <v>969.0</v>
      </c>
      <c r="J2103" s="128">
        <v>255.28</v>
      </c>
      <c r="K2103" s="128">
        <v>159.42</v>
      </c>
      <c r="L2103" s="128">
        <v>247366.3</v>
      </c>
      <c r="M2103" s="128">
        <v>154478.0</v>
      </c>
      <c r="N2103" s="128">
        <v>92888.34</v>
      </c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</row>
    <row r="2104">
      <c r="A2104" s="125" t="s">
        <v>458</v>
      </c>
      <c r="B2104" s="125" t="s">
        <v>622</v>
      </c>
      <c r="C2104" s="125" t="s">
        <v>463</v>
      </c>
      <c r="D2104" s="125" t="s">
        <v>457</v>
      </c>
      <c r="E2104" s="125" t="s">
        <v>189</v>
      </c>
      <c r="F2104" s="126">
        <v>42490.0</v>
      </c>
      <c r="G2104" s="127">
        <v>1.74E8</v>
      </c>
      <c r="H2104" s="126">
        <v>42534.0</v>
      </c>
      <c r="I2104" s="128">
        <v>3867.0</v>
      </c>
      <c r="J2104" s="128">
        <v>205.7</v>
      </c>
      <c r="K2104" s="128">
        <v>117.11</v>
      </c>
      <c r="L2104" s="128">
        <v>795441.9</v>
      </c>
      <c r="M2104" s="128">
        <v>452864.4</v>
      </c>
      <c r="N2104" s="128">
        <v>342577.5</v>
      </c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</row>
    <row r="2105">
      <c r="A2105" s="125" t="s">
        <v>475</v>
      </c>
      <c r="B2105" s="125" t="s">
        <v>623</v>
      </c>
      <c r="C2105" s="125" t="s">
        <v>478</v>
      </c>
      <c r="D2105" s="125" t="s">
        <v>457</v>
      </c>
      <c r="E2105" s="125" t="s">
        <v>464</v>
      </c>
      <c r="F2105" s="126">
        <v>42149.0</v>
      </c>
      <c r="G2105" s="127">
        <v>2.49E8</v>
      </c>
      <c r="H2105" s="126">
        <v>42198.0</v>
      </c>
      <c r="I2105" s="128">
        <v>4731.0</v>
      </c>
      <c r="J2105" s="128">
        <v>651.21</v>
      </c>
      <c r="K2105" s="128">
        <v>524.96</v>
      </c>
      <c r="L2105" s="128">
        <v>3080875.0</v>
      </c>
      <c r="M2105" s="128">
        <v>2483586.0</v>
      </c>
      <c r="N2105" s="128">
        <v>597288.8</v>
      </c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</row>
    <row r="2106">
      <c r="A2106" s="125" t="s">
        <v>475</v>
      </c>
      <c r="B2106" s="125" t="s">
        <v>528</v>
      </c>
      <c r="C2106" s="125" t="s">
        <v>468</v>
      </c>
      <c r="D2106" s="125" t="s">
        <v>454</v>
      </c>
      <c r="E2106" s="125" t="s">
        <v>284</v>
      </c>
      <c r="F2106" s="126">
        <v>41394.0</v>
      </c>
      <c r="G2106" s="127">
        <v>5.17E8</v>
      </c>
      <c r="H2106" s="126">
        <v>41401.0</v>
      </c>
      <c r="I2106" s="128">
        <v>2782.0</v>
      </c>
      <c r="J2106" s="128">
        <v>81.73</v>
      </c>
      <c r="K2106" s="128">
        <v>56.67</v>
      </c>
      <c r="L2106" s="128">
        <v>227372.9</v>
      </c>
      <c r="M2106" s="128">
        <v>157655.9</v>
      </c>
      <c r="N2106" s="128">
        <v>69716.92</v>
      </c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</row>
    <row r="2107">
      <c r="A2107" s="125" t="s">
        <v>461</v>
      </c>
      <c r="B2107" s="125" t="s">
        <v>611</v>
      </c>
      <c r="C2107" s="125" t="s">
        <v>494</v>
      </c>
      <c r="D2107" s="125" t="s">
        <v>454</v>
      </c>
      <c r="E2107" s="125" t="s">
        <v>284</v>
      </c>
      <c r="F2107" s="126">
        <v>41236.0</v>
      </c>
      <c r="G2107" s="127">
        <v>4.42E8</v>
      </c>
      <c r="H2107" s="126">
        <v>41269.0</v>
      </c>
      <c r="I2107" s="128">
        <v>4277.0</v>
      </c>
      <c r="J2107" s="128">
        <v>9.33</v>
      </c>
      <c r="K2107" s="128">
        <v>6.92</v>
      </c>
      <c r="L2107" s="128">
        <v>39904.41</v>
      </c>
      <c r="M2107" s="128">
        <v>29596.84</v>
      </c>
      <c r="N2107" s="128">
        <v>10307.57</v>
      </c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</row>
    <row r="2108">
      <c r="A2108" s="125" t="s">
        <v>469</v>
      </c>
      <c r="B2108" s="125" t="s">
        <v>530</v>
      </c>
      <c r="C2108" s="125" t="s">
        <v>471</v>
      </c>
      <c r="D2108" s="125" t="s">
        <v>457</v>
      </c>
      <c r="E2108" s="125" t="s">
        <v>189</v>
      </c>
      <c r="F2108" s="126">
        <v>40309.0</v>
      </c>
      <c r="G2108" s="127">
        <v>9.05E8</v>
      </c>
      <c r="H2108" s="126">
        <v>40313.0</v>
      </c>
      <c r="I2108" s="128">
        <v>7500.0</v>
      </c>
      <c r="J2108" s="128">
        <v>109.28</v>
      </c>
      <c r="K2108" s="128">
        <v>35.84</v>
      </c>
      <c r="L2108" s="128">
        <v>819600.0</v>
      </c>
      <c r="M2108" s="128">
        <v>268800.0</v>
      </c>
      <c r="N2108" s="128">
        <v>550800.0</v>
      </c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</row>
    <row r="2109">
      <c r="A2109" s="125" t="s">
        <v>475</v>
      </c>
      <c r="B2109" s="125" t="s">
        <v>532</v>
      </c>
      <c r="C2109" s="125" t="s">
        <v>514</v>
      </c>
      <c r="D2109" s="125" t="s">
        <v>457</v>
      </c>
      <c r="E2109" s="125" t="s">
        <v>189</v>
      </c>
      <c r="F2109" s="126">
        <v>41786.0</v>
      </c>
      <c r="G2109" s="127">
        <v>1.62E8</v>
      </c>
      <c r="H2109" s="126">
        <v>41823.0</v>
      </c>
      <c r="I2109" s="128">
        <v>7771.0</v>
      </c>
      <c r="J2109" s="128">
        <v>668.27</v>
      </c>
      <c r="K2109" s="128">
        <v>502.54</v>
      </c>
      <c r="L2109" s="128">
        <v>5193126.0</v>
      </c>
      <c r="M2109" s="128">
        <v>3905238.0</v>
      </c>
      <c r="N2109" s="128">
        <v>1287888.0</v>
      </c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</row>
    <row r="2110">
      <c r="A2110" s="125" t="s">
        <v>466</v>
      </c>
      <c r="B2110" s="125" t="s">
        <v>491</v>
      </c>
      <c r="C2110" s="125" t="s">
        <v>494</v>
      </c>
      <c r="D2110" s="125" t="s">
        <v>454</v>
      </c>
      <c r="E2110" s="125" t="s">
        <v>284</v>
      </c>
      <c r="F2110" s="126">
        <v>40931.0</v>
      </c>
      <c r="G2110" s="127">
        <v>5.84E8</v>
      </c>
      <c r="H2110" s="126">
        <v>40941.0</v>
      </c>
      <c r="I2110" s="128">
        <v>2437.0</v>
      </c>
      <c r="J2110" s="128">
        <v>9.33</v>
      </c>
      <c r="K2110" s="128">
        <v>6.92</v>
      </c>
      <c r="L2110" s="128">
        <v>22737.21</v>
      </c>
      <c r="M2110" s="128">
        <v>16864.04</v>
      </c>
      <c r="N2110" s="128">
        <v>5873.17</v>
      </c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</row>
    <row r="2111">
      <c r="A2111" s="125" t="s">
        <v>475</v>
      </c>
      <c r="B2111" s="125" t="s">
        <v>549</v>
      </c>
      <c r="C2111" s="125" t="s">
        <v>456</v>
      </c>
      <c r="D2111" s="125" t="s">
        <v>454</v>
      </c>
      <c r="E2111" s="125" t="s">
        <v>464</v>
      </c>
      <c r="F2111" s="126">
        <v>40311.0</v>
      </c>
      <c r="G2111" s="127">
        <v>1.15E8</v>
      </c>
      <c r="H2111" s="126">
        <v>40354.0</v>
      </c>
      <c r="I2111" s="128">
        <v>5878.0</v>
      </c>
      <c r="J2111" s="128">
        <v>152.58</v>
      </c>
      <c r="K2111" s="128">
        <v>97.44</v>
      </c>
      <c r="L2111" s="128">
        <v>896865.2</v>
      </c>
      <c r="M2111" s="128">
        <v>572752.3</v>
      </c>
      <c r="N2111" s="128">
        <v>324112.9</v>
      </c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</row>
    <row r="2112">
      <c r="A2112" s="125" t="s">
        <v>458</v>
      </c>
      <c r="B2112" s="125" t="s">
        <v>622</v>
      </c>
      <c r="C2112" s="125" t="s">
        <v>485</v>
      </c>
      <c r="D2112" s="125" t="s">
        <v>454</v>
      </c>
      <c r="E2112" s="125" t="s">
        <v>472</v>
      </c>
      <c r="F2112" s="126">
        <v>42883.0</v>
      </c>
      <c r="G2112" s="127">
        <v>8.2E8</v>
      </c>
      <c r="H2112" s="126">
        <v>42897.0</v>
      </c>
      <c r="I2112" s="128">
        <v>4505.0</v>
      </c>
      <c r="J2112" s="128">
        <v>421.89</v>
      </c>
      <c r="K2112" s="128">
        <v>364.69</v>
      </c>
      <c r="L2112" s="128">
        <v>1900614.0</v>
      </c>
      <c r="M2112" s="128">
        <v>1642928.0</v>
      </c>
      <c r="N2112" s="128">
        <v>257686.0</v>
      </c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</row>
    <row r="2113">
      <c r="A2113" s="125" t="s">
        <v>475</v>
      </c>
      <c r="B2113" s="125" t="s">
        <v>570</v>
      </c>
      <c r="C2113" s="125" t="s">
        <v>478</v>
      </c>
      <c r="D2113" s="125" t="s">
        <v>457</v>
      </c>
      <c r="E2113" s="125" t="s">
        <v>472</v>
      </c>
      <c r="F2113" s="126">
        <v>42310.0</v>
      </c>
      <c r="G2113" s="127">
        <v>3.34E8</v>
      </c>
      <c r="H2113" s="126">
        <v>42355.0</v>
      </c>
      <c r="I2113" s="128">
        <v>1761.0</v>
      </c>
      <c r="J2113" s="128">
        <v>651.21</v>
      </c>
      <c r="K2113" s="128">
        <v>524.96</v>
      </c>
      <c r="L2113" s="128">
        <v>1146781.0</v>
      </c>
      <c r="M2113" s="128">
        <v>924454.6</v>
      </c>
      <c r="N2113" s="128">
        <v>222326.3</v>
      </c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</row>
    <row r="2114">
      <c r="A2114" s="125" t="s">
        <v>458</v>
      </c>
      <c r="B2114" s="125" t="s">
        <v>554</v>
      </c>
      <c r="C2114" s="125" t="s">
        <v>468</v>
      </c>
      <c r="D2114" s="125" t="s">
        <v>457</v>
      </c>
      <c r="E2114" s="125" t="s">
        <v>464</v>
      </c>
      <c r="F2114" s="126">
        <v>40945.0</v>
      </c>
      <c r="G2114" s="127">
        <v>4.1E8</v>
      </c>
      <c r="H2114" s="126">
        <v>40961.0</v>
      </c>
      <c r="I2114" s="128">
        <v>3119.0</v>
      </c>
      <c r="J2114" s="128">
        <v>81.73</v>
      </c>
      <c r="K2114" s="128">
        <v>56.67</v>
      </c>
      <c r="L2114" s="128">
        <v>254915.9</v>
      </c>
      <c r="M2114" s="128">
        <v>176753.7</v>
      </c>
      <c r="N2114" s="128">
        <v>78162.14</v>
      </c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</row>
    <row r="2115">
      <c r="A2115" s="125" t="s">
        <v>458</v>
      </c>
      <c r="B2115" s="125" t="s">
        <v>626</v>
      </c>
      <c r="C2115" s="125" t="s">
        <v>453</v>
      </c>
      <c r="D2115" s="125" t="s">
        <v>457</v>
      </c>
      <c r="E2115" s="125" t="s">
        <v>284</v>
      </c>
      <c r="F2115" s="126">
        <v>42910.0</v>
      </c>
      <c r="G2115" s="127">
        <v>1.75E8</v>
      </c>
      <c r="H2115" s="126">
        <v>42960.0</v>
      </c>
      <c r="I2115" s="128">
        <v>1085.0</v>
      </c>
      <c r="J2115" s="128">
        <v>255.28</v>
      </c>
      <c r="K2115" s="128">
        <v>159.42</v>
      </c>
      <c r="L2115" s="128">
        <v>276978.8</v>
      </c>
      <c r="M2115" s="128">
        <v>172970.7</v>
      </c>
      <c r="N2115" s="128">
        <v>104008.1</v>
      </c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</row>
    <row r="2116">
      <c r="A2116" s="125" t="s">
        <v>475</v>
      </c>
      <c r="B2116" s="125" t="s">
        <v>552</v>
      </c>
      <c r="C2116" s="125" t="s">
        <v>478</v>
      </c>
      <c r="D2116" s="125" t="s">
        <v>454</v>
      </c>
      <c r="E2116" s="125" t="s">
        <v>189</v>
      </c>
      <c r="F2116" s="126">
        <v>41654.0</v>
      </c>
      <c r="G2116" s="127">
        <v>1.72E8</v>
      </c>
      <c r="H2116" s="126">
        <v>41684.0</v>
      </c>
      <c r="I2116" s="128">
        <v>194.0</v>
      </c>
      <c r="J2116" s="128">
        <v>651.21</v>
      </c>
      <c r="K2116" s="128">
        <v>524.96</v>
      </c>
      <c r="L2116" s="128">
        <v>126334.7</v>
      </c>
      <c r="M2116" s="128">
        <v>101842.2</v>
      </c>
      <c r="N2116" s="128">
        <v>24492.5</v>
      </c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</row>
    <row r="2117">
      <c r="A2117" s="125" t="s">
        <v>458</v>
      </c>
      <c r="B2117" s="125" t="s">
        <v>641</v>
      </c>
      <c r="C2117" s="125" t="s">
        <v>456</v>
      </c>
      <c r="D2117" s="125" t="s">
        <v>457</v>
      </c>
      <c r="E2117" s="125" t="s">
        <v>464</v>
      </c>
      <c r="F2117" s="126">
        <v>40696.0</v>
      </c>
      <c r="G2117" s="127">
        <v>1.19E8</v>
      </c>
      <c r="H2117" s="126">
        <v>40725.0</v>
      </c>
      <c r="I2117" s="128">
        <v>2013.0</v>
      </c>
      <c r="J2117" s="128">
        <v>152.58</v>
      </c>
      <c r="K2117" s="128">
        <v>97.44</v>
      </c>
      <c r="L2117" s="128">
        <v>307143.5</v>
      </c>
      <c r="M2117" s="128">
        <v>196146.7</v>
      </c>
      <c r="N2117" s="128">
        <v>110996.8</v>
      </c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</row>
    <row r="2118">
      <c r="A2118" s="125" t="s">
        <v>466</v>
      </c>
      <c r="B2118" s="125" t="s">
        <v>492</v>
      </c>
      <c r="C2118" s="125" t="s">
        <v>471</v>
      </c>
      <c r="D2118" s="125" t="s">
        <v>454</v>
      </c>
      <c r="E2118" s="125" t="s">
        <v>472</v>
      </c>
      <c r="F2118" s="126">
        <v>41175.0</v>
      </c>
      <c r="G2118" s="127">
        <v>2.5E8</v>
      </c>
      <c r="H2118" s="126">
        <v>41207.0</v>
      </c>
      <c r="I2118" s="128">
        <v>142.0</v>
      </c>
      <c r="J2118" s="128">
        <v>109.28</v>
      </c>
      <c r="K2118" s="128">
        <v>35.84</v>
      </c>
      <c r="L2118" s="128">
        <v>15517.76</v>
      </c>
      <c r="M2118" s="128">
        <v>5089.28</v>
      </c>
      <c r="N2118" s="128">
        <v>10428.48</v>
      </c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</row>
    <row r="2119">
      <c r="A2119" s="125" t="s">
        <v>466</v>
      </c>
      <c r="B2119" s="125" t="s">
        <v>584</v>
      </c>
      <c r="C2119" s="125" t="s">
        <v>453</v>
      </c>
      <c r="D2119" s="125" t="s">
        <v>454</v>
      </c>
      <c r="E2119" s="125" t="s">
        <v>464</v>
      </c>
      <c r="F2119" s="126">
        <v>40475.0</v>
      </c>
      <c r="G2119" s="127">
        <v>8.73E8</v>
      </c>
      <c r="H2119" s="126">
        <v>40488.0</v>
      </c>
      <c r="I2119" s="128">
        <v>5210.0</v>
      </c>
      <c r="J2119" s="128">
        <v>255.28</v>
      </c>
      <c r="K2119" s="128">
        <v>159.42</v>
      </c>
      <c r="L2119" s="128">
        <v>1330009.0</v>
      </c>
      <c r="M2119" s="128">
        <v>830578.2</v>
      </c>
      <c r="N2119" s="128">
        <v>499430.6</v>
      </c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</row>
    <row r="2120">
      <c r="A2120" s="125" t="s">
        <v>461</v>
      </c>
      <c r="B2120" s="125" t="s">
        <v>611</v>
      </c>
      <c r="C2120" s="125" t="s">
        <v>460</v>
      </c>
      <c r="D2120" s="125" t="s">
        <v>454</v>
      </c>
      <c r="E2120" s="125" t="s">
        <v>464</v>
      </c>
      <c r="F2120" s="126">
        <v>41896.0</v>
      </c>
      <c r="G2120" s="127">
        <v>1.14E8</v>
      </c>
      <c r="H2120" s="126">
        <v>41906.0</v>
      </c>
      <c r="I2120" s="128">
        <v>9879.0</v>
      </c>
      <c r="J2120" s="128">
        <v>47.45</v>
      </c>
      <c r="K2120" s="128">
        <v>31.79</v>
      </c>
      <c r="L2120" s="128">
        <v>468758.6</v>
      </c>
      <c r="M2120" s="128">
        <v>314053.4</v>
      </c>
      <c r="N2120" s="128">
        <v>154705.1</v>
      </c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</row>
    <row r="2121">
      <c r="A2121" s="125" t="s">
        <v>458</v>
      </c>
      <c r="B2121" s="125" t="s">
        <v>642</v>
      </c>
      <c r="C2121" s="125" t="s">
        <v>480</v>
      </c>
      <c r="D2121" s="125" t="s">
        <v>457</v>
      </c>
      <c r="E2121" s="125" t="s">
        <v>472</v>
      </c>
      <c r="F2121" s="126">
        <v>42215.0</v>
      </c>
      <c r="G2121" s="127">
        <v>6.7E8</v>
      </c>
      <c r="H2121" s="126">
        <v>42263.0</v>
      </c>
      <c r="I2121" s="128">
        <v>3840.0</v>
      </c>
      <c r="J2121" s="128">
        <v>437.2</v>
      </c>
      <c r="K2121" s="128">
        <v>263.33</v>
      </c>
      <c r="L2121" s="128">
        <v>1678848.0</v>
      </c>
      <c r="M2121" s="128">
        <v>1011187.0</v>
      </c>
      <c r="N2121" s="128">
        <v>667660.8</v>
      </c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</row>
    <row r="2122">
      <c r="A2122" s="125" t="s">
        <v>451</v>
      </c>
      <c r="B2122" s="125" t="s">
        <v>620</v>
      </c>
      <c r="C2122" s="125" t="s">
        <v>453</v>
      </c>
      <c r="D2122" s="125" t="s">
        <v>457</v>
      </c>
      <c r="E2122" s="125" t="s">
        <v>464</v>
      </c>
      <c r="F2122" s="126">
        <v>41363.0</v>
      </c>
      <c r="G2122" s="127">
        <v>3.57E8</v>
      </c>
      <c r="H2122" s="126">
        <v>41378.0</v>
      </c>
      <c r="I2122" s="128">
        <v>8818.0</v>
      </c>
      <c r="J2122" s="128">
        <v>255.28</v>
      </c>
      <c r="K2122" s="128">
        <v>159.42</v>
      </c>
      <c r="L2122" s="128">
        <v>2251059.0</v>
      </c>
      <c r="M2122" s="128">
        <v>1405766.0</v>
      </c>
      <c r="N2122" s="128">
        <v>845293.5</v>
      </c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</row>
    <row r="2123">
      <c r="A2123" s="125" t="s">
        <v>475</v>
      </c>
      <c r="B2123" s="125" t="s">
        <v>651</v>
      </c>
      <c r="C2123" s="125" t="s">
        <v>460</v>
      </c>
      <c r="D2123" s="125" t="s">
        <v>457</v>
      </c>
      <c r="E2123" s="125" t="s">
        <v>464</v>
      </c>
      <c r="F2123" s="126">
        <v>41044.0</v>
      </c>
      <c r="G2123" s="127">
        <v>6.64E8</v>
      </c>
      <c r="H2123" s="126">
        <v>41084.0</v>
      </c>
      <c r="I2123" s="128">
        <v>3567.0</v>
      </c>
      <c r="J2123" s="128">
        <v>47.45</v>
      </c>
      <c r="K2123" s="128">
        <v>31.79</v>
      </c>
      <c r="L2123" s="128">
        <v>169254.2</v>
      </c>
      <c r="M2123" s="128">
        <v>113394.9</v>
      </c>
      <c r="N2123" s="128">
        <v>55859.22</v>
      </c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</row>
    <row r="2124">
      <c r="A2124" s="125" t="s">
        <v>461</v>
      </c>
      <c r="B2124" s="125" t="s">
        <v>522</v>
      </c>
      <c r="C2124" s="125" t="s">
        <v>463</v>
      </c>
      <c r="D2124" s="125" t="s">
        <v>457</v>
      </c>
      <c r="E2124" s="125" t="s">
        <v>189</v>
      </c>
      <c r="F2124" s="126">
        <v>40582.0</v>
      </c>
      <c r="G2124" s="127">
        <v>8.99E8</v>
      </c>
      <c r="H2124" s="126">
        <v>40594.0</v>
      </c>
      <c r="I2124" s="128">
        <v>8873.0</v>
      </c>
      <c r="J2124" s="128">
        <v>205.7</v>
      </c>
      <c r="K2124" s="128">
        <v>117.11</v>
      </c>
      <c r="L2124" s="128">
        <v>1825176.0</v>
      </c>
      <c r="M2124" s="128">
        <v>1039117.0</v>
      </c>
      <c r="N2124" s="128">
        <v>786059.1</v>
      </c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</row>
    <row r="2125">
      <c r="A2125" s="125" t="s">
        <v>458</v>
      </c>
      <c r="B2125" s="125" t="s">
        <v>553</v>
      </c>
      <c r="C2125" s="125" t="s">
        <v>468</v>
      </c>
      <c r="D2125" s="125" t="s">
        <v>454</v>
      </c>
      <c r="E2125" s="125" t="s">
        <v>189</v>
      </c>
      <c r="F2125" s="126">
        <v>41077.0</v>
      </c>
      <c r="G2125" s="127">
        <v>4.39E8</v>
      </c>
      <c r="H2125" s="126">
        <v>41086.0</v>
      </c>
      <c r="I2125" s="128">
        <v>2554.0</v>
      </c>
      <c r="J2125" s="128">
        <v>81.73</v>
      </c>
      <c r="K2125" s="128">
        <v>56.67</v>
      </c>
      <c r="L2125" s="128">
        <v>208738.4</v>
      </c>
      <c r="M2125" s="128">
        <v>144735.2</v>
      </c>
      <c r="N2125" s="128">
        <v>64003.24</v>
      </c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</row>
    <row r="2126">
      <c r="A2126" s="125" t="s">
        <v>466</v>
      </c>
      <c r="B2126" s="125" t="s">
        <v>479</v>
      </c>
      <c r="C2126" s="125" t="s">
        <v>468</v>
      </c>
      <c r="D2126" s="125" t="s">
        <v>457</v>
      </c>
      <c r="E2126" s="125" t="s">
        <v>464</v>
      </c>
      <c r="F2126" s="126">
        <v>41249.0</v>
      </c>
      <c r="G2126" s="127">
        <v>9.83E8</v>
      </c>
      <c r="H2126" s="126">
        <v>41274.0</v>
      </c>
      <c r="I2126" s="128">
        <v>4459.0</v>
      </c>
      <c r="J2126" s="128">
        <v>81.73</v>
      </c>
      <c r="K2126" s="128">
        <v>56.67</v>
      </c>
      <c r="L2126" s="128">
        <v>364434.1</v>
      </c>
      <c r="M2126" s="128">
        <v>252691.5</v>
      </c>
      <c r="N2126" s="128">
        <v>111742.5</v>
      </c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</row>
    <row r="2127">
      <c r="A2127" s="125" t="s">
        <v>475</v>
      </c>
      <c r="B2127" s="125" t="s">
        <v>640</v>
      </c>
      <c r="C2127" s="125" t="s">
        <v>480</v>
      </c>
      <c r="D2127" s="125" t="s">
        <v>454</v>
      </c>
      <c r="E2127" s="125" t="s">
        <v>472</v>
      </c>
      <c r="F2127" s="126">
        <v>41592.0</v>
      </c>
      <c r="G2127" s="127">
        <v>7.01E8</v>
      </c>
      <c r="H2127" s="126">
        <v>41631.0</v>
      </c>
      <c r="I2127" s="128">
        <v>1467.0</v>
      </c>
      <c r="J2127" s="128">
        <v>437.2</v>
      </c>
      <c r="K2127" s="128">
        <v>263.33</v>
      </c>
      <c r="L2127" s="128">
        <v>641372.4</v>
      </c>
      <c r="M2127" s="128">
        <v>386305.1</v>
      </c>
      <c r="N2127" s="128">
        <v>255067.3</v>
      </c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</row>
    <row r="2128">
      <c r="A2128" s="125" t="s">
        <v>451</v>
      </c>
      <c r="B2128" s="125" t="s">
        <v>587</v>
      </c>
      <c r="C2128" s="125" t="s">
        <v>463</v>
      </c>
      <c r="D2128" s="125" t="s">
        <v>457</v>
      </c>
      <c r="E2128" s="125" t="s">
        <v>189</v>
      </c>
      <c r="F2128" s="126">
        <v>40220.0</v>
      </c>
      <c r="G2128" s="127">
        <v>9.8E8</v>
      </c>
      <c r="H2128" s="126">
        <v>40264.0</v>
      </c>
      <c r="I2128" s="128">
        <v>2489.0</v>
      </c>
      <c r="J2128" s="128">
        <v>205.7</v>
      </c>
      <c r="K2128" s="128">
        <v>117.11</v>
      </c>
      <c r="L2128" s="128">
        <v>511987.3</v>
      </c>
      <c r="M2128" s="128">
        <v>291486.8</v>
      </c>
      <c r="N2128" s="128">
        <v>220500.5</v>
      </c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</row>
    <row r="2129">
      <c r="A2129" s="125" t="s">
        <v>451</v>
      </c>
      <c r="B2129" s="125" t="s">
        <v>499</v>
      </c>
      <c r="C2129" s="125" t="s">
        <v>478</v>
      </c>
      <c r="D2129" s="125" t="s">
        <v>454</v>
      </c>
      <c r="E2129" s="125" t="s">
        <v>284</v>
      </c>
      <c r="F2129" s="126">
        <v>42555.0</v>
      </c>
      <c r="G2129" s="127">
        <v>5.81E8</v>
      </c>
      <c r="H2129" s="126">
        <v>42577.0</v>
      </c>
      <c r="I2129" s="128">
        <v>3468.0</v>
      </c>
      <c r="J2129" s="128">
        <v>651.21</v>
      </c>
      <c r="K2129" s="128">
        <v>524.96</v>
      </c>
      <c r="L2129" s="128">
        <v>2258396.0</v>
      </c>
      <c r="M2129" s="128">
        <v>1820561.0</v>
      </c>
      <c r="N2129" s="128">
        <v>437835.0</v>
      </c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</row>
    <row r="2130">
      <c r="A2130" s="125" t="s">
        <v>458</v>
      </c>
      <c r="B2130" s="125" t="s">
        <v>597</v>
      </c>
      <c r="C2130" s="125" t="s">
        <v>514</v>
      </c>
      <c r="D2130" s="125" t="s">
        <v>454</v>
      </c>
      <c r="E2130" s="125" t="s">
        <v>189</v>
      </c>
      <c r="F2130" s="126">
        <v>40574.0</v>
      </c>
      <c r="G2130" s="127">
        <v>5.83E8</v>
      </c>
      <c r="H2130" s="126">
        <v>40593.0</v>
      </c>
      <c r="I2130" s="128">
        <v>2378.0</v>
      </c>
      <c r="J2130" s="128">
        <v>668.27</v>
      </c>
      <c r="K2130" s="128">
        <v>502.54</v>
      </c>
      <c r="L2130" s="128">
        <v>1589146.0</v>
      </c>
      <c r="M2130" s="128">
        <v>1195040.0</v>
      </c>
      <c r="N2130" s="128">
        <v>394105.9</v>
      </c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</row>
    <row r="2131">
      <c r="A2131" s="125" t="s">
        <v>466</v>
      </c>
      <c r="B2131" s="125" t="s">
        <v>580</v>
      </c>
      <c r="C2131" s="125" t="s">
        <v>456</v>
      </c>
      <c r="D2131" s="125" t="s">
        <v>457</v>
      </c>
      <c r="E2131" s="125" t="s">
        <v>284</v>
      </c>
      <c r="F2131" s="126">
        <v>41859.0</v>
      </c>
      <c r="G2131" s="127">
        <v>3.36E8</v>
      </c>
      <c r="H2131" s="126">
        <v>41876.0</v>
      </c>
      <c r="I2131" s="128">
        <v>4223.0</v>
      </c>
      <c r="J2131" s="128">
        <v>152.58</v>
      </c>
      <c r="K2131" s="128">
        <v>97.44</v>
      </c>
      <c r="L2131" s="128">
        <v>644345.3</v>
      </c>
      <c r="M2131" s="128">
        <v>411489.1</v>
      </c>
      <c r="N2131" s="128">
        <v>232856.2</v>
      </c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</row>
    <row r="2132">
      <c r="A2132" s="125" t="s">
        <v>475</v>
      </c>
      <c r="B2132" s="125" t="s">
        <v>651</v>
      </c>
      <c r="C2132" s="125" t="s">
        <v>506</v>
      </c>
      <c r="D2132" s="125" t="s">
        <v>454</v>
      </c>
      <c r="E2132" s="125" t="s">
        <v>464</v>
      </c>
      <c r="F2132" s="126">
        <v>40550.0</v>
      </c>
      <c r="G2132" s="127">
        <v>6.1E8</v>
      </c>
      <c r="H2132" s="126">
        <v>40563.0</v>
      </c>
      <c r="I2132" s="128">
        <v>6039.0</v>
      </c>
      <c r="J2132" s="128">
        <v>154.06</v>
      </c>
      <c r="K2132" s="128">
        <v>90.93</v>
      </c>
      <c r="L2132" s="128">
        <v>930368.3</v>
      </c>
      <c r="M2132" s="128">
        <v>549126.3</v>
      </c>
      <c r="N2132" s="128">
        <v>381242.1</v>
      </c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</row>
    <row r="2133">
      <c r="A2133" s="125" t="s">
        <v>469</v>
      </c>
      <c r="B2133" s="125" t="s">
        <v>647</v>
      </c>
      <c r="C2133" s="125" t="s">
        <v>471</v>
      </c>
      <c r="D2133" s="125" t="s">
        <v>454</v>
      </c>
      <c r="E2133" s="125" t="s">
        <v>284</v>
      </c>
      <c r="F2133" s="126">
        <v>40856.0</v>
      </c>
      <c r="G2133" s="127">
        <v>4.47E8</v>
      </c>
      <c r="H2133" s="126">
        <v>40899.0</v>
      </c>
      <c r="I2133" s="128">
        <v>1894.0</v>
      </c>
      <c r="J2133" s="128">
        <v>109.28</v>
      </c>
      <c r="K2133" s="128">
        <v>35.84</v>
      </c>
      <c r="L2133" s="128">
        <v>206976.3</v>
      </c>
      <c r="M2133" s="128">
        <v>67880.96</v>
      </c>
      <c r="N2133" s="128">
        <v>139095.4</v>
      </c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</row>
    <row r="2134">
      <c r="A2134" s="125" t="s">
        <v>451</v>
      </c>
      <c r="B2134" s="125" t="s">
        <v>455</v>
      </c>
      <c r="C2134" s="125" t="s">
        <v>468</v>
      </c>
      <c r="D2134" s="125" t="s">
        <v>454</v>
      </c>
      <c r="E2134" s="125" t="s">
        <v>472</v>
      </c>
      <c r="F2134" s="126">
        <v>41844.0</v>
      </c>
      <c r="G2134" s="127">
        <v>3.08E8</v>
      </c>
      <c r="H2134" s="126">
        <v>41847.0</v>
      </c>
      <c r="I2134" s="128">
        <v>7887.0</v>
      </c>
      <c r="J2134" s="128">
        <v>81.73</v>
      </c>
      <c r="K2134" s="128">
        <v>56.67</v>
      </c>
      <c r="L2134" s="128">
        <v>644604.5</v>
      </c>
      <c r="M2134" s="128">
        <v>446956.3</v>
      </c>
      <c r="N2134" s="128">
        <v>197648.2</v>
      </c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</row>
    <row r="2135">
      <c r="A2135" s="125" t="s">
        <v>451</v>
      </c>
      <c r="B2135" s="125" t="s">
        <v>620</v>
      </c>
      <c r="C2135" s="125" t="s">
        <v>480</v>
      </c>
      <c r="D2135" s="125" t="s">
        <v>454</v>
      </c>
      <c r="E2135" s="125" t="s">
        <v>472</v>
      </c>
      <c r="F2135" s="126">
        <v>41587.0</v>
      </c>
      <c r="G2135" s="127">
        <v>7.22E8</v>
      </c>
      <c r="H2135" s="126">
        <v>41619.0</v>
      </c>
      <c r="I2135" s="128">
        <v>7147.0</v>
      </c>
      <c r="J2135" s="128">
        <v>437.2</v>
      </c>
      <c r="K2135" s="128">
        <v>263.33</v>
      </c>
      <c r="L2135" s="128">
        <v>3124668.0</v>
      </c>
      <c r="M2135" s="128">
        <v>1882020.0</v>
      </c>
      <c r="N2135" s="128">
        <v>1242649.0</v>
      </c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</row>
    <row r="2136">
      <c r="A2136" s="125" t="s">
        <v>458</v>
      </c>
      <c r="B2136" s="125" t="s">
        <v>540</v>
      </c>
      <c r="C2136" s="125" t="s">
        <v>456</v>
      </c>
      <c r="D2136" s="125" t="s">
        <v>454</v>
      </c>
      <c r="E2136" s="125" t="s">
        <v>189</v>
      </c>
      <c r="F2136" s="126">
        <v>41313.0</v>
      </c>
      <c r="G2136" s="127">
        <v>9.43E8</v>
      </c>
      <c r="H2136" s="126">
        <v>41341.0</v>
      </c>
      <c r="I2136" s="128">
        <v>4836.0</v>
      </c>
      <c r="J2136" s="128">
        <v>152.58</v>
      </c>
      <c r="K2136" s="128">
        <v>97.44</v>
      </c>
      <c r="L2136" s="128">
        <v>737876.9</v>
      </c>
      <c r="M2136" s="128">
        <v>471219.8</v>
      </c>
      <c r="N2136" s="128">
        <v>266657.0</v>
      </c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</row>
    <row r="2137">
      <c r="A2137" s="125" t="s">
        <v>461</v>
      </c>
      <c r="B2137" s="125" t="s">
        <v>644</v>
      </c>
      <c r="C2137" s="125" t="s">
        <v>460</v>
      </c>
      <c r="D2137" s="125" t="s">
        <v>457</v>
      </c>
      <c r="E2137" s="125" t="s">
        <v>189</v>
      </c>
      <c r="F2137" s="126">
        <v>41255.0</v>
      </c>
      <c r="G2137" s="127">
        <v>2.92E8</v>
      </c>
      <c r="H2137" s="126">
        <v>41285.0</v>
      </c>
      <c r="I2137" s="128">
        <v>3145.0</v>
      </c>
      <c r="J2137" s="128">
        <v>47.45</v>
      </c>
      <c r="K2137" s="128">
        <v>31.79</v>
      </c>
      <c r="L2137" s="128">
        <v>149230.3</v>
      </c>
      <c r="M2137" s="128">
        <v>99979.55</v>
      </c>
      <c r="N2137" s="128">
        <v>49250.7</v>
      </c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</row>
    <row r="2138">
      <c r="A2138" s="125" t="s">
        <v>466</v>
      </c>
      <c r="B2138" s="125" t="s">
        <v>658</v>
      </c>
      <c r="C2138" s="125" t="s">
        <v>506</v>
      </c>
      <c r="D2138" s="125" t="s">
        <v>457</v>
      </c>
      <c r="E2138" s="125" t="s">
        <v>284</v>
      </c>
      <c r="F2138" s="126">
        <v>42035.0</v>
      </c>
      <c r="G2138" s="127">
        <v>4.12E8</v>
      </c>
      <c r="H2138" s="126">
        <v>42073.0</v>
      </c>
      <c r="I2138" s="128">
        <v>6299.0</v>
      </c>
      <c r="J2138" s="128">
        <v>154.06</v>
      </c>
      <c r="K2138" s="128">
        <v>90.93</v>
      </c>
      <c r="L2138" s="128">
        <v>970423.9</v>
      </c>
      <c r="M2138" s="128">
        <v>572768.1</v>
      </c>
      <c r="N2138" s="128">
        <v>397655.9</v>
      </c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</row>
    <row r="2139">
      <c r="A2139" s="125" t="s">
        <v>458</v>
      </c>
      <c r="B2139" s="125" t="s">
        <v>583</v>
      </c>
      <c r="C2139" s="125" t="s">
        <v>478</v>
      </c>
      <c r="D2139" s="125" t="s">
        <v>454</v>
      </c>
      <c r="E2139" s="125" t="s">
        <v>472</v>
      </c>
      <c r="F2139" s="126">
        <v>40517.0</v>
      </c>
      <c r="G2139" s="127">
        <v>3.14E8</v>
      </c>
      <c r="H2139" s="126">
        <v>40560.0</v>
      </c>
      <c r="I2139" s="128">
        <v>5552.0</v>
      </c>
      <c r="J2139" s="128">
        <v>651.21</v>
      </c>
      <c r="K2139" s="128">
        <v>524.96</v>
      </c>
      <c r="L2139" s="128">
        <v>3615518.0</v>
      </c>
      <c r="M2139" s="128">
        <v>2914578.0</v>
      </c>
      <c r="N2139" s="128">
        <v>700940.0</v>
      </c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</row>
    <row r="2140">
      <c r="A2140" s="125" t="s">
        <v>458</v>
      </c>
      <c r="B2140" s="125" t="s">
        <v>633</v>
      </c>
      <c r="C2140" s="125" t="s">
        <v>460</v>
      </c>
      <c r="D2140" s="125" t="s">
        <v>454</v>
      </c>
      <c r="E2140" s="125" t="s">
        <v>189</v>
      </c>
      <c r="F2140" s="126">
        <v>42249.0</v>
      </c>
      <c r="G2140" s="127">
        <v>4.32E8</v>
      </c>
      <c r="H2140" s="126">
        <v>42296.0</v>
      </c>
      <c r="I2140" s="128">
        <v>4191.0</v>
      </c>
      <c r="J2140" s="128">
        <v>47.45</v>
      </c>
      <c r="K2140" s="128">
        <v>31.79</v>
      </c>
      <c r="L2140" s="128">
        <v>198863.0</v>
      </c>
      <c r="M2140" s="128">
        <v>133231.9</v>
      </c>
      <c r="N2140" s="128">
        <v>65631.06</v>
      </c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</row>
    <row r="2141">
      <c r="A2141" s="125" t="s">
        <v>461</v>
      </c>
      <c r="B2141" s="125" t="s">
        <v>618</v>
      </c>
      <c r="C2141" s="125" t="s">
        <v>453</v>
      </c>
      <c r="D2141" s="125" t="s">
        <v>454</v>
      </c>
      <c r="E2141" s="125" t="s">
        <v>189</v>
      </c>
      <c r="F2141" s="126">
        <v>40724.0</v>
      </c>
      <c r="G2141" s="127">
        <v>3.69E8</v>
      </c>
      <c r="H2141" s="126">
        <v>40765.0</v>
      </c>
      <c r="I2141" s="128">
        <v>2533.0</v>
      </c>
      <c r="J2141" s="128">
        <v>255.28</v>
      </c>
      <c r="K2141" s="128">
        <v>159.42</v>
      </c>
      <c r="L2141" s="128">
        <v>646624.2</v>
      </c>
      <c r="M2141" s="128">
        <v>403810.9</v>
      </c>
      <c r="N2141" s="128">
        <v>242813.4</v>
      </c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</row>
    <row r="2142">
      <c r="A2142" s="125" t="s">
        <v>475</v>
      </c>
      <c r="B2142" s="125" t="s">
        <v>507</v>
      </c>
      <c r="C2142" s="125" t="s">
        <v>506</v>
      </c>
      <c r="D2142" s="125" t="s">
        <v>457</v>
      </c>
      <c r="E2142" s="125" t="s">
        <v>189</v>
      </c>
      <c r="F2142" s="126">
        <v>40886.0</v>
      </c>
      <c r="G2142" s="127">
        <v>2.48E8</v>
      </c>
      <c r="H2142" s="126">
        <v>40916.0</v>
      </c>
      <c r="I2142" s="128">
        <v>2926.0</v>
      </c>
      <c r="J2142" s="128">
        <v>154.06</v>
      </c>
      <c r="K2142" s="128">
        <v>90.93</v>
      </c>
      <c r="L2142" s="128">
        <v>450779.6</v>
      </c>
      <c r="M2142" s="128">
        <v>266061.2</v>
      </c>
      <c r="N2142" s="128">
        <v>184718.4</v>
      </c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</row>
    <row r="2143">
      <c r="A2143" s="125" t="s">
        <v>469</v>
      </c>
      <c r="B2143" s="125" t="s">
        <v>589</v>
      </c>
      <c r="C2143" s="125" t="s">
        <v>471</v>
      </c>
      <c r="D2143" s="125" t="s">
        <v>454</v>
      </c>
      <c r="E2143" s="125" t="s">
        <v>464</v>
      </c>
      <c r="F2143" s="126">
        <v>41154.0</v>
      </c>
      <c r="G2143" s="127">
        <v>2.63E8</v>
      </c>
      <c r="H2143" s="126">
        <v>41160.0</v>
      </c>
      <c r="I2143" s="128">
        <v>4751.0</v>
      </c>
      <c r="J2143" s="128">
        <v>109.28</v>
      </c>
      <c r="K2143" s="128">
        <v>35.84</v>
      </c>
      <c r="L2143" s="128">
        <v>519189.3</v>
      </c>
      <c r="M2143" s="128">
        <v>170275.8</v>
      </c>
      <c r="N2143" s="128">
        <v>348913.4</v>
      </c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</row>
    <row r="2144">
      <c r="A2144" s="125" t="s">
        <v>451</v>
      </c>
      <c r="B2144" s="125" t="s">
        <v>620</v>
      </c>
      <c r="C2144" s="125" t="s">
        <v>456</v>
      </c>
      <c r="D2144" s="125" t="s">
        <v>457</v>
      </c>
      <c r="E2144" s="125" t="s">
        <v>284</v>
      </c>
      <c r="F2144" s="126">
        <v>40334.0</v>
      </c>
      <c r="G2144" s="127">
        <v>2.29E8</v>
      </c>
      <c r="H2144" s="126">
        <v>40360.0</v>
      </c>
      <c r="I2144" s="128">
        <v>9418.0</v>
      </c>
      <c r="J2144" s="128">
        <v>152.58</v>
      </c>
      <c r="K2144" s="128">
        <v>97.44</v>
      </c>
      <c r="L2144" s="128">
        <v>1436998.0</v>
      </c>
      <c r="M2144" s="128">
        <v>917689.9</v>
      </c>
      <c r="N2144" s="128">
        <v>519308.5</v>
      </c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</row>
    <row r="2145">
      <c r="A2145" s="125" t="s">
        <v>475</v>
      </c>
      <c r="B2145" s="125" t="s">
        <v>605</v>
      </c>
      <c r="C2145" s="125" t="s">
        <v>506</v>
      </c>
      <c r="D2145" s="125" t="s">
        <v>457</v>
      </c>
      <c r="E2145" s="125" t="s">
        <v>284</v>
      </c>
      <c r="F2145" s="126">
        <v>41772.0</v>
      </c>
      <c r="G2145" s="127">
        <v>9.29E8</v>
      </c>
      <c r="H2145" s="126">
        <v>41805.0</v>
      </c>
      <c r="I2145" s="128">
        <v>5371.0</v>
      </c>
      <c r="J2145" s="128">
        <v>154.06</v>
      </c>
      <c r="K2145" s="128">
        <v>90.93</v>
      </c>
      <c r="L2145" s="128">
        <v>827456.3</v>
      </c>
      <c r="M2145" s="128">
        <v>488385.0</v>
      </c>
      <c r="N2145" s="128">
        <v>339071.2</v>
      </c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</row>
    <row r="2146">
      <c r="A2146" s="125" t="s">
        <v>458</v>
      </c>
      <c r="B2146" s="125" t="s">
        <v>473</v>
      </c>
      <c r="C2146" s="125" t="s">
        <v>514</v>
      </c>
      <c r="D2146" s="125" t="s">
        <v>454</v>
      </c>
      <c r="E2146" s="125" t="s">
        <v>284</v>
      </c>
      <c r="F2146" s="126">
        <v>40905.0</v>
      </c>
      <c r="G2146" s="127">
        <v>9.69E8</v>
      </c>
      <c r="H2146" s="126">
        <v>40941.0</v>
      </c>
      <c r="I2146" s="128">
        <v>3082.0</v>
      </c>
      <c r="J2146" s="128">
        <v>668.27</v>
      </c>
      <c r="K2146" s="128">
        <v>502.54</v>
      </c>
      <c r="L2146" s="128">
        <v>2059608.0</v>
      </c>
      <c r="M2146" s="128">
        <v>1548828.0</v>
      </c>
      <c r="N2146" s="128">
        <v>510779.9</v>
      </c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</row>
    <row r="2147">
      <c r="A2147" s="125" t="s">
        <v>475</v>
      </c>
      <c r="B2147" s="125" t="s">
        <v>549</v>
      </c>
      <c r="C2147" s="125" t="s">
        <v>478</v>
      </c>
      <c r="D2147" s="125" t="s">
        <v>457</v>
      </c>
      <c r="E2147" s="125" t="s">
        <v>189</v>
      </c>
      <c r="F2147" s="126">
        <v>40473.0</v>
      </c>
      <c r="G2147" s="127">
        <v>8.24E8</v>
      </c>
      <c r="H2147" s="126">
        <v>40503.0</v>
      </c>
      <c r="I2147" s="128">
        <v>56.0</v>
      </c>
      <c r="J2147" s="128">
        <v>651.21</v>
      </c>
      <c r="K2147" s="128">
        <v>524.96</v>
      </c>
      <c r="L2147" s="128">
        <v>36467.76</v>
      </c>
      <c r="M2147" s="128">
        <v>29397.76</v>
      </c>
      <c r="N2147" s="128">
        <v>7070.0</v>
      </c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</row>
    <row r="2148">
      <c r="A2148" s="125" t="s">
        <v>461</v>
      </c>
      <c r="B2148" s="125" t="s">
        <v>465</v>
      </c>
      <c r="C2148" s="125" t="s">
        <v>471</v>
      </c>
      <c r="D2148" s="125" t="s">
        <v>454</v>
      </c>
      <c r="E2148" s="125" t="s">
        <v>284</v>
      </c>
      <c r="F2148" s="126">
        <v>40840.0</v>
      </c>
      <c r="G2148" s="127">
        <v>5.88E8</v>
      </c>
      <c r="H2148" s="126">
        <v>40864.0</v>
      </c>
      <c r="I2148" s="128">
        <v>5830.0</v>
      </c>
      <c r="J2148" s="128">
        <v>109.28</v>
      </c>
      <c r="K2148" s="128">
        <v>35.84</v>
      </c>
      <c r="L2148" s="128">
        <v>637102.4</v>
      </c>
      <c r="M2148" s="128">
        <v>208947.2</v>
      </c>
      <c r="N2148" s="128">
        <v>428155.2</v>
      </c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</row>
    <row r="2149">
      <c r="A2149" s="125" t="s">
        <v>466</v>
      </c>
      <c r="B2149" s="125" t="s">
        <v>584</v>
      </c>
      <c r="C2149" s="125" t="s">
        <v>463</v>
      </c>
      <c r="D2149" s="125" t="s">
        <v>454</v>
      </c>
      <c r="E2149" s="125" t="s">
        <v>284</v>
      </c>
      <c r="F2149" s="126">
        <v>41373.0</v>
      </c>
      <c r="G2149" s="127">
        <v>4.28E8</v>
      </c>
      <c r="H2149" s="126">
        <v>41388.0</v>
      </c>
      <c r="I2149" s="128">
        <v>6971.0</v>
      </c>
      <c r="J2149" s="128">
        <v>205.7</v>
      </c>
      <c r="K2149" s="128">
        <v>117.11</v>
      </c>
      <c r="L2149" s="128">
        <v>1433935.0</v>
      </c>
      <c r="M2149" s="128">
        <v>816373.8</v>
      </c>
      <c r="N2149" s="128">
        <v>617560.9</v>
      </c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</row>
    <row r="2150">
      <c r="A2150" s="125" t="s">
        <v>451</v>
      </c>
      <c r="B2150" s="125" t="s">
        <v>596</v>
      </c>
      <c r="C2150" s="125" t="s">
        <v>514</v>
      </c>
      <c r="D2150" s="125" t="s">
        <v>457</v>
      </c>
      <c r="E2150" s="125" t="s">
        <v>472</v>
      </c>
      <c r="F2150" s="126">
        <v>41833.0</v>
      </c>
      <c r="G2150" s="127">
        <v>1.29E8</v>
      </c>
      <c r="H2150" s="126">
        <v>41848.0</v>
      </c>
      <c r="I2150" s="128">
        <v>2077.0</v>
      </c>
      <c r="J2150" s="128">
        <v>668.27</v>
      </c>
      <c r="K2150" s="128">
        <v>502.54</v>
      </c>
      <c r="L2150" s="128">
        <v>1387997.0</v>
      </c>
      <c r="M2150" s="128">
        <v>1043776.0</v>
      </c>
      <c r="N2150" s="128">
        <v>344221.2</v>
      </c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</row>
    <row r="2151">
      <c r="A2151" s="125" t="s">
        <v>461</v>
      </c>
      <c r="B2151" s="125" t="s">
        <v>599</v>
      </c>
      <c r="C2151" s="125" t="s">
        <v>468</v>
      </c>
      <c r="D2151" s="125" t="s">
        <v>457</v>
      </c>
      <c r="E2151" s="125" t="s">
        <v>472</v>
      </c>
      <c r="F2151" s="126">
        <v>40982.0</v>
      </c>
      <c r="G2151" s="127">
        <v>4.48E8</v>
      </c>
      <c r="H2151" s="126">
        <v>41004.0</v>
      </c>
      <c r="I2151" s="128">
        <v>6779.0</v>
      </c>
      <c r="J2151" s="128">
        <v>81.73</v>
      </c>
      <c r="K2151" s="128">
        <v>56.67</v>
      </c>
      <c r="L2151" s="128">
        <v>554047.7</v>
      </c>
      <c r="M2151" s="128">
        <v>384165.9</v>
      </c>
      <c r="N2151" s="128">
        <v>169881.7</v>
      </c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</row>
    <row r="2152">
      <c r="A2152" s="125" t="s">
        <v>458</v>
      </c>
      <c r="B2152" s="125" t="s">
        <v>563</v>
      </c>
      <c r="C2152" s="125" t="s">
        <v>456</v>
      </c>
      <c r="D2152" s="125" t="s">
        <v>457</v>
      </c>
      <c r="E2152" s="125" t="s">
        <v>189</v>
      </c>
      <c r="F2152" s="126">
        <v>40741.0</v>
      </c>
      <c r="G2152" s="127">
        <v>8.62E8</v>
      </c>
      <c r="H2152" s="126">
        <v>40790.0</v>
      </c>
      <c r="I2152" s="128">
        <v>8738.0</v>
      </c>
      <c r="J2152" s="128">
        <v>152.58</v>
      </c>
      <c r="K2152" s="128">
        <v>97.44</v>
      </c>
      <c r="L2152" s="128">
        <v>1333244.0</v>
      </c>
      <c r="M2152" s="128">
        <v>851430.7</v>
      </c>
      <c r="N2152" s="128">
        <v>481813.3</v>
      </c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</row>
    <row r="2153">
      <c r="A2153" s="125" t="s">
        <v>461</v>
      </c>
      <c r="B2153" s="125" t="s">
        <v>576</v>
      </c>
      <c r="C2153" s="125" t="s">
        <v>485</v>
      </c>
      <c r="D2153" s="125" t="s">
        <v>454</v>
      </c>
      <c r="E2153" s="125" t="s">
        <v>284</v>
      </c>
      <c r="F2153" s="126">
        <v>42034.0</v>
      </c>
      <c r="G2153" s="127">
        <v>9.17E8</v>
      </c>
      <c r="H2153" s="126">
        <v>42079.0</v>
      </c>
      <c r="I2153" s="128">
        <v>2645.0</v>
      </c>
      <c r="J2153" s="128">
        <v>421.89</v>
      </c>
      <c r="K2153" s="128">
        <v>364.69</v>
      </c>
      <c r="L2153" s="128">
        <v>1115899.0</v>
      </c>
      <c r="M2153" s="128">
        <v>964605.1</v>
      </c>
      <c r="N2153" s="128">
        <v>151294.0</v>
      </c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</row>
    <row r="2154">
      <c r="A2154" s="125" t="s">
        <v>475</v>
      </c>
      <c r="B2154" s="125" t="s">
        <v>604</v>
      </c>
      <c r="C2154" s="125" t="s">
        <v>478</v>
      </c>
      <c r="D2154" s="125" t="s">
        <v>454</v>
      </c>
      <c r="E2154" s="125" t="s">
        <v>464</v>
      </c>
      <c r="F2154" s="126">
        <v>40643.0</v>
      </c>
      <c r="G2154" s="127">
        <v>6.81E8</v>
      </c>
      <c r="H2154" s="126">
        <v>40668.0</v>
      </c>
      <c r="I2154" s="128">
        <v>5225.0</v>
      </c>
      <c r="J2154" s="128">
        <v>651.21</v>
      </c>
      <c r="K2154" s="128">
        <v>524.96</v>
      </c>
      <c r="L2154" s="128">
        <v>3402572.0</v>
      </c>
      <c r="M2154" s="128">
        <v>2742916.0</v>
      </c>
      <c r="N2154" s="128">
        <v>659656.3</v>
      </c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</row>
    <row r="2155">
      <c r="A2155" s="125" t="s">
        <v>458</v>
      </c>
      <c r="B2155" s="125" t="s">
        <v>616</v>
      </c>
      <c r="C2155" s="125" t="s">
        <v>485</v>
      </c>
      <c r="D2155" s="125" t="s">
        <v>454</v>
      </c>
      <c r="E2155" s="125" t="s">
        <v>189</v>
      </c>
      <c r="F2155" s="126">
        <v>42421.0</v>
      </c>
      <c r="G2155" s="127">
        <v>2.9E8</v>
      </c>
      <c r="H2155" s="126">
        <v>42462.0</v>
      </c>
      <c r="I2155" s="128">
        <v>233.0</v>
      </c>
      <c r="J2155" s="128">
        <v>421.89</v>
      </c>
      <c r="K2155" s="128">
        <v>364.69</v>
      </c>
      <c r="L2155" s="128">
        <v>98300.37</v>
      </c>
      <c r="M2155" s="128">
        <v>84972.77</v>
      </c>
      <c r="N2155" s="128">
        <v>13327.6</v>
      </c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</row>
    <row r="2156">
      <c r="A2156" s="125" t="s">
        <v>461</v>
      </c>
      <c r="B2156" s="125" t="s">
        <v>599</v>
      </c>
      <c r="C2156" s="125" t="s">
        <v>478</v>
      </c>
      <c r="D2156" s="125" t="s">
        <v>454</v>
      </c>
      <c r="E2156" s="125" t="s">
        <v>472</v>
      </c>
      <c r="F2156" s="126">
        <v>42544.0</v>
      </c>
      <c r="G2156" s="127">
        <v>4.04E8</v>
      </c>
      <c r="H2156" s="126">
        <v>42551.0</v>
      </c>
      <c r="I2156" s="128">
        <v>3455.0</v>
      </c>
      <c r="J2156" s="128">
        <v>651.21</v>
      </c>
      <c r="K2156" s="128">
        <v>524.96</v>
      </c>
      <c r="L2156" s="128">
        <v>2249931.0</v>
      </c>
      <c r="M2156" s="128">
        <v>1813737.0</v>
      </c>
      <c r="N2156" s="128">
        <v>436193.8</v>
      </c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</row>
    <row r="2157">
      <c r="A2157" s="125" t="s">
        <v>488</v>
      </c>
      <c r="B2157" s="125" t="s">
        <v>645</v>
      </c>
      <c r="C2157" s="125" t="s">
        <v>456</v>
      </c>
      <c r="D2157" s="125" t="s">
        <v>457</v>
      </c>
      <c r="E2157" s="125" t="s">
        <v>472</v>
      </c>
      <c r="F2157" s="126">
        <v>40728.0</v>
      </c>
      <c r="G2157" s="127">
        <v>8.5E8</v>
      </c>
      <c r="H2157" s="126">
        <v>40758.0</v>
      </c>
      <c r="I2157" s="128">
        <v>7707.0</v>
      </c>
      <c r="J2157" s="128">
        <v>152.58</v>
      </c>
      <c r="K2157" s="128">
        <v>97.44</v>
      </c>
      <c r="L2157" s="128">
        <v>1175934.0</v>
      </c>
      <c r="M2157" s="128">
        <v>750970.1</v>
      </c>
      <c r="N2157" s="128">
        <v>424964.0</v>
      </c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</row>
    <row r="2158">
      <c r="A2158" s="125" t="s">
        <v>451</v>
      </c>
      <c r="B2158" s="125" t="s">
        <v>596</v>
      </c>
      <c r="C2158" s="125" t="s">
        <v>506</v>
      </c>
      <c r="D2158" s="125" t="s">
        <v>457</v>
      </c>
      <c r="E2158" s="125" t="s">
        <v>472</v>
      </c>
      <c r="F2158" s="126">
        <v>42609.0</v>
      </c>
      <c r="G2158" s="127">
        <v>1.77E8</v>
      </c>
      <c r="H2158" s="126">
        <v>42632.0</v>
      </c>
      <c r="I2158" s="128">
        <v>7839.0</v>
      </c>
      <c r="J2158" s="128">
        <v>154.06</v>
      </c>
      <c r="K2158" s="128">
        <v>90.93</v>
      </c>
      <c r="L2158" s="128">
        <v>1207676.0</v>
      </c>
      <c r="M2158" s="128">
        <v>712800.3</v>
      </c>
      <c r="N2158" s="128">
        <v>494876.1</v>
      </c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</row>
    <row r="2159">
      <c r="A2159" s="125" t="s">
        <v>466</v>
      </c>
      <c r="B2159" s="125" t="s">
        <v>474</v>
      </c>
      <c r="C2159" s="125" t="s">
        <v>485</v>
      </c>
      <c r="D2159" s="125" t="s">
        <v>457</v>
      </c>
      <c r="E2159" s="125" t="s">
        <v>472</v>
      </c>
      <c r="F2159" s="126">
        <v>41764.0</v>
      </c>
      <c r="G2159" s="127">
        <v>6.03E8</v>
      </c>
      <c r="H2159" s="126">
        <v>41808.0</v>
      </c>
      <c r="I2159" s="128">
        <v>5731.0</v>
      </c>
      <c r="J2159" s="128">
        <v>421.89</v>
      </c>
      <c r="K2159" s="128">
        <v>364.69</v>
      </c>
      <c r="L2159" s="128">
        <v>2417852.0</v>
      </c>
      <c r="M2159" s="128">
        <v>2090038.0</v>
      </c>
      <c r="N2159" s="128">
        <v>327813.2</v>
      </c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</row>
    <row r="2160">
      <c r="A2160" s="125" t="s">
        <v>466</v>
      </c>
      <c r="B2160" s="125" t="s">
        <v>508</v>
      </c>
      <c r="C2160" s="125" t="s">
        <v>468</v>
      </c>
      <c r="D2160" s="125" t="s">
        <v>454</v>
      </c>
      <c r="E2160" s="125" t="s">
        <v>464</v>
      </c>
      <c r="F2160" s="126">
        <v>40459.0</v>
      </c>
      <c r="G2160" s="127">
        <v>3.67E8</v>
      </c>
      <c r="H2160" s="126">
        <v>40468.0</v>
      </c>
      <c r="I2160" s="128">
        <v>5293.0</v>
      </c>
      <c r="J2160" s="128">
        <v>81.73</v>
      </c>
      <c r="K2160" s="128">
        <v>56.67</v>
      </c>
      <c r="L2160" s="128">
        <v>432596.9</v>
      </c>
      <c r="M2160" s="128">
        <v>299954.3</v>
      </c>
      <c r="N2160" s="128">
        <v>132642.6</v>
      </c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</row>
    <row r="2161">
      <c r="A2161" s="125" t="s">
        <v>466</v>
      </c>
      <c r="B2161" s="125" t="s">
        <v>534</v>
      </c>
      <c r="C2161" s="125" t="s">
        <v>494</v>
      </c>
      <c r="D2161" s="125" t="s">
        <v>454</v>
      </c>
      <c r="E2161" s="125" t="s">
        <v>189</v>
      </c>
      <c r="F2161" s="126">
        <v>42730.0</v>
      </c>
      <c r="G2161" s="127">
        <v>4.8E8</v>
      </c>
      <c r="H2161" s="126">
        <v>42757.0</v>
      </c>
      <c r="I2161" s="128">
        <v>7469.0</v>
      </c>
      <c r="J2161" s="128">
        <v>9.33</v>
      </c>
      <c r="K2161" s="128">
        <v>6.92</v>
      </c>
      <c r="L2161" s="128">
        <v>69685.77</v>
      </c>
      <c r="M2161" s="128">
        <v>51685.48</v>
      </c>
      <c r="N2161" s="128">
        <v>18000.29</v>
      </c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</row>
    <row r="2162">
      <c r="A2162" s="125" t="s">
        <v>461</v>
      </c>
      <c r="B2162" s="125" t="s">
        <v>618</v>
      </c>
      <c r="C2162" s="125" t="s">
        <v>478</v>
      </c>
      <c r="D2162" s="125" t="s">
        <v>457</v>
      </c>
      <c r="E2162" s="125" t="s">
        <v>464</v>
      </c>
      <c r="F2162" s="126">
        <v>41939.0</v>
      </c>
      <c r="G2162" s="127">
        <v>6.7E8</v>
      </c>
      <c r="H2162" s="126">
        <v>41956.0</v>
      </c>
      <c r="I2162" s="128">
        <v>5231.0</v>
      </c>
      <c r="J2162" s="128">
        <v>651.21</v>
      </c>
      <c r="K2162" s="128">
        <v>524.96</v>
      </c>
      <c r="L2162" s="128">
        <v>3406480.0</v>
      </c>
      <c r="M2162" s="128">
        <v>2746066.0</v>
      </c>
      <c r="N2162" s="128">
        <v>660413.8</v>
      </c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</row>
    <row r="2163">
      <c r="A2163" s="125" t="s">
        <v>475</v>
      </c>
      <c r="B2163" s="125" t="s">
        <v>562</v>
      </c>
      <c r="C2163" s="125" t="s">
        <v>468</v>
      </c>
      <c r="D2163" s="125" t="s">
        <v>454</v>
      </c>
      <c r="E2163" s="125" t="s">
        <v>284</v>
      </c>
      <c r="F2163" s="126">
        <v>41519.0</v>
      </c>
      <c r="G2163" s="127">
        <v>7.39E8</v>
      </c>
      <c r="H2163" s="126">
        <v>41557.0</v>
      </c>
      <c r="I2163" s="128">
        <v>8584.0</v>
      </c>
      <c r="J2163" s="128">
        <v>81.73</v>
      </c>
      <c r="K2163" s="128">
        <v>56.67</v>
      </c>
      <c r="L2163" s="128">
        <v>701570.3</v>
      </c>
      <c r="M2163" s="128">
        <v>486455.3</v>
      </c>
      <c r="N2163" s="128">
        <v>215115.0</v>
      </c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</row>
    <row r="2164">
      <c r="A2164" s="125" t="s">
        <v>458</v>
      </c>
      <c r="B2164" s="125" t="s">
        <v>554</v>
      </c>
      <c r="C2164" s="125" t="s">
        <v>471</v>
      </c>
      <c r="D2164" s="125" t="s">
        <v>457</v>
      </c>
      <c r="E2164" s="125" t="s">
        <v>284</v>
      </c>
      <c r="F2164" s="126">
        <v>42523.0</v>
      </c>
      <c r="G2164" s="127">
        <v>1.05E8</v>
      </c>
      <c r="H2164" s="126">
        <v>42534.0</v>
      </c>
      <c r="I2164" s="128">
        <v>9566.0</v>
      </c>
      <c r="J2164" s="128">
        <v>109.28</v>
      </c>
      <c r="K2164" s="128">
        <v>35.84</v>
      </c>
      <c r="L2164" s="128">
        <v>1045372.0</v>
      </c>
      <c r="M2164" s="128">
        <v>342845.4</v>
      </c>
      <c r="N2164" s="128">
        <v>702527.0</v>
      </c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</row>
    <row r="2165">
      <c r="A2165" s="125" t="s">
        <v>458</v>
      </c>
      <c r="B2165" s="125" t="s">
        <v>517</v>
      </c>
      <c r="C2165" s="125" t="s">
        <v>460</v>
      </c>
      <c r="D2165" s="125" t="s">
        <v>454</v>
      </c>
      <c r="E2165" s="125" t="s">
        <v>472</v>
      </c>
      <c r="F2165" s="126">
        <v>42247.0</v>
      </c>
      <c r="G2165" s="127">
        <v>9.6E8</v>
      </c>
      <c r="H2165" s="126">
        <v>42293.0</v>
      </c>
      <c r="I2165" s="128">
        <v>7242.0</v>
      </c>
      <c r="J2165" s="128">
        <v>47.45</v>
      </c>
      <c r="K2165" s="128">
        <v>31.79</v>
      </c>
      <c r="L2165" s="128">
        <v>343632.9</v>
      </c>
      <c r="M2165" s="128">
        <v>230223.2</v>
      </c>
      <c r="N2165" s="128">
        <v>113409.7</v>
      </c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</row>
    <row r="2166">
      <c r="A2166" s="125" t="s">
        <v>469</v>
      </c>
      <c r="B2166" s="125" t="s">
        <v>503</v>
      </c>
      <c r="C2166" s="125" t="s">
        <v>463</v>
      </c>
      <c r="D2166" s="125" t="s">
        <v>454</v>
      </c>
      <c r="E2166" s="125" t="s">
        <v>189</v>
      </c>
      <c r="F2166" s="126">
        <v>41140.0</v>
      </c>
      <c r="G2166" s="127">
        <v>6.15E8</v>
      </c>
      <c r="H2166" s="126">
        <v>41156.0</v>
      </c>
      <c r="I2166" s="128">
        <v>2713.0</v>
      </c>
      <c r="J2166" s="128">
        <v>205.7</v>
      </c>
      <c r="K2166" s="128">
        <v>117.11</v>
      </c>
      <c r="L2166" s="128">
        <v>558064.1</v>
      </c>
      <c r="M2166" s="128">
        <v>317719.4</v>
      </c>
      <c r="N2166" s="128">
        <v>240344.7</v>
      </c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</row>
    <row r="2167">
      <c r="A2167" s="125" t="s">
        <v>488</v>
      </c>
      <c r="B2167" s="125" t="s">
        <v>645</v>
      </c>
      <c r="C2167" s="125" t="s">
        <v>480</v>
      </c>
      <c r="D2167" s="125" t="s">
        <v>457</v>
      </c>
      <c r="E2167" s="125" t="s">
        <v>472</v>
      </c>
      <c r="F2167" s="126">
        <v>41425.0</v>
      </c>
      <c r="G2167" s="127">
        <v>9.51E8</v>
      </c>
      <c r="H2167" s="126">
        <v>41458.0</v>
      </c>
      <c r="I2167" s="128">
        <v>4106.0</v>
      </c>
      <c r="J2167" s="128">
        <v>437.2</v>
      </c>
      <c r="K2167" s="128">
        <v>263.33</v>
      </c>
      <c r="L2167" s="128">
        <v>1795143.0</v>
      </c>
      <c r="M2167" s="128">
        <v>1081233.0</v>
      </c>
      <c r="N2167" s="128">
        <v>713910.2</v>
      </c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</row>
    <row r="2168">
      <c r="A2168" s="125" t="s">
        <v>466</v>
      </c>
      <c r="B2168" s="125" t="s">
        <v>484</v>
      </c>
      <c r="C2168" s="125" t="s">
        <v>460</v>
      </c>
      <c r="D2168" s="125" t="s">
        <v>457</v>
      </c>
      <c r="E2168" s="125" t="s">
        <v>464</v>
      </c>
      <c r="F2168" s="126">
        <v>40179.0</v>
      </c>
      <c r="G2168" s="127">
        <v>7.7E8</v>
      </c>
      <c r="H2168" s="126">
        <v>40199.0</v>
      </c>
      <c r="I2168" s="128">
        <v>1585.0</v>
      </c>
      <c r="J2168" s="128">
        <v>47.45</v>
      </c>
      <c r="K2168" s="128">
        <v>31.79</v>
      </c>
      <c r="L2168" s="128">
        <v>75208.25</v>
      </c>
      <c r="M2168" s="128">
        <v>50387.15</v>
      </c>
      <c r="N2168" s="128">
        <v>24821.1</v>
      </c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</row>
    <row r="2169">
      <c r="A2169" s="125" t="s">
        <v>458</v>
      </c>
      <c r="B2169" s="125" t="s">
        <v>583</v>
      </c>
      <c r="C2169" s="125" t="s">
        <v>480</v>
      </c>
      <c r="D2169" s="125" t="s">
        <v>457</v>
      </c>
      <c r="E2169" s="125" t="s">
        <v>464</v>
      </c>
      <c r="F2169" s="126">
        <v>41786.0</v>
      </c>
      <c r="G2169" s="127">
        <v>7.44E8</v>
      </c>
      <c r="H2169" s="126">
        <v>41829.0</v>
      </c>
      <c r="I2169" s="128">
        <v>2341.0</v>
      </c>
      <c r="J2169" s="128">
        <v>437.2</v>
      </c>
      <c r="K2169" s="128">
        <v>263.33</v>
      </c>
      <c r="L2169" s="128">
        <v>1023485.0</v>
      </c>
      <c r="M2169" s="128">
        <v>616455.5</v>
      </c>
      <c r="N2169" s="128">
        <v>407029.7</v>
      </c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</row>
    <row r="2170">
      <c r="A2170" s="125" t="s">
        <v>458</v>
      </c>
      <c r="B2170" s="125" t="s">
        <v>643</v>
      </c>
      <c r="C2170" s="125" t="s">
        <v>478</v>
      </c>
      <c r="D2170" s="125" t="s">
        <v>457</v>
      </c>
      <c r="E2170" s="125" t="s">
        <v>472</v>
      </c>
      <c r="F2170" s="126">
        <v>42719.0</v>
      </c>
      <c r="G2170" s="127">
        <v>2.64E8</v>
      </c>
      <c r="H2170" s="126">
        <v>42745.0</v>
      </c>
      <c r="I2170" s="128">
        <v>5597.0</v>
      </c>
      <c r="J2170" s="128">
        <v>651.21</v>
      </c>
      <c r="K2170" s="128">
        <v>524.96</v>
      </c>
      <c r="L2170" s="128">
        <v>3644822.0</v>
      </c>
      <c r="M2170" s="128">
        <v>2938201.0</v>
      </c>
      <c r="N2170" s="128">
        <v>706621.3</v>
      </c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</row>
    <row r="2171">
      <c r="A2171" s="125" t="s">
        <v>469</v>
      </c>
      <c r="B2171" s="125" t="s">
        <v>634</v>
      </c>
      <c r="C2171" s="125" t="s">
        <v>506</v>
      </c>
      <c r="D2171" s="125" t="s">
        <v>457</v>
      </c>
      <c r="E2171" s="125" t="s">
        <v>472</v>
      </c>
      <c r="F2171" s="126">
        <v>41224.0</v>
      </c>
      <c r="G2171" s="127">
        <v>5.94E8</v>
      </c>
      <c r="H2171" s="126">
        <v>41259.0</v>
      </c>
      <c r="I2171" s="128">
        <v>7609.0</v>
      </c>
      <c r="J2171" s="128">
        <v>154.06</v>
      </c>
      <c r="K2171" s="128">
        <v>90.93</v>
      </c>
      <c r="L2171" s="128">
        <v>1172243.0</v>
      </c>
      <c r="M2171" s="128">
        <v>691886.4</v>
      </c>
      <c r="N2171" s="128">
        <v>480356.2</v>
      </c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</row>
    <row r="2172">
      <c r="A2172" s="125" t="s">
        <v>475</v>
      </c>
      <c r="B2172" s="125" t="s">
        <v>566</v>
      </c>
      <c r="C2172" s="125" t="s">
        <v>478</v>
      </c>
      <c r="D2172" s="125" t="s">
        <v>457</v>
      </c>
      <c r="E2172" s="125" t="s">
        <v>284</v>
      </c>
      <c r="F2172" s="126">
        <v>41467.0</v>
      </c>
      <c r="G2172" s="127">
        <v>8.16E8</v>
      </c>
      <c r="H2172" s="126">
        <v>41513.0</v>
      </c>
      <c r="I2172" s="128">
        <v>6663.0</v>
      </c>
      <c r="J2172" s="128">
        <v>651.21</v>
      </c>
      <c r="K2172" s="128">
        <v>524.96</v>
      </c>
      <c r="L2172" s="128">
        <v>4339012.0</v>
      </c>
      <c r="M2172" s="128">
        <v>3497808.0</v>
      </c>
      <c r="N2172" s="128">
        <v>841203.8</v>
      </c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</row>
    <row r="2173">
      <c r="A2173" s="125" t="s">
        <v>475</v>
      </c>
      <c r="B2173" s="125" t="s">
        <v>500</v>
      </c>
      <c r="C2173" s="125" t="s">
        <v>463</v>
      </c>
      <c r="D2173" s="125" t="s">
        <v>454</v>
      </c>
      <c r="E2173" s="125" t="s">
        <v>472</v>
      </c>
      <c r="F2173" s="126">
        <v>41089.0</v>
      </c>
      <c r="G2173" s="127">
        <v>9.83E8</v>
      </c>
      <c r="H2173" s="126">
        <v>41115.0</v>
      </c>
      <c r="I2173" s="128">
        <v>8076.0</v>
      </c>
      <c r="J2173" s="128">
        <v>205.7</v>
      </c>
      <c r="K2173" s="128">
        <v>117.11</v>
      </c>
      <c r="L2173" s="128">
        <v>1661233.0</v>
      </c>
      <c r="M2173" s="128">
        <v>945780.4</v>
      </c>
      <c r="N2173" s="128">
        <v>715452.8</v>
      </c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</row>
    <row r="2174">
      <c r="A2174" s="125" t="s">
        <v>475</v>
      </c>
      <c r="B2174" s="125" t="s">
        <v>571</v>
      </c>
      <c r="C2174" s="125" t="s">
        <v>514</v>
      </c>
      <c r="D2174" s="125" t="s">
        <v>457</v>
      </c>
      <c r="E2174" s="125" t="s">
        <v>472</v>
      </c>
      <c r="F2174" s="126">
        <v>40885.0</v>
      </c>
      <c r="G2174" s="127">
        <v>7.7E8</v>
      </c>
      <c r="H2174" s="126">
        <v>40890.0</v>
      </c>
      <c r="I2174" s="128">
        <v>9197.0</v>
      </c>
      <c r="J2174" s="128">
        <v>668.27</v>
      </c>
      <c r="K2174" s="128">
        <v>502.54</v>
      </c>
      <c r="L2174" s="128">
        <v>6146079.0</v>
      </c>
      <c r="M2174" s="128">
        <v>4621860.0</v>
      </c>
      <c r="N2174" s="128">
        <v>1524219.0</v>
      </c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</row>
    <row r="2175">
      <c r="A2175" s="125" t="s">
        <v>458</v>
      </c>
      <c r="B2175" s="125" t="s">
        <v>498</v>
      </c>
      <c r="C2175" s="125" t="s">
        <v>478</v>
      </c>
      <c r="D2175" s="125" t="s">
        <v>457</v>
      </c>
      <c r="E2175" s="125" t="s">
        <v>472</v>
      </c>
      <c r="F2175" s="126">
        <v>40656.0</v>
      </c>
      <c r="G2175" s="127">
        <v>8.19E8</v>
      </c>
      <c r="H2175" s="126">
        <v>40657.0</v>
      </c>
      <c r="I2175" s="128">
        <v>4406.0</v>
      </c>
      <c r="J2175" s="128">
        <v>651.21</v>
      </c>
      <c r="K2175" s="128">
        <v>524.96</v>
      </c>
      <c r="L2175" s="128">
        <v>2869231.0</v>
      </c>
      <c r="M2175" s="128">
        <v>2312974.0</v>
      </c>
      <c r="N2175" s="128">
        <v>556257.5</v>
      </c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</row>
    <row r="2176">
      <c r="A2176" s="125" t="s">
        <v>451</v>
      </c>
      <c r="B2176" s="125" t="s">
        <v>497</v>
      </c>
      <c r="C2176" s="125" t="s">
        <v>485</v>
      </c>
      <c r="D2176" s="125" t="s">
        <v>457</v>
      </c>
      <c r="E2176" s="125" t="s">
        <v>284</v>
      </c>
      <c r="F2176" s="126">
        <v>40594.0</v>
      </c>
      <c r="G2176" s="127">
        <v>4.95E8</v>
      </c>
      <c r="H2176" s="126">
        <v>40639.0</v>
      </c>
      <c r="I2176" s="128">
        <v>113.0</v>
      </c>
      <c r="J2176" s="128">
        <v>421.89</v>
      </c>
      <c r="K2176" s="128">
        <v>364.69</v>
      </c>
      <c r="L2176" s="128">
        <v>47673.57</v>
      </c>
      <c r="M2176" s="128">
        <v>41209.97</v>
      </c>
      <c r="N2176" s="128">
        <v>6463.6</v>
      </c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</row>
    <row r="2177">
      <c r="A2177" s="125" t="s">
        <v>475</v>
      </c>
      <c r="B2177" s="125" t="s">
        <v>565</v>
      </c>
      <c r="C2177" s="125" t="s">
        <v>463</v>
      </c>
      <c r="D2177" s="125" t="s">
        <v>457</v>
      </c>
      <c r="E2177" s="125" t="s">
        <v>189</v>
      </c>
      <c r="F2177" s="126">
        <v>42661.0</v>
      </c>
      <c r="G2177" s="127">
        <v>1.33E8</v>
      </c>
      <c r="H2177" s="126">
        <v>42665.0</v>
      </c>
      <c r="I2177" s="128">
        <v>9762.0</v>
      </c>
      <c r="J2177" s="128">
        <v>205.7</v>
      </c>
      <c r="K2177" s="128">
        <v>117.11</v>
      </c>
      <c r="L2177" s="128">
        <v>2008043.0</v>
      </c>
      <c r="M2177" s="128">
        <v>1143228.0</v>
      </c>
      <c r="N2177" s="128">
        <v>864815.6</v>
      </c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</row>
    <row r="2178">
      <c r="A2178" s="125" t="s">
        <v>475</v>
      </c>
      <c r="B2178" s="125" t="s">
        <v>579</v>
      </c>
      <c r="C2178" s="125" t="s">
        <v>463</v>
      </c>
      <c r="D2178" s="125" t="s">
        <v>454</v>
      </c>
      <c r="E2178" s="125" t="s">
        <v>472</v>
      </c>
      <c r="F2178" s="126">
        <v>40909.0</v>
      </c>
      <c r="G2178" s="127">
        <v>5.86E8</v>
      </c>
      <c r="H2178" s="126">
        <v>40922.0</v>
      </c>
      <c r="I2178" s="128">
        <v>8825.0</v>
      </c>
      <c r="J2178" s="128">
        <v>205.7</v>
      </c>
      <c r="K2178" s="128">
        <v>117.11</v>
      </c>
      <c r="L2178" s="128">
        <v>1815303.0</v>
      </c>
      <c r="M2178" s="128">
        <v>1033496.0</v>
      </c>
      <c r="N2178" s="128">
        <v>781806.8</v>
      </c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</row>
    <row r="2179">
      <c r="A2179" s="125" t="s">
        <v>458</v>
      </c>
      <c r="B2179" s="125" t="s">
        <v>603</v>
      </c>
      <c r="C2179" s="125" t="s">
        <v>468</v>
      </c>
      <c r="D2179" s="125" t="s">
        <v>457</v>
      </c>
      <c r="E2179" s="125" t="s">
        <v>284</v>
      </c>
      <c r="F2179" s="126">
        <v>42229.0</v>
      </c>
      <c r="G2179" s="127">
        <v>9.81E8</v>
      </c>
      <c r="H2179" s="126">
        <v>42271.0</v>
      </c>
      <c r="I2179" s="128">
        <v>9808.0</v>
      </c>
      <c r="J2179" s="128">
        <v>81.73</v>
      </c>
      <c r="K2179" s="128">
        <v>56.67</v>
      </c>
      <c r="L2179" s="128">
        <v>801607.8</v>
      </c>
      <c r="M2179" s="128">
        <v>555819.4</v>
      </c>
      <c r="N2179" s="128">
        <v>245788.5</v>
      </c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</row>
    <row r="2180">
      <c r="A2180" s="125" t="s">
        <v>461</v>
      </c>
      <c r="B2180" s="125" t="s">
        <v>481</v>
      </c>
      <c r="C2180" s="125" t="s">
        <v>494</v>
      </c>
      <c r="D2180" s="125" t="s">
        <v>457</v>
      </c>
      <c r="E2180" s="125" t="s">
        <v>464</v>
      </c>
      <c r="F2180" s="126">
        <v>42834.0</v>
      </c>
      <c r="G2180" s="127">
        <v>9.62E8</v>
      </c>
      <c r="H2180" s="126">
        <v>42859.0</v>
      </c>
      <c r="I2180" s="128">
        <v>7247.0</v>
      </c>
      <c r="J2180" s="128">
        <v>9.33</v>
      </c>
      <c r="K2180" s="128">
        <v>6.92</v>
      </c>
      <c r="L2180" s="128">
        <v>67614.51</v>
      </c>
      <c r="M2180" s="128">
        <v>50149.24</v>
      </c>
      <c r="N2180" s="128">
        <v>17465.27</v>
      </c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</row>
    <row r="2181">
      <c r="A2181" s="125" t="s">
        <v>466</v>
      </c>
      <c r="B2181" s="125" t="s">
        <v>568</v>
      </c>
      <c r="C2181" s="125" t="s">
        <v>480</v>
      </c>
      <c r="D2181" s="125" t="s">
        <v>457</v>
      </c>
      <c r="E2181" s="125" t="s">
        <v>189</v>
      </c>
      <c r="F2181" s="126">
        <v>40711.0</v>
      </c>
      <c r="G2181" s="127">
        <v>2.45E8</v>
      </c>
      <c r="H2181" s="126">
        <v>40745.0</v>
      </c>
      <c r="I2181" s="128">
        <v>2709.0</v>
      </c>
      <c r="J2181" s="128">
        <v>437.2</v>
      </c>
      <c r="K2181" s="128">
        <v>263.33</v>
      </c>
      <c r="L2181" s="128">
        <v>1184375.0</v>
      </c>
      <c r="M2181" s="128">
        <v>713361.0</v>
      </c>
      <c r="N2181" s="128">
        <v>471013.8</v>
      </c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</row>
    <row r="2182">
      <c r="A2182" s="125" t="s">
        <v>475</v>
      </c>
      <c r="B2182" s="125" t="s">
        <v>605</v>
      </c>
      <c r="C2182" s="125" t="s">
        <v>456</v>
      </c>
      <c r="D2182" s="125" t="s">
        <v>454</v>
      </c>
      <c r="E2182" s="125" t="s">
        <v>189</v>
      </c>
      <c r="F2182" s="126">
        <v>42533.0</v>
      </c>
      <c r="G2182" s="127">
        <v>8.66E8</v>
      </c>
      <c r="H2182" s="126">
        <v>42538.0</v>
      </c>
      <c r="I2182" s="128">
        <v>9793.0</v>
      </c>
      <c r="J2182" s="128">
        <v>152.58</v>
      </c>
      <c r="K2182" s="128">
        <v>97.44</v>
      </c>
      <c r="L2182" s="128">
        <v>1494216.0</v>
      </c>
      <c r="M2182" s="128">
        <v>954229.9</v>
      </c>
      <c r="N2182" s="128">
        <v>539986.0</v>
      </c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</row>
    <row r="2183">
      <c r="A2183" s="125" t="s">
        <v>461</v>
      </c>
      <c r="B2183" s="125" t="s">
        <v>557</v>
      </c>
      <c r="C2183" s="125" t="s">
        <v>453</v>
      </c>
      <c r="D2183" s="125" t="s">
        <v>454</v>
      </c>
      <c r="E2183" s="125" t="s">
        <v>189</v>
      </c>
      <c r="F2183" s="126">
        <v>42916.0</v>
      </c>
      <c r="G2183" s="127">
        <v>4.31E8</v>
      </c>
      <c r="H2183" s="126">
        <v>42929.0</v>
      </c>
      <c r="I2183" s="128">
        <v>9129.0</v>
      </c>
      <c r="J2183" s="128">
        <v>255.28</v>
      </c>
      <c r="K2183" s="128">
        <v>159.42</v>
      </c>
      <c r="L2183" s="128">
        <v>2330451.0</v>
      </c>
      <c r="M2183" s="128">
        <v>1455345.0</v>
      </c>
      <c r="N2183" s="128">
        <v>875105.9</v>
      </c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</row>
    <row r="2184">
      <c r="A2184" s="125" t="s">
        <v>451</v>
      </c>
      <c r="B2184" s="125" t="s">
        <v>592</v>
      </c>
      <c r="C2184" s="125" t="s">
        <v>463</v>
      </c>
      <c r="D2184" s="125" t="s">
        <v>457</v>
      </c>
      <c r="E2184" s="125" t="s">
        <v>472</v>
      </c>
      <c r="F2184" s="126">
        <v>42395.0</v>
      </c>
      <c r="G2184" s="127">
        <v>6.68E8</v>
      </c>
      <c r="H2184" s="126">
        <v>42440.0</v>
      </c>
      <c r="I2184" s="128">
        <v>3378.0</v>
      </c>
      <c r="J2184" s="128">
        <v>205.7</v>
      </c>
      <c r="K2184" s="128">
        <v>117.11</v>
      </c>
      <c r="L2184" s="128">
        <v>694854.6</v>
      </c>
      <c r="M2184" s="128">
        <v>395597.6</v>
      </c>
      <c r="N2184" s="128">
        <v>299257.0</v>
      </c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</row>
    <row r="2185">
      <c r="A2185" s="125" t="s">
        <v>461</v>
      </c>
      <c r="B2185" s="125" t="s">
        <v>576</v>
      </c>
      <c r="C2185" s="125" t="s">
        <v>514</v>
      </c>
      <c r="D2185" s="125" t="s">
        <v>454</v>
      </c>
      <c r="E2185" s="125" t="s">
        <v>472</v>
      </c>
      <c r="F2185" s="126">
        <v>40512.0</v>
      </c>
      <c r="G2185" s="127">
        <v>6.72E8</v>
      </c>
      <c r="H2185" s="126">
        <v>40536.0</v>
      </c>
      <c r="I2185" s="128">
        <v>2232.0</v>
      </c>
      <c r="J2185" s="128">
        <v>668.27</v>
      </c>
      <c r="K2185" s="128">
        <v>502.54</v>
      </c>
      <c r="L2185" s="128">
        <v>1491579.0</v>
      </c>
      <c r="M2185" s="128">
        <v>1121669.0</v>
      </c>
      <c r="N2185" s="128">
        <v>369909.4</v>
      </c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</row>
    <row r="2186">
      <c r="A2186" s="125" t="s">
        <v>475</v>
      </c>
      <c r="B2186" s="125" t="s">
        <v>548</v>
      </c>
      <c r="C2186" s="125" t="s">
        <v>480</v>
      </c>
      <c r="D2186" s="125" t="s">
        <v>454</v>
      </c>
      <c r="E2186" s="125" t="s">
        <v>472</v>
      </c>
      <c r="F2186" s="126">
        <v>42732.0</v>
      </c>
      <c r="G2186" s="127">
        <v>9.62E8</v>
      </c>
      <c r="H2186" s="126">
        <v>42774.0</v>
      </c>
      <c r="I2186" s="128">
        <v>7414.0</v>
      </c>
      <c r="J2186" s="128">
        <v>437.2</v>
      </c>
      <c r="K2186" s="128">
        <v>263.33</v>
      </c>
      <c r="L2186" s="128">
        <v>3241401.0</v>
      </c>
      <c r="M2186" s="128">
        <v>1952329.0</v>
      </c>
      <c r="N2186" s="128">
        <v>1289072.0</v>
      </c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</row>
    <row r="2187">
      <c r="A2187" s="125" t="s">
        <v>461</v>
      </c>
      <c r="B2187" s="125" t="s">
        <v>618</v>
      </c>
      <c r="C2187" s="125" t="s">
        <v>460</v>
      </c>
      <c r="D2187" s="125" t="s">
        <v>457</v>
      </c>
      <c r="E2187" s="125" t="s">
        <v>284</v>
      </c>
      <c r="F2187" s="126">
        <v>42458.0</v>
      </c>
      <c r="G2187" s="127">
        <v>3.24E8</v>
      </c>
      <c r="H2187" s="126">
        <v>42481.0</v>
      </c>
      <c r="I2187" s="128">
        <v>7681.0</v>
      </c>
      <c r="J2187" s="128">
        <v>47.45</v>
      </c>
      <c r="K2187" s="128">
        <v>31.79</v>
      </c>
      <c r="L2187" s="128">
        <v>364463.5</v>
      </c>
      <c r="M2187" s="128">
        <v>244179.0</v>
      </c>
      <c r="N2187" s="128">
        <v>120284.5</v>
      </c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</row>
    <row r="2188">
      <c r="A2188" s="125" t="s">
        <v>475</v>
      </c>
      <c r="B2188" s="125" t="s">
        <v>549</v>
      </c>
      <c r="C2188" s="125" t="s">
        <v>453</v>
      </c>
      <c r="D2188" s="125" t="s">
        <v>457</v>
      </c>
      <c r="E2188" s="125" t="s">
        <v>189</v>
      </c>
      <c r="F2188" s="126">
        <v>41783.0</v>
      </c>
      <c r="G2188" s="127">
        <v>7.67E8</v>
      </c>
      <c r="H2188" s="126">
        <v>41793.0</v>
      </c>
      <c r="I2188" s="128">
        <v>3817.0</v>
      </c>
      <c r="J2188" s="128">
        <v>255.28</v>
      </c>
      <c r="K2188" s="128">
        <v>159.42</v>
      </c>
      <c r="L2188" s="128">
        <v>974403.8</v>
      </c>
      <c r="M2188" s="128">
        <v>608506.1</v>
      </c>
      <c r="N2188" s="128">
        <v>365897.6</v>
      </c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</row>
    <row r="2189">
      <c r="A2189" s="125" t="s">
        <v>475</v>
      </c>
      <c r="B2189" s="125" t="s">
        <v>536</v>
      </c>
      <c r="C2189" s="125" t="s">
        <v>456</v>
      </c>
      <c r="D2189" s="125" t="s">
        <v>454</v>
      </c>
      <c r="E2189" s="125" t="s">
        <v>284</v>
      </c>
      <c r="F2189" s="126">
        <v>41806.0</v>
      </c>
      <c r="G2189" s="127">
        <v>7.69E8</v>
      </c>
      <c r="H2189" s="126">
        <v>41838.0</v>
      </c>
      <c r="I2189" s="128">
        <v>3641.0</v>
      </c>
      <c r="J2189" s="128">
        <v>152.58</v>
      </c>
      <c r="K2189" s="128">
        <v>97.44</v>
      </c>
      <c r="L2189" s="128">
        <v>555543.8</v>
      </c>
      <c r="M2189" s="128">
        <v>354779.0</v>
      </c>
      <c r="N2189" s="128">
        <v>200764.7</v>
      </c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</row>
    <row r="2190">
      <c r="A2190" s="125" t="s">
        <v>475</v>
      </c>
      <c r="B2190" s="125" t="s">
        <v>619</v>
      </c>
      <c r="C2190" s="125" t="s">
        <v>506</v>
      </c>
      <c r="D2190" s="125" t="s">
        <v>457</v>
      </c>
      <c r="E2190" s="125" t="s">
        <v>284</v>
      </c>
      <c r="F2190" s="126">
        <v>41246.0</v>
      </c>
      <c r="G2190" s="127">
        <v>2.28E8</v>
      </c>
      <c r="H2190" s="126">
        <v>41274.0</v>
      </c>
      <c r="I2190" s="128">
        <v>7001.0</v>
      </c>
      <c r="J2190" s="128">
        <v>154.06</v>
      </c>
      <c r="K2190" s="128">
        <v>90.93</v>
      </c>
      <c r="L2190" s="128">
        <v>1078574.0</v>
      </c>
      <c r="M2190" s="128">
        <v>636600.9</v>
      </c>
      <c r="N2190" s="128">
        <v>441973.1</v>
      </c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</row>
    <row r="2191">
      <c r="A2191" s="125" t="s">
        <v>475</v>
      </c>
      <c r="B2191" s="125" t="s">
        <v>591</v>
      </c>
      <c r="C2191" s="125" t="s">
        <v>468</v>
      </c>
      <c r="D2191" s="125" t="s">
        <v>457</v>
      </c>
      <c r="E2191" s="125" t="s">
        <v>472</v>
      </c>
      <c r="F2191" s="126">
        <v>40597.0</v>
      </c>
      <c r="G2191" s="127">
        <v>9.13E8</v>
      </c>
      <c r="H2191" s="126">
        <v>40627.0</v>
      </c>
      <c r="I2191" s="128">
        <v>776.0</v>
      </c>
      <c r="J2191" s="128">
        <v>81.73</v>
      </c>
      <c r="K2191" s="128">
        <v>56.67</v>
      </c>
      <c r="L2191" s="128">
        <v>63422.48</v>
      </c>
      <c r="M2191" s="128">
        <v>43975.92</v>
      </c>
      <c r="N2191" s="128">
        <v>19446.56</v>
      </c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</row>
    <row r="2192">
      <c r="A2192" s="125" t="s">
        <v>451</v>
      </c>
      <c r="B2192" s="125" t="s">
        <v>609</v>
      </c>
      <c r="C2192" s="125" t="s">
        <v>478</v>
      </c>
      <c r="D2192" s="125" t="s">
        <v>457</v>
      </c>
      <c r="E2192" s="125" t="s">
        <v>189</v>
      </c>
      <c r="F2192" s="126">
        <v>40741.0</v>
      </c>
      <c r="G2192" s="127">
        <v>6.13E8</v>
      </c>
      <c r="H2192" s="126">
        <v>40773.0</v>
      </c>
      <c r="I2192" s="128">
        <v>3878.0</v>
      </c>
      <c r="J2192" s="128">
        <v>651.21</v>
      </c>
      <c r="K2192" s="128">
        <v>524.96</v>
      </c>
      <c r="L2192" s="128">
        <v>2525392.0</v>
      </c>
      <c r="M2192" s="128">
        <v>2035795.0</v>
      </c>
      <c r="N2192" s="128">
        <v>489597.5</v>
      </c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</row>
    <row r="2193">
      <c r="A2193" s="125" t="s">
        <v>469</v>
      </c>
      <c r="B2193" s="125" t="s">
        <v>634</v>
      </c>
      <c r="C2193" s="125" t="s">
        <v>456</v>
      </c>
      <c r="D2193" s="125" t="s">
        <v>457</v>
      </c>
      <c r="E2193" s="125" t="s">
        <v>464</v>
      </c>
      <c r="F2193" s="126">
        <v>41565.0</v>
      </c>
      <c r="G2193" s="127">
        <v>7.87E8</v>
      </c>
      <c r="H2193" s="126">
        <v>41579.0</v>
      </c>
      <c r="I2193" s="128">
        <v>2250.0</v>
      </c>
      <c r="J2193" s="128">
        <v>152.58</v>
      </c>
      <c r="K2193" s="128">
        <v>97.44</v>
      </c>
      <c r="L2193" s="128">
        <v>343305.0</v>
      </c>
      <c r="M2193" s="128">
        <v>219240.0</v>
      </c>
      <c r="N2193" s="128">
        <v>124065.0</v>
      </c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</row>
    <row r="2194">
      <c r="A2194" s="125" t="s">
        <v>451</v>
      </c>
      <c r="B2194" s="125" t="s">
        <v>608</v>
      </c>
      <c r="C2194" s="125" t="s">
        <v>485</v>
      </c>
      <c r="D2194" s="125" t="s">
        <v>457</v>
      </c>
      <c r="E2194" s="125" t="s">
        <v>472</v>
      </c>
      <c r="F2194" s="126">
        <v>40581.0</v>
      </c>
      <c r="G2194" s="127">
        <v>7.16E8</v>
      </c>
      <c r="H2194" s="126">
        <v>40604.0</v>
      </c>
      <c r="I2194" s="128">
        <v>3865.0</v>
      </c>
      <c r="J2194" s="128">
        <v>421.89</v>
      </c>
      <c r="K2194" s="128">
        <v>364.69</v>
      </c>
      <c r="L2194" s="128">
        <v>1630605.0</v>
      </c>
      <c r="M2194" s="128">
        <v>1409527.0</v>
      </c>
      <c r="N2194" s="128">
        <v>221078.0</v>
      </c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</row>
    <row r="2195">
      <c r="A2195" s="125" t="s">
        <v>488</v>
      </c>
      <c r="B2195" s="125" t="s">
        <v>654</v>
      </c>
      <c r="C2195" s="125" t="s">
        <v>480</v>
      </c>
      <c r="D2195" s="125" t="s">
        <v>457</v>
      </c>
      <c r="E2195" s="125" t="s">
        <v>464</v>
      </c>
      <c r="F2195" s="126">
        <v>42604.0</v>
      </c>
      <c r="G2195" s="127">
        <v>6.49E8</v>
      </c>
      <c r="H2195" s="126">
        <v>42646.0</v>
      </c>
      <c r="I2195" s="128">
        <v>3727.0</v>
      </c>
      <c r="J2195" s="128">
        <v>437.2</v>
      </c>
      <c r="K2195" s="128">
        <v>263.33</v>
      </c>
      <c r="L2195" s="128">
        <v>1629444.0</v>
      </c>
      <c r="M2195" s="128">
        <v>981430.9</v>
      </c>
      <c r="N2195" s="128">
        <v>648013.5</v>
      </c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</row>
    <row r="2196">
      <c r="A2196" s="125" t="s">
        <v>475</v>
      </c>
      <c r="B2196" s="125" t="s">
        <v>604</v>
      </c>
      <c r="C2196" s="125" t="s">
        <v>478</v>
      </c>
      <c r="D2196" s="125" t="s">
        <v>457</v>
      </c>
      <c r="E2196" s="125" t="s">
        <v>189</v>
      </c>
      <c r="F2196" s="126">
        <v>41773.0</v>
      </c>
      <c r="G2196" s="127">
        <v>4.57E8</v>
      </c>
      <c r="H2196" s="126">
        <v>41788.0</v>
      </c>
      <c r="I2196" s="128">
        <v>8874.0</v>
      </c>
      <c r="J2196" s="128">
        <v>651.21</v>
      </c>
      <c r="K2196" s="128">
        <v>524.96</v>
      </c>
      <c r="L2196" s="128">
        <v>5778838.0</v>
      </c>
      <c r="M2196" s="128">
        <v>4658495.0</v>
      </c>
      <c r="N2196" s="128">
        <v>1120343.0</v>
      </c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</row>
    <row r="2197">
      <c r="A2197" s="125" t="s">
        <v>475</v>
      </c>
      <c r="B2197" s="125" t="s">
        <v>623</v>
      </c>
      <c r="C2197" s="125" t="s">
        <v>460</v>
      </c>
      <c r="D2197" s="125" t="s">
        <v>457</v>
      </c>
      <c r="E2197" s="125" t="s">
        <v>189</v>
      </c>
      <c r="F2197" s="126">
        <v>42298.0</v>
      </c>
      <c r="G2197" s="127">
        <v>9.81E8</v>
      </c>
      <c r="H2197" s="126">
        <v>42329.0</v>
      </c>
      <c r="I2197" s="128">
        <v>3372.0</v>
      </c>
      <c r="J2197" s="128">
        <v>47.45</v>
      </c>
      <c r="K2197" s="128">
        <v>31.79</v>
      </c>
      <c r="L2197" s="128">
        <v>160001.4</v>
      </c>
      <c r="M2197" s="128">
        <v>107195.9</v>
      </c>
      <c r="N2197" s="128">
        <v>52805.52</v>
      </c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</row>
    <row r="2198">
      <c r="A2198" s="125" t="s">
        <v>469</v>
      </c>
      <c r="B2198" s="125" t="s">
        <v>520</v>
      </c>
      <c r="C2198" s="125" t="s">
        <v>460</v>
      </c>
      <c r="D2198" s="125" t="s">
        <v>457</v>
      </c>
      <c r="E2198" s="125" t="s">
        <v>284</v>
      </c>
      <c r="F2198" s="126">
        <v>40479.0</v>
      </c>
      <c r="G2198" s="127">
        <v>8.81E8</v>
      </c>
      <c r="H2198" s="126">
        <v>40514.0</v>
      </c>
      <c r="I2198" s="128">
        <v>3319.0</v>
      </c>
      <c r="J2198" s="128">
        <v>47.45</v>
      </c>
      <c r="K2198" s="128">
        <v>31.79</v>
      </c>
      <c r="L2198" s="128">
        <v>157486.6</v>
      </c>
      <c r="M2198" s="128">
        <v>105511.0</v>
      </c>
      <c r="N2198" s="128">
        <v>51975.54</v>
      </c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</row>
    <row r="2199">
      <c r="A2199" s="125" t="s">
        <v>475</v>
      </c>
      <c r="B2199" s="125" t="s">
        <v>537</v>
      </c>
      <c r="C2199" s="125" t="s">
        <v>453</v>
      </c>
      <c r="D2199" s="125" t="s">
        <v>457</v>
      </c>
      <c r="E2199" s="125" t="s">
        <v>284</v>
      </c>
      <c r="F2199" s="126">
        <v>42689.0</v>
      </c>
      <c r="G2199" s="127">
        <v>6.88E8</v>
      </c>
      <c r="H2199" s="126">
        <v>42703.0</v>
      </c>
      <c r="I2199" s="128">
        <v>1847.0</v>
      </c>
      <c r="J2199" s="128">
        <v>255.28</v>
      </c>
      <c r="K2199" s="128">
        <v>159.42</v>
      </c>
      <c r="L2199" s="128">
        <v>471502.2</v>
      </c>
      <c r="M2199" s="128">
        <v>294448.7</v>
      </c>
      <c r="N2199" s="128">
        <v>177053.4</v>
      </c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</row>
    <row r="2200">
      <c r="A2200" s="125" t="s">
        <v>475</v>
      </c>
      <c r="B2200" s="125" t="s">
        <v>500</v>
      </c>
      <c r="C2200" s="125" t="s">
        <v>506</v>
      </c>
      <c r="D2200" s="125" t="s">
        <v>457</v>
      </c>
      <c r="E2200" s="125" t="s">
        <v>472</v>
      </c>
      <c r="F2200" s="126">
        <v>41855.0</v>
      </c>
      <c r="G2200" s="127">
        <v>5.55E8</v>
      </c>
      <c r="H2200" s="126">
        <v>41875.0</v>
      </c>
      <c r="I2200" s="128">
        <v>4116.0</v>
      </c>
      <c r="J2200" s="128">
        <v>154.06</v>
      </c>
      <c r="K2200" s="128">
        <v>90.93</v>
      </c>
      <c r="L2200" s="128">
        <v>634111.0</v>
      </c>
      <c r="M2200" s="128">
        <v>374267.9</v>
      </c>
      <c r="N2200" s="128">
        <v>259843.1</v>
      </c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</row>
    <row r="2201">
      <c r="A2201" s="125" t="s">
        <v>469</v>
      </c>
      <c r="B2201" s="125" t="s">
        <v>501</v>
      </c>
      <c r="C2201" s="125" t="s">
        <v>494</v>
      </c>
      <c r="D2201" s="125" t="s">
        <v>457</v>
      </c>
      <c r="E2201" s="125" t="s">
        <v>472</v>
      </c>
      <c r="F2201" s="126">
        <v>40978.0</v>
      </c>
      <c r="G2201" s="127">
        <v>7.03E8</v>
      </c>
      <c r="H2201" s="126">
        <v>41016.0</v>
      </c>
      <c r="I2201" s="128">
        <v>2318.0</v>
      </c>
      <c r="J2201" s="128">
        <v>9.33</v>
      </c>
      <c r="K2201" s="128">
        <v>6.92</v>
      </c>
      <c r="L2201" s="128">
        <v>21626.94</v>
      </c>
      <c r="M2201" s="128">
        <v>16040.56</v>
      </c>
      <c r="N2201" s="128">
        <v>5586.38</v>
      </c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</row>
    <row r="2202">
      <c r="A2202" s="125" t="s">
        <v>458</v>
      </c>
      <c r="B2202" s="125" t="s">
        <v>626</v>
      </c>
      <c r="C2202" s="125" t="s">
        <v>471</v>
      </c>
      <c r="D2202" s="125" t="s">
        <v>457</v>
      </c>
      <c r="E2202" s="125" t="s">
        <v>464</v>
      </c>
      <c r="F2202" s="126">
        <v>40681.0</v>
      </c>
      <c r="G2202" s="127">
        <v>9.74E8</v>
      </c>
      <c r="H2202" s="126">
        <v>40702.0</v>
      </c>
      <c r="I2202" s="128">
        <v>677.0</v>
      </c>
      <c r="J2202" s="128">
        <v>109.28</v>
      </c>
      <c r="K2202" s="128">
        <v>35.84</v>
      </c>
      <c r="L2202" s="128">
        <v>73982.56</v>
      </c>
      <c r="M2202" s="128">
        <v>24263.68</v>
      </c>
      <c r="N2202" s="128">
        <v>49718.88</v>
      </c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</row>
    <row r="2203">
      <c r="A2203" s="125" t="s">
        <v>475</v>
      </c>
      <c r="B2203" s="125" t="s">
        <v>636</v>
      </c>
      <c r="C2203" s="125" t="s">
        <v>480</v>
      </c>
      <c r="D2203" s="125" t="s">
        <v>457</v>
      </c>
      <c r="E2203" s="125" t="s">
        <v>472</v>
      </c>
      <c r="F2203" s="126">
        <v>40591.0</v>
      </c>
      <c r="G2203" s="127">
        <v>3.82E8</v>
      </c>
      <c r="H2203" s="126">
        <v>40599.0</v>
      </c>
      <c r="I2203" s="128">
        <v>448.0</v>
      </c>
      <c r="J2203" s="128">
        <v>437.2</v>
      </c>
      <c r="K2203" s="128">
        <v>263.33</v>
      </c>
      <c r="L2203" s="128">
        <v>195865.6</v>
      </c>
      <c r="M2203" s="128">
        <v>117971.8</v>
      </c>
      <c r="N2203" s="128">
        <v>77893.76</v>
      </c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</row>
    <row r="2204">
      <c r="A2204" s="125" t="s">
        <v>475</v>
      </c>
      <c r="B2204" s="125" t="s">
        <v>504</v>
      </c>
      <c r="C2204" s="125" t="s">
        <v>494</v>
      </c>
      <c r="D2204" s="125" t="s">
        <v>454</v>
      </c>
      <c r="E2204" s="125" t="s">
        <v>464</v>
      </c>
      <c r="F2204" s="126">
        <v>40728.0</v>
      </c>
      <c r="G2204" s="127">
        <v>2.58E8</v>
      </c>
      <c r="H2204" s="126">
        <v>40730.0</v>
      </c>
      <c r="I2204" s="128">
        <v>4917.0</v>
      </c>
      <c r="J2204" s="128">
        <v>9.33</v>
      </c>
      <c r="K2204" s="128">
        <v>6.92</v>
      </c>
      <c r="L2204" s="128">
        <v>45875.61</v>
      </c>
      <c r="M2204" s="128">
        <v>34025.64</v>
      </c>
      <c r="N2204" s="128">
        <v>11849.97</v>
      </c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</row>
    <row r="2205">
      <c r="A2205" s="125" t="s">
        <v>475</v>
      </c>
      <c r="B2205" s="125" t="s">
        <v>549</v>
      </c>
      <c r="C2205" s="125" t="s">
        <v>453</v>
      </c>
      <c r="D2205" s="125" t="s">
        <v>454</v>
      </c>
      <c r="E2205" s="125" t="s">
        <v>284</v>
      </c>
      <c r="F2205" s="126">
        <v>42879.0</v>
      </c>
      <c r="G2205" s="127">
        <v>2.06E8</v>
      </c>
      <c r="H2205" s="126">
        <v>42924.0</v>
      </c>
      <c r="I2205" s="128">
        <v>4401.0</v>
      </c>
      <c r="J2205" s="128">
        <v>255.28</v>
      </c>
      <c r="K2205" s="128">
        <v>159.42</v>
      </c>
      <c r="L2205" s="128">
        <v>1123487.0</v>
      </c>
      <c r="M2205" s="128">
        <v>701607.4</v>
      </c>
      <c r="N2205" s="128">
        <v>421879.9</v>
      </c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</row>
    <row r="2206">
      <c r="A2206" s="125" t="s">
        <v>475</v>
      </c>
      <c r="B2206" s="125" t="s">
        <v>572</v>
      </c>
      <c r="C2206" s="125" t="s">
        <v>506</v>
      </c>
      <c r="D2206" s="125" t="s">
        <v>457</v>
      </c>
      <c r="E2206" s="125" t="s">
        <v>472</v>
      </c>
      <c r="F2206" s="126">
        <v>40926.0</v>
      </c>
      <c r="G2206" s="127">
        <v>3.5E8</v>
      </c>
      <c r="H2206" s="126">
        <v>40965.0</v>
      </c>
      <c r="I2206" s="128">
        <v>1249.0</v>
      </c>
      <c r="J2206" s="128">
        <v>154.06</v>
      </c>
      <c r="K2206" s="128">
        <v>90.93</v>
      </c>
      <c r="L2206" s="128">
        <v>192420.9</v>
      </c>
      <c r="M2206" s="128">
        <v>113571.6</v>
      </c>
      <c r="N2206" s="128">
        <v>78849.37</v>
      </c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</row>
    <row r="2207">
      <c r="A2207" s="125" t="s">
        <v>466</v>
      </c>
      <c r="B2207" s="125" t="s">
        <v>467</v>
      </c>
      <c r="C2207" s="125" t="s">
        <v>460</v>
      </c>
      <c r="D2207" s="125" t="s">
        <v>457</v>
      </c>
      <c r="E2207" s="125" t="s">
        <v>464</v>
      </c>
      <c r="F2207" s="126">
        <v>41585.0</v>
      </c>
      <c r="G2207" s="127">
        <v>8.83E8</v>
      </c>
      <c r="H2207" s="126">
        <v>41614.0</v>
      </c>
      <c r="I2207" s="128">
        <v>4842.0</v>
      </c>
      <c r="J2207" s="128">
        <v>47.45</v>
      </c>
      <c r="K2207" s="128">
        <v>31.79</v>
      </c>
      <c r="L2207" s="128">
        <v>229752.9</v>
      </c>
      <c r="M2207" s="128">
        <v>153927.2</v>
      </c>
      <c r="N2207" s="128">
        <v>75825.72</v>
      </c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</row>
    <row r="2208">
      <c r="A2208" s="125" t="s">
        <v>458</v>
      </c>
      <c r="B2208" s="125" t="s">
        <v>515</v>
      </c>
      <c r="C2208" s="125" t="s">
        <v>478</v>
      </c>
      <c r="D2208" s="125" t="s">
        <v>454</v>
      </c>
      <c r="E2208" s="125" t="s">
        <v>472</v>
      </c>
      <c r="F2208" s="126">
        <v>40898.0</v>
      </c>
      <c r="G2208" s="127">
        <v>7.19E8</v>
      </c>
      <c r="H2208" s="126">
        <v>40918.0</v>
      </c>
      <c r="I2208" s="128">
        <v>6589.0</v>
      </c>
      <c r="J2208" s="128">
        <v>651.21</v>
      </c>
      <c r="K2208" s="128">
        <v>524.96</v>
      </c>
      <c r="L2208" s="128">
        <v>4290823.0</v>
      </c>
      <c r="M2208" s="128">
        <v>3458961.0</v>
      </c>
      <c r="N2208" s="128">
        <v>831861.3</v>
      </c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</row>
    <row r="2209">
      <c r="A2209" s="125" t="s">
        <v>458</v>
      </c>
      <c r="B2209" s="125" t="s">
        <v>653</v>
      </c>
      <c r="C2209" s="125" t="s">
        <v>468</v>
      </c>
      <c r="D2209" s="125" t="s">
        <v>457</v>
      </c>
      <c r="E2209" s="125" t="s">
        <v>464</v>
      </c>
      <c r="F2209" s="126">
        <v>42209.0</v>
      </c>
      <c r="G2209" s="127">
        <v>6.44E8</v>
      </c>
      <c r="H2209" s="126">
        <v>42216.0</v>
      </c>
      <c r="I2209" s="128">
        <v>4934.0</v>
      </c>
      <c r="J2209" s="128">
        <v>81.73</v>
      </c>
      <c r="K2209" s="128">
        <v>56.67</v>
      </c>
      <c r="L2209" s="128">
        <v>403255.8</v>
      </c>
      <c r="M2209" s="128">
        <v>279609.8</v>
      </c>
      <c r="N2209" s="128">
        <v>123646.0</v>
      </c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</row>
    <row r="2210">
      <c r="A2210" s="125" t="s">
        <v>466</v>
      </c>
      <c r="B2210" s="125" t="s">
        <v>467</v>
      </c>
      <c r="C2210" s="125" t="s">
        <v>471</v>
      </c>
      <c r="D2210" s="125" t="s">
        <v>454</v>
      </c>
      <c r="E2210" s="125" t="s">
        <v>284</v>
      </c>
      <c r="F2210" s="126">
        <v>40956.0</v>
      </c>
      <c r="G2210" s="127">
        <v>1.61E8</v>
      </c>
      <c r="H2210" s="126">
        <v>41004.0</v>
      </c>
      <c r="I2210" s="128">
        <v>350.0</v>
      </c>
      <c r="J2210" s="128">
        <v>109.28</v>
      </c>
      <c r="K2210" s="128">
        <v>35.84</v>
      </c>
      <c r="L2210" s="128">
        <v>38248.0</v>
      </c>
      <c r="M2210" s="128">
        <v>12544.0</v>
      </c>
      <c r="N2210" s="128">
        <v>25704.0</v>
      </c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</row>
    <row r="2211">
      <c r="A2211" s="125" t="s">
        <v>458</v>
      </c>
      <c r="B2211" s="125" t="s">
        <v>567</v>
      </c>
      <c r="C2211" s="125" t="s">
        <v>485</v>
      </c>
      <c r="D2211" s="125" t="s">
        <v>457</v>
      </c>
      <c r="E2211" s="125" t="s">
        <v>284</v>
      </c>
      <c r="F2211" s="126">
        <v>42644.0</v>
      </c>
      <c r="G2211" s="127">
        <v>6.45E8</v>
      </c>
      <c r="H2211" s="126">
        <v>42680.0</v>
      </c>
      <c r="I2211" s="128">
        <v>342.0</v>
      </c>
      <c r="J2211" s="128">
        <v>421.89</v>
      </c>
      <c r="K2211" s="128">
        <v>364.69</v>
      </c>
      <c r="L2211" s="128">
        <v>144286.4</v>
      </c>
      <c r="M2211" s="128">
        <v>124724.0</v>
      </c>
      <c r="N2211" s="128">
        <v>19562.4</v>
      </c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</row>
    <row r="2212">
      <c r="A2212" s="125" t="s">
        <v>475</v>
      </c>
      <c r="B2212" s="125" t="s">
        <v>504</v>
      </c>
      <c r="C2212" s="125" t="s">
        <v>480</v>
      </c>
      <c r="D2212" s="125" t="s">
        <v>457</v>
      </c>
      <c r="E2212" s="125" t="s">
        <v>284</v>
      </c>
      <c r="F2212" s="126">
        <v>42105.0</v>
      </c>
      <c r="G2212" s="127">
        <v>3.93E8</v>
      </c>
      <c r="H2212" s="126">
        <v>42138.0</v>
      </c>
      <c r="I2212" s="128">
        <v>4446.0</v>
      </c>
      <c r="J2212" s="128">
        <v>437.2</v>
      </c>
      <c r="K2212" s="128">
        <v>263.33</v>
      </c>
      <c r="L2212" s="128">
        <v>1943791.0</v>
      </c>
      <c r="M2212" s="128">
        <v>1170765.0</v>
      </c>
      <c r="N2212" s="128">
        <v>773026.0</v>
      </c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</row>
    <row r="2213">
      <c r="A2213" s="125" t="s">
        <v>458</v>
      </c>
      <c r="B2213" s="125" t="s">
        <v>555</v>
      </c>
      <c r="C2213" s="125" t="s">
        <v>463</v>
      </c>
      <c r="D2213" s="125" t="s">
        <v>457</v>
      </c>
      <c r="E2213" s="125" t="s">
        <v>189</v>
      </c>
      <c r="F2213" s="126">
        <v>41475.0</v>
      </c>
      <c r="G2213" s="127">
        <v>4.69E8</v>
      </c>
      <c r="H2213" s="126">
        <v>41510.0</v>
      </c>
      <c r="I2213" s="128">
        <v>9229.0</v>
      </c>
      <c r="J2213" s="128">
        <v>205.7</v>
      </c>
      <c r="K2213" s="128">
        <v>117.11</v>
      </c>
      <c r="L2213" s="128">
        <v>1898405.0</v>
      </c>
      <c r="M2213" s="128">
        <v>1080808.0</v>
      </c>
      <c r="N2213" s="128">
        <v>817597.1</v>
      </c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</row>
    <row r="2214">
      <c r="A2214" s="125" t="s">
        <v>475</v>
      </c>
      <c r="B2214" s="125" t="s">
        <v>512</v>
      </c>
      <c r="C2214" s="125" t="s">
        <v>506</v>
      </c>
      <c r="D2214" s="125" t="s">
        <v>457</v>
      </c>
      <c r="E2214" s="125" t="s">
        <v>472</v>
      </c>
      <c r="F2214" s="126">
        <v>40511.0</v>
      </c>
      <c r="G2214" s="127">
        <v>6.6E8</v>
      </c>
      <c r="H2214" s="126">
        <v>40514.0</v>
      </c>
      <c r="I2214" s="128">
        <v>3291.0</v>
      </c>
      <c r="J2214" s="128">
        <v>154.06</v>
      </c>
      <c r="K2214" s="128">
        <v>90.93</v>
      </c>
      <c r="L2214" s="128">
        <v>507011.5</v>
      </c>
      <c r="M2214" s="128">
        <v>299250.6</v>
      </c>
      <c r="N2214" s="128">
        <v>207760.8</v>
      </c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</row>
    <row r="2215">
      <c r="A2215" s="125" t="s">
        <v>458</v>
      </c>
      <c r="B2215" s="125" t="s">
        <v>563</v>
      </c>
      <c r="C2215" s="125" t="s">
        <v>480</v>
      </c>
      <c r="D2215" s="125" t="s">
        <v>454</v>
      </c>
      <c r="E2215" s="125" t="s">
        <v>464</v>
      </c>
      <c r="F2215" s="126">
        <v>40744.0</v>
      </c>
      <c r="G2215" s="127">
        <v>8.22E8</v>
      </c>
      <c r="H2215" s="126">
        <v>40781.0</v>
      </c>
      <c r="I2215" s="128">
        <v>2260.0</v>
      </c>
      <c r="J2215" s="128">
        <v>437.2</v>
      </c>
      <c r="K2215" s="128">
        <v>263.33</v>
      </c>
      <c r="L2215" s="128">
        <v>988072.0</v>
      </c>
      <c r="M2215" s="128">
        <v>595125.8</v>
      </c>
      <c r="N2215" s="128">
        <v>392946.2</v>
      </c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</row>
    <row r="2216">
      <c r="A2216" s="125" t="s">
        <v>451</v>
      </c>
      <c r="B2216" s="125" t="s">
        <v>620</v>
      </c>
      <c r="C2216" s="125" t="s">
        <v>468</v>
      </c>
      <c r="D2216" s="125" t="s">
        <v>454</v>
      </c>
      <c r="E2216" s="125" t="s">
        <v>189</v>
      </c>
      <c r="F2216" s="126">
        <v>41326.0</v>
      </c>
      <c r="G2216" s="127">
        <v>4.31E8</v>
      </c>
      <c r="H2216" s="126">
        <v>41373.0</v>
      </c>
      <c r="I2216" s="128">
        <v>3799.0</v>
      </c>
      <c r="J2216" s="128">
        <v>81.73</v>
      </c>
      <c r="K2216" s="128">
        <v>56.67</v>
      </c>
      <c r="L2216" s="128">
        <v>310492.3</v>
      </c>
      <c r="M2216" s="128">
        <v>215289.3</v>
      </c>
      <c r="N2216" s="128">
        <v>95202.94</v>
      </c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</row>
    <row r="2217">
      <c r="A2217" s="125" t="s">
        <v>458</v>
      </c>
      <c r="B2217" s="125" t="s">
        <v>486</v>
      </c>
      <c r="C2217" s="125" t="s">
        <v>514</v>
      </c>
      <c r="D2217" s="125" t="s">
        <v>457</v>
      </c>
      <c r="E2217" s="125" t="s">
        <v>189</v>
      </c>
      <c r="F2217" s="126">
        <v>40417.0</v>
      </c>
      <c r="G2217" s="127">
        <v>8.35E8</v>
      </c>
      <c r="H2217" s="126">
        <v>40452.0</v>
      </c>
      <c r="I2217" s="128">
        <v>2599.0</v>
      </c>
      <c r="J2217" s="128">
        <v>668.27</v>
      </c>
      <c r="K2217" s="128">
        <v>502.54</v>
      </c>
      <c r="L2217" s="128">
        <v>1736834.0</v>
      </c>
      <c r="M2217" s="128">
        <v>1306101.0</v>
      </c>
      <c r="N2217" s="128">
        <v>430732.3</v>
      </c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</row>
    <row r="2218">
      <c r="A2218" s="125" t="s">
        <v>451</v>
      </c>
      <c r="B2218" s="125" t="s">
        <v>592</v>
      </c>
      <c r="C2218" s="125" t="s">
        <v>480</v>
      </c>
      <c r="D2218" s="125" t="s">
        <v>454</v>
      </c>
      <c r="E2218" s="125" t="s">
        <v>284</v>
      </c>
      <c r="F2218" s="126">
        <v>42098.0</v>
      </c>
      <c r="G2218" s="127">
        <v>3.01E8</v>
      </c>
      <c r="H2218" s="126">
        <v>42113.0</v>
      </c>
      <c r="I2218" s="128">
        <v>5384.0</v>
      </c>
      <c r="J2218" s="128">
        <v>437.2</v>
      </c>
      <c r="K2218" s="128">
        <v>263.33</v>
      </c>
      <c r="L2218" s="128">
        <v>2353885.0</v>
      </c>
      <c r="M2218" s="128">
        <v>1417769.0</v>
      </c>
      <c r="N2218" s="128">
        <v>936116.1</v>
      </c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</row>
    <row r="2219">
      <c r="A2219" s="125" t="s">
        <v>461</v>
      </c>
      <c r="B2219" s="125" t="s">
        <v>618</v>
      </c>
      <c r="C2219" s="125" t="s">
        <v>463</v>
      </c>
      <c r="D2219" s="125" t="s">
        <v>457</v>
      </c>
      <c r="E2219" s="125" t="s">
        <v>472</v>
      </c>
      <c r="F2219" s="126">
        <v>41156.0</v>
      </c>
      <c r="G2219" s="127">
        <v>7.66E8</v>
      </c>
      <c r="H2219" s="126">
        <v>41194.0</v>
      </c>
      <c r="I2219" s="128">
        <v>5910.0</v>
      </c>
      <c r="J2219" s="128">
        <v>205.7</v>
      </c>
      <c r="K2219" s="128">
        <v>117.11</v>
      </c>
      <c r="L2219" s="128">
        <v>1215687.0</v>
      </c>
      <c r="M2219" s="128">
        <v>692120.1</v>
      </c>
      <c r="N2219" s="128">
        <v>523566.9</v>
      </c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</row>
    <row r="2220">
      <c r="A2220" s="125" t="s">
        <v>461</v>
      </c>
      <c r="B2220" s="125" t="s">
        <v>557</v>
      </c>
      <c r="C2220" s="125" t="s">
        <v>453</v>
      </c>
      <c r="D2220" s="125" t="s">
        <v>457</v>
      </c>
      <c r="E2220" s="125" t="s">
        <v>284</v>
      </c>
      <c r="F2220" s="126">
        <v>41066.0</v>
      </c>
      <c r="G2220" s="127">
        <v>1.88E8</v>
      </c>
      <c r="H2220" s="126">
        <v>41086.0</v>
      </c>
      <c r="I2220" s="128">
        <v>9961.0</v>
      </c>
      <c r="J2220" s="128">
        <v>255.28</v>
      </c>
      <c r="K2220" s="128">
        <v>159.42</v>
      </c>
      <c r="L2220" s="128">
        <v>2542844.0</v>
      </c>
      <c r="M2220" s="128">
        <v>1587983.0</v>
      </c>
      <c r="N2220" s="128">
        <v>954861.5</v>
      </c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</row>
    <row r="2221">
      <c r="A2221" s="125" t="s">
        <v>458</v>
      </c>
      <c r="B2221" s="125" t="s">
        <v>614</v>
      </c>
      <c r="C2221" s="125" t="s">
        <v>514</v>
      </c>
      <c r="D2221" s="125" t="s">
        <v>454</v>
      </c>
      <c r="E2221" s="125" t="s">
        <v>464</v>
      </c>
      <c r="F2221" s="126">
        <v>41543.0</v>
      </c>
      <c r="G2221" s="127">
        <v>1.95E8</v>
      </c>
      <c r="H2221" s="126">
        <v>41558.0</v>
      </c>
      <c r="I2221" s="128">
        <v>356.0</v>
      </c>
      <c r="J2221" s="128">
        <v>668.27</v>
      </c>
      <c r="K2221" s="128">
        <v>502.54</v>
      </c>
      <c r="L2221" s="128">
        <v>237904.1</v>
      </c>
      <c r="M2221" s="128">
        <v>178904.2</v>
      </c>
      <c r="N2221" s="128">
        <v>58999.88</v>
      </c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</row>
    <row r="2222">
      <c r="A2222" s="125" t="s">
        <v>488</v>
      </c>
      <c r="B2222" s="125" t="s">
        <v>577</v>
      </c>
      <c r="C2222" s="125" t="s">
        <v>468</v>
      </c>
      <c r="D2222" s="125" t="s">
        <v>457</v>
      </c>
      <c r="E2222" s="125" t="s">
        <v>472</v>
      </c>
      <c r="F2222" s="126">
        <v>42692.0</v>
      </c>
      <c r="G2222" s="127">
        <v>2.36E8</v>
      </c>
      <c r="H2222" s="126">
        <v>42732.0</v>
      </c>
      <c r="I2222" s="128">
        <v>1943.0</v>
      </c>
      <c r="J2222" s="128">
        <v>81.73</v>
      </c>
      <c r="K2222" s="128">
        <v>56.67</v>
      </c>
      <c r="L2222" s="128">
        <v>158801.4</v>
      </c>
      <c r="M2222" s="128">
        <v>110109.8</v>
      </c>
      <c r="N2222" s="128">
        <v>48691.58</v>
      </c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</row>
    <row r="2223">
      <c r="A2223" s="125" t="s">
        <v>475</v>
      </c>
      <c r="B2223" s="125" t="s">
        <v>521</v>
      </c>
      <c r="C2223" s="125" t="s">
        <v>485</v>
      </c>
      <c r="D2223" s="125" t="s">
        <v>457</v>
      </c>
      <c r="E2223" s="125" t="s">
        <v>472</v>
      </c>
      <c r="F2223" s="126">
        <v>40856.0</v>
      </c>
      <c r="G2223" s="127">
        <v>7.3E8</v>
      </c>
      <c r="H2223" s="126">
        <v>40905.0</v>
      </c>
      <c r="I2223" s="128">
        <v>6603.0</v>
      </c>
      <c r="J2223" s="128">
        <v>421.89</v>
      </c>
      <c r="K2223" s="128">
        <v>364.69</v>
      </c>
      <c r="L2223" s="128">
        <v>2785740.0</v>
      </c>
      <c r="M2223" s="128">
        <v>2408048.0</v>
      </c>
      <c r="N2223" s="128">
        <v>377691.6</v>
      </c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</row>
    <row r="2224">
      <c r="A2224" s="125" t="s">
        <v>475</v>
      </c>
      <c r="B2224" s="125" t="s">
        <v>566</v>
      </c>
      <c r="C2224" s="125" t="s">
        <v>485</v>
      </c>
      <c r="D2224" s="125" t="s">
        <v>454</v>
      </c>
      <c r="E2224" s="125" t="s">
        <v>189</v>
      </c>
      <c r="F2224" s="126">
        <v>41066.0</v>
      </c>
      <c r="G2224" s="127">
        <v>8.16E8</v>
      </c>
      <c r="H2224" s="126">
        <v>41077.0</v>
      </c>
      <c r="I2224" s="128">
        <v>8245.0</v>
      </c>
      <c r="J2224" s="128">
        <v>421.89</v>
      </c>
      <c r="K2224" s="128">
        <v>364.69</v>
      </c>
      <c r="L2224" s="128">
        <v>3478483.0</v>
      </c>
      <c r="M2224" s="128">
        <v>3006869.0</v>
      </c>
      <c r="N2224" s="128">
        <v>471614.0</v>
      </c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</row>
    <row r="2225">
      <c r="A2225" s="125" t="s">
        <v>461</v>
      </c>
      <c r="B2225" s="125" t="s">
        <v>462</v>
      </c>
      <c r="C2225" s="125" t="s">
        <v>494</v>
      </c>
      <c r="D2225" s="125" t="s">
        <v>454</v>
      </c>
      <c r="E2225" s="125" t="s">
        <v>284</v>
      </c>
      <c r="F2225" s="126">
        <v>41827.0</v>
      </c>
      <c r="G2225" s="127">
        <v>6.02E8</v>
      </c>
      <c r="H2225" s="126">
        <v>41861.0</v>
      </c>
      <c r="I2225" s="128">
        <v>7813.0</v>
      </c>
      <c r="J2225" s="128">
        <v>9.33</v>
      </c>
      <c r="K2225" s="128">
        <v>6.92</v>
      </c>
      <c r="L2225" s="128">
        <v>72895.29</v>
      </c>
      <c r="M2225" s="128">
        <v>54065.96</v>
      </c>
      <c r="N2225" s="128">
        <v>18829.33</v>
      </c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</row>
    <row r="2226">
      <c r="A2226" s="125" t="s">
        <v>475</v>
      </c>
      <c r="B2226" s="125" t="s">
        <v>575</v>
      </c>
      <c r="C2226" s="125" t="s">
        <v>456</v>
      </c>
      <c r="D2226" s="125" t="s">
        <v>457</v>
      </c>
      <c r="E2226" s="125" t="s">
        <v>472</v>
      </c>
      <c r="F2226" s="126">
        <v>42033.0</v>
      </c>
      <c r="G2226" s="127">
        <v>7.2E8</v>
      </c>
      <c r="H2226" s="126">
        <v>42069.0</v>
      </c>
      <c r="I2226" s="128">
        <v>8280.0</v>
      </c>
      <c r="J2226" s="128">
        <v>152.58</v>
      </c>
      <c r="K2226" s="128">
        <v>97.44</v>
      </c>
      <c r="L2226" s="128">
        <v>1263362.0</v>
      </c>
      <c r="M2226" s="128">
        <v>806803.2</v>
      </c>
      <c r="N2226" s="128">
        <v>456559.2</v>
      </c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</row>
    <row r="2227">
      <c r="A2227" s="125" t="s">
        <v>451</v>
      </c>
      <c r="B2227" s="125" t="s">
        <v>646</v>
      </c>
      <c r="C2227" s="125" t="s">
        <v>468</v>
      </c>
      <c r="D2227" s="125" t="s">
        <v>454</v>
      </c>
      <c r="E2227" s="125" t="s">
        <v>472</v>
      </c>
      <c r="F2227" s="126">
        <v>42350.0</v>
      </c>
      <c r="G2227" s="127">
        <v>9.68E8</v>
      </c>
      <c r="H2227" s="126">
        <v>42376.0</v>
      </c>
      <c r="I2227" s="128">
        <v>9652.0</v>
      </c>
      <c r="J2227" s="128">
        <v>81.73</v>
      </c>
      <c r="K2227" s="128">
        <v>56.67</v>
      </c>
      <c r="L2227" s="128">
        <v>788858.0</v>
      </c>
      <c r="M2227" s="128">
        <v>546978.8</v>
      </c>
      <c r="N2227" s="128">
        <v>241879.1</v>
      </c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</row>
    <row r="2228">
      <c r="A2228" s="125" t="s">
        <v>469</v>
      </c>
      <c r="B2228" s="125" t="s">
        <v>617</v>
      </c>
      <c r="C2228" s="125" t="s">
        <v>478</v>
      </c>
      <c r="D2228" s="125" t="s">
        <v>457</v>
      </c>
      <c r="E2228" s="125" t="s">
        <v>472</v>
      </c>
      <c r="F2228" s="126">
        <v>41066.0</v>
      </c>
      <c r="G2228" s="127">
        <v>7.68E8</v>
      </c>
      <c r="H2228" s="126">
        <v>41093.0</v>
      </c>
      <c r="I2228" s="128">
        <v>3963.0</v>
      </c>
      <c r="J2228" s="128">
        <v>651.21</v>
      </c>
      <c r="K2228" s="128">
        <v>524.96</v>
      </c>
      <c r="L2228" s="128">
        <v>2580745.0</v>
      </c>
      <c r="M2228" s="128">
        <v>2080416.0</v>
      </c>
      <c r="N2228" s="128">
        <v>500328.8</v>
      </c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</row>
    <row r="2229">
      <c r="A2229" s="125" t="s">
        <v>475</v>
      </c>
      <c r="B2229" s="125" t="s">
        <v>566</v>
      </c>
      <c r="C2229" s="125" t="s">
        <v>514</v>
      </c>
      <c r="D2229" s="125" t="s">
        <v>454</v>
      </c>
      <c r="E2229" s="125" t="s">
        <v>189</v>
      </c>
      <c r="F2229" s="126">
        <v>41009.0</v>
      </c>
      <c r="G2229" s="127">
        <v>5.09E8</v>
      </c>
      <c r="H2229" s="126">
        <v>41057.0</v>
      </c>
      <c r="I2229" s="128">
        <v>282.0</v>
      </c>
      <c r="J2229" s="128">
        <v>668.27</v>
      </c>
      <c r="K2229" s="128">
        <v>502.54</v>
      </c>
      <c r="L2229" s="128">
        <v>188452.1</v>
      </c>
      <c r="M2229" s="128">
        <v>141716.3</v>
      </c>
      <c r="N2229" s="128">
        <v>46735.86</v>
      </c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</row>
    <row r="2230">
      <c r="A2230" s="125" t="s">
        <v>475</v>
      </c>
      <c r="B2230" s="125" t="s">
        <v>591</v>
      </c>
      <c r="C2230" s="125" t="s">
        <v>453</v>
      </c>
      <c r="D2230" s="125" t="s">
        <v>457</v>
      </c>
      <c r="E2230" s="125" t="s">
        <v>464</v>
      </c>
      <c r="F2230" s="126">
        <v>42628.0</v>
      </c>
      <c r="G2230" s="127">
        <v>2.04E8</v>
      </c>
      <c r="H2230" s="126">
        <v>42639.0</v>
      </c>
      <c r="I2230" s="128">
        <v>9707.0</v>
      </c>
      <c r="J2230" s="128">
        <v>255.28</v>
      </c>
      <c r="K2230" s="128">
        <v>159.42</v>
      </c>
      <c r="L2230" s="128">
        <v>2478003.0</v>
      </c>
      <c r="M2230" s="128">
        <v>1547490.0</v>
      </c>
      <c r="N2230" s="128">
        <v>930513.0</v>
      </c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</row>
    <row r="2231">
      <c r="A2231" s="125" t="s">
        <v>466</v>
      </c>
      <c r="B2231" s="125" t="s">
        <v>479</v>
      </c>
      <c r="C2231" s="125" t="s">
        <v>468</v>
      </c>
      <c r="D2231" s="125" t="s">
        <v>457</v>
      </c>
      <c r="E2231" s="125" t="s">
        <v>189</v>
      </c>
      <c r="F2231" s="126">
        <v>42613.0</v>
      </c>
      <c r="G2231" s="127">
        <v>8.33E8</v>
      </c>
      <c r="H2231" s="126">
        <v>42642.0</v>
      </c>
      <c r="I2231" s="128">
        <v>369.0</v>
      </c>
      <c r="J2231" s="128">
        <v>81.73</v>
      </c>
      <c r="K2231" s="128">
        <v>56.67</v>
      </c>
      <c r="L2231" s="128">
        <v>30158.37</v>
      </c>
      <c r="M2231" s="128">
        <v>20911.23</v>
      </c>
      <c r="N2231" s="128">
        <v>9247.14</v>
      </c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</row>
    <row r="2232">
      <c r="A2232" s="125" t="s">
        <v>461</v>
      </c>
      <c r="B2232" s="125" t="s">
        <v>557</v>
      </c>
      <c r="C2232" s="125" t="s">
        <v>453</v>
      </c>
      <c r="D2232" s="125" t="s">
        <v>457</v>
      </c>
      <c r="E2232" s="125" t="s">
        <v>284</v>
      </c>
      <c r="F2232" s="126">
        <v>40808.0</v>
      </c>
      <c r="G2232" s="127">
        <v>2.97E8</v>
      </c>
      <c r="H2232" s="126">
        <v>40834.0</v>
      </c>
      <c r="I2232" s="128">
        <v>2428.0</v>
      </c>
      <c r="J2232" s="128">
        <v>255.28</v>
      </c>
      <c r="K2232" s="128">
        <v>159.42</v>
      </c>
      <c r="L2232" s="128">
        <v>619819.8</v>
      </c>
      <c r="M2232" s="128">
        <v>387071.8</v>
      </c>
      <c r="N2232" s="128">
        <v>232748.1</v>
      </c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</row>
    <row r="2233">
      <c r="A2233" s="125" t="s">
        <v>475</v>
      </c>
      <c r="B2233" s="125" t="s">
        <v>571</v>
      </c>
      <c r="C2233" s="125" t="s">
        <v>463</v>
      </c>
      <c r="D2233" s="125" t="s">
        <v>457</v>
      </c>
      <c r="E2233" s="125" t="s">
        <v>472</v>
      </c>
      <c r="F2233" s="126">
        <v>41596.0</v>
      </c>
      <c r="G2233" s="127">
        <v>1.7E8</v>
      </c>
      <c r="H2233" s="126">
        <v>41611.0</v>
      </c>
      <c r="I2233" s="128">
        <v>3076.0</v>
      </c>
      <c r="J2233" s="128">
        <v>205.7</v>
      </c>
      <c r="K2233" s="128">
        <v>117.11</v>
      </c>
      <c r="L2233" s="128">
        <v>632733.2</v>
      </c>
      <c r="M2233" s="128">
        <v>360230.4</v>
      </c>
      <c r="N2233" s="128">
        <v>272502.8</v>
      </c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</row>
    <row r="2234">
      <c r="A2234" s="125" t="s">
        <v>469</v>
      </c>
      <c r="B2234" s="125" t="s">
        <v>632</v>
      </c>
      <c r="C2234" s="125" t="s">
        <v>478</v>
      </c>
      <c r="D2234" s="125" t="s">
        <v>457</v>
      </c>
      <c r="E2234" s="125" t="s">
        <v>464</v>
      </c>
      <c r="F2234" s="126">
        <v>41451.0</v>
      </c>
      <c r="G2234" s="127">
        <v>7.42E8</v>
      </c>
      <c r="H2234" s="126">
        <v>41474.0</v>
      </c>
      <c r="I2234" s="128">
        <v>1537.0</v>
      </c>
      <c r="J2234" s="128">
        <v>651.21</v>
      </c>
      <c r="K2234" s="128">
        <v>524.96</v>
      </c>
      <c r="L2234" s="128">
        <v>1000910.0</v>
      </c>
      <c r="M2234" s="128">
        <v>806863.5</v>
      </c>
      <c r="N2234" s="128">
        <v>194046.3</v>
      </c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</row>
    <row r="2235">
      <c r="A2235" s="125" t="s">
        <v>469</v>
      </c>
      <c r="B2235" s="125" t="s">
        <v>634</v>
      </c>
      <c r="C2235" s="125" t="s">
        <v>471</v>
      </c>
      <c r="D2235" s="125" t="s">
        <v>457</v>
      </c>
      <c r="E2235" s="125" t="s">
        <v>284</v>
      </c>
      <c r="F2235" s="126">
        <v>41385.0</v>
      </c>
      <c r="G2235" s="127">
        <v>5.77E8</v>
      </c>
      <c r="H2235" s="126">
        <v>41398.0</v>
      </c>
      <c r="I2235" s="128">
        <v>4067.0</v>
      </c>
      <c r="J2235" s="128">
        <v>109.28</v>
      </c>
      <c r="K2235" s="128">
        <v>35.84</v>
      </c>
      <c r="L2235" s="128">
        <v>444441.8</v>
      </c>
      <c r="M2235" s="128">
        <v>145761.3</v>
      </c>
      <c r="N2235" s="128">
        <v>298680.5</v>
      </c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</row>
    <row r="2236">
      <c r="A2236" s="125" t="s">
        <v>451</v>
      </c>
      <c r="B2236" s="125" t="s">
        <v>543</v>
      </c>
      <c r="C2236" s="125" t="s">
        <v>506</v>
      </c>
      <c r="D2236" s="125" t="s">
        <v>454</v>
      </c>
      <c r="E2236" s="125" t="s">
        <v>284</v>
      </c>
      <c r="F2236" s="126">
        <v>42798.0</v>
      </c>
      <c r="G2236" s="127">
        <v>5.57E8</v>
      </c>
      <c r="H2236" s="126">
        <v>42813.0</v>
      </c>
      <c r="I2236" s="128">
        <v>8951.0</v>
      </c>
      <c r="J2236" s="128">
        <v>154.06</v>
      </c>
      <c r="K2236" s="128">
        <v>90.93</v>
      </c>
      <c r="L2236" s="128">
        <v>1378991.0</v>
      </c>
      <c r="M2236" s="128">
        <v>813914.4</v>
      </c>
      <c r="N2236" s="128">
        <v>565076.6</v>
      </c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</row>
    <row r="2237">
      <c r="A2237" s="125" t="s">
        <v>475</v>
      </c>
      <c r="B2237" s="125" t="s">
        <v>574</v>
      </c>
      <c r="C2237" s="125" t="s">
        <v>471</v>
      </c>
      <c r="D2237" s="125" t="s">
        <v>454</v>
      </c>
      <c r="E2237" s="125" t="s">
        <v>189</v>
      </c>
      <c r="F2237" s="126">
        <v>40564.0</v>
      </c>
      <c r="G2237" s="127">
        <v>7.36E8</v>
      </c>
      <c r="H2237" s="126">
        <v>40609.0</v>
      </c>
      <c r="I2237" s="128">
        <v>1507.0</v>
      </c>
      <c r="J2237" s="128">
        <v>109.28</v>
      </c>
      <c r="K2237" s="128">
        <v>35.84</v>
      </c>
      <c r="L2237" s="128">
        <v>164685.0</v>
      </c>
      <c r="M2237" s="128">
        <v>54010.88</v>
      </c>
      <c r="N2237" s="128">
        <v>110674.1</v>
      </c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</row>
    <row r="2238">
      <c r="A2238" s="125" t="s">
        <v>451</v>
      </c>
      <c r="B2238" s="125" t="s">
        <v>482</v>
      </c>
      <c r="C2238" s="125" t="s">
        <v>494</v>
      </c>
      <c r="D2238" s="125" t="s">
        <v>457</v>
      </c>
      <c r="E2238" s="125" t="s">
        <v>189</v>
      </c>
      <c r="F2238" s="126">
        <v>41011.0</v>
      </c>
      <c r="G2238" s="127">
        <v>7.88E8</v>
      </c>
      <c r="H2238" s="126">
        <v>41041.0</v>
      </c>
      <c r="I2238" s="128">
        <v>9083.0</v>
      </c>
      <c r="J2238" s="128">
        <v>9.33</v>
      </c>
      <c r="K2238" s="128">
        <v>6.92</v>
      </c>
      <c r="L2238" s="128">
        <v>84744.39</v>
      </c>
      <c r="M2238" s="128">
        <v>62854.36</v>
      </c>
      <c r="N2238" s="128">
        <v>21890.03</v>
      </c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</row>
    <row r="2239">
      <c r="A2239" s="125" t="s">
        <v>466</v>
      </c>
      <c r="B2239" s="125" t="s">
        <v>477</v>
      </c>
      <c r="C2239" s="125" t="s">
        <v>494</v>
      </c>
      <c r="D2239" s="125" t="s">
        <v>454</v>
      </c>
      <c r="E2239" s="125" t="s">
        <v>284</v>
      </c>
      <c r="F2239" s="126">
        <v>41174.0</v>
      </c>
      <c r="G2239" s="127">
        <v>4.54E8</v>
      </c>
      <c r="H2239" s="126">
        <v>41213.0</v>
      </c>
      <c r="I2239" s="128">
        <v>6059.0</v>
      </c>
      <c r="J2239" s="128">
        <v>9.33</v>
      </c>
      <c r="K2239" s="128">
        <v>6.92</v>
      </c>
      <c r="L2239" s="128">
        <v>56530.47</v>
      </c>
      <c r="M2239" s="128">
        <v>41928.28</v>
      </c>
      <c r="N2239" s="128">
        <v>14602.19</v>
      </c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</row>
    <row r="2240">
      <c r="A2240" s="125" t="s">
        <v>475</v>
      </c>
      <c r="B2240" s="125" t="s">
        <v>648</v>
      </c>
      <c r="C2240" s="125" t="s">
        <v>514</v>
      </c>
      <c r="D2240" s="125" t="s">
        <v>454</v>
      </c>
      <c r="E2240" s="125" t="s">
        <v>284</v>
      </c>
      <c r="F2240" s="126">
        <v>41244.0</v>
      </c>
      <c r="G2240" s="127">
        <v>9.01E8</v>
      </c>
      <c r="H2240" s="126">
        <v>41247.0</v>
      </c>
      <c r="I2240" s="128">
        <v>8846.0</v>
      </c>
      <c r="J2240" s="128">
        <v>668.27</v>
      </c>
      <c r="K2240" s="128">
        <v>502.54</v>
      </c>
      <c r="L2240" s="128">
        <v>5911516.0</v>
      </c>
      <c r="M2240" s="128">
        <v>4445469.0</v>
      </c>
      <c r="N2240" s="128">
        <v>1466048.0</v>
      </c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</row>
    <row r="2241">
      <c r="A2241" s="125" t="s">
        <v>461</v>
      </c>
      <c r="B2241" s="125" t="s">
        <v>510</v>
      </c>
      <c r="C2241" s="125" t="s">
        <v>460</v>
      </c>
      <c r="D2241" s="125" t="s">
        <v>454</v>
      </c>
      <c r="E2241" s="125" t="s">
        <v>464</v>
      </c>
      <c r="F2241" s="126">
        <v>40418.0</v>
      </c>
      <c r="G2241" s="127">
        <v>6.63E8</v>
      </c>
      <c r="H2241" s="126">
        <v>40461.0</v>
      </c>
      <c r="I2241" s="128">
        <v>888.0</v>
      </c>
      <c r="J2241" s="128">
        <v>47.45</v>
      </c>
      <c r="K2241" s="128">
        <v>31.79</v>
      </c>
      <c r="L2241" s="128">
        <v>42135.6</v>
      </c>
      <c r="M2241" s="128">
        <v>28229.52</v>
      </c>
      <c r="N2241" s="128">
        <v>13906.08</v>
      </c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</row>
    <row r="2242">
      <c r="A2242" s="125" t="s">
        <v>458</v>
      </c>
      <c r="B2242" s="125" t="s">
        <v>559</v>
      </c>
      <c r="C2242" s="125" t="s">
        <v>471</v>
      </c>
      <c r="D2242" s="125" t="s">
        <v>454</v>
      </c>
      <c r="E2242" s="125" t="s">
        <v>284</v>
      </c>
      <c r="F2242" s="126">
        <v>41046.0</v>
      </c>
      <c r="G2242" s="127">
        <v>5.93E8</v>
      </c>
      <c r="H2242" s="126">
        <v>41085.0</v>
      </c>
      <c r="I2242" s="128">
        <v>7656.0</v>
      </c>
      <c r="J2242" s="128">
        <v>109.28</v>
      </c>
      <c r="K2242" s="128">
        <v>35.84</v>
      </c>
      <c r="L2242" s="128">
        <v>836647.7</v>
      </c>
      <c r="M2242" s="128">
        <v>274391.0</v>
      </c>
      <c r="N2242" s="128">
        <v>562256.6</v>
      </c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</row>
    <row r="2243">
      <c r="A2243" s="125" t="s">
        <v>458</v>
      </c>
      <c r="B2243" s="125" t="s">
        <v>541</v>
      </c>
      <c r="C2243" s="125" t="s">
        <v>506</v>
      </c>
      <c r="D2243" s="125" t="s">
        <v>457</v>
      </c>
      <c r="E2243" s="125" t="s">
        <v>284</v>
      </c>
      <c r="F2243" s="126">
        <v>41720.0</v>
      </c>
      <c r="G2243" s="127">
        <v>7.18E8</v>
      </c>
      <c r="H2243" s="126">
        <v>41732.0</v>
      </c>
      <c r="I2243" s="128">
        <v>1657.0</v>
      </c>
      <c r="J2243" s="128">
        <v>154.06</v>
      </c>
      <c r="K2243" s="128">
        <v>90.93</v>
      </c>
      <c r="L2243" s="128">
        <v>255277.4</v>
      </c>
      <c r="M2243" s="128">
        <v>150671.0</v>
      </c>
      <c r="N2243" s="128">
        <v>104606.4</v>
      </c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</row>
    <row r="2244">
      <c r="A2244" s="125" t="s">
        <v>458</v>
      </c>
      <c r="B2244" s="125" t="s">
        <v>517</v>
      </c>
      <c r="C2244" s="125" t="s">
        <v>506</v>
      </c>
      <c r="D2244" s="125" t="s">
        <v>454</v>
      </c>
      <c r="E2244" s="125" t="s">
        <v>472</v>
      </c>
      <c r="F2244" s="126">
        <v>41420.0</v>
      </c>
      <c r="G2244" s="127">
        <v>6.82E8</v>
      </c>
      <c r="H2244" s="126">
        <v>41468.0</v>
      </c>
      <c r="I2244" s="128">
        <v>7426.0</v>
      </c>
      <c r="J2244" s="128">
        <v>154.06</v>
      </c>
      <c r="K2244" s="128">
        <v>90.93</v>
      </c>
      <c r="L2244" s="128">
        <v>1144050.0</v>
      </c>
      <c r="M2244" s="128">
        <v>675246.2</v>
      </c>
      <c r="N2244" s="128">
        <v>468803.4</v>
      </c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</row>
    <row r="2245">
      <c r="A2245" s="125" t="s">
        <v>475</v>
      </c>
      <c r="B2245" s="125" t="s">
        <v>651</v>
      </c>
      <c r="C2245" s="125" t="s">
        <v>471</v>
      </c>
      <c r="D2245" s="125" t="s">
        <v>454</v>
      </c>
      <c r="E2245" s="125" t="s">
        <v>189</v>
      </c>
      <c r="F2245" s="126">
        <v>40899.0</v>
      </c>
      <c r="G2245" s="127">
        <v>2.02E8</v>
      </c>
      <c r="H2245" s="126">
        <v>40917.0</v>
      </c>
      <c r="I2245" s="128">
        <v>6530.0</v>
      </c>
      <c r="J2245" s="128">
        <v>109.28</v>
      </c>
      <c r="K2245" s="128">
        <v>35.84</v>
      </c>
      <c r="L2245" s="128">
        <v>713598.4</v>
      </c>
      <c r="M2245" s="128">
        <v>234035.2</v>
      </c>
      <c r="N2245" s="128">
        <v>479563.2</v>
      </c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</row>
    <row r="2246">
      <c r="A2246" s="125" t="s">
        <v>458</v>
      </c>
      <c r="B2246" s="125" t="s">
        <v>614</v>
      </c>
      <c r="C2246" s="125" t="s">
        <v>463</v>
      </c>
      <c r="D2246" s="125" t="s">
        <v>454</v>
      </c>
      <c r="E2246" s="125" t="s">
        <v>472</v>
      </c>
      <c r="F2246" s="126">
        <v>41298.0</v>
      </c>
      <c r="G2246" s="127">
        <v>4.12E8</v>
      </c>
      <c r="H2246" s="126">
        <v>41305.0</v>
      </c>
      <c r="I2246" s="128">
        <v>2569.0</v>
      </c>
      <c r="J2246" s="128">
        <v>205.7</v>
      </c>
      <c r="K2246" s="128">
        <v>117.11</v>
      </c>
      <c r="L2246" s="128">
        <v>528443.3</v>
      </c>
      <c r="M2246" s="128">
        <v>300855.6</v>
      </c>
      <c r="N2246" s="128">
        <v>227587.7</v>
      </c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</row>
    <row r="2247">
      <c r="A2247" s="125" t="s">
        <v>461</v>
      </c>
      <c r="B2247" s="125" t="s">
        <v>525</v>
      </c>
      <c r="C2247" s="125" t="s">
        <v>480</v>
      </c>
      <c r="D2247" s="125" t="s">
        <v>457</v>
      </c>
      <c r="E2247" s="125" t="s">
        <v>464</v>
      </c>
      <c r="F2247" s="126">
        <v>42764.0</v>
      </c>
      <c r="G2247" s="127">
        <v>7.2E8</v>
      </c>
      <c r="H2247" s="126">
        <v>42806.0</v>
      </c>
      <c r="I2247" s="128">
        <v>6173.0</v>
      </c>
      <c r="J2247" s="128">
        <v>437.2</v>
      </c>
      <c r="K2247" s="128">
        <v>263.33</v>
      </c>
      <c r="L2247" s="128">
        <v>2698836.0</v>
      </c>
      <c r="M2247" s="128">
        <v>1625536.0</v>
      </c>
      <c r="N2247" s="128">
        <v>1073300.0</v>
      </c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</row>
    <row r="2248">
      <c r="A2248" s="125" t="s">
        <v>458</v>
      </c>
      <c r="B2248" s="125" t="s">
        <v>473</v>
      </c>
      <c r="C2248" s="125" t="s">
        <v>478</v>
      </c>
      <c r="D2248" s="125" t="s">
        <v>457</v>
      </c>
      <c r="E2248" s="125" t="s">
        <v>284</v>
      </c>
      <c r="F2248" s="126">
        <v>40300.0</v>
      </c>
      <c r="G2248" s="127">
        <v>1.53E8</v>
      </c>
      <c r="H2248" s="126">
        <v>40306.0</v>
      </c>
      <c r="I2248" s="128">
        <v>2.0</v>
      </c>
      <c r="J2248" s="128">
        <v>651.21</v>
      </c>
      <c r="K2248" s="128">
        <v>524.96</v>
      </c>
      <c r="L2248" s="128">
        <v>1302.42</v>
      </c>
      <c r="M2248" s="128">
        <v>1049.92</v>
      </c>
      <c r="N2248" s="128">
        <v>252.5</v>
      </c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</row>
    <row r="2249">
      <c r="A2249" s="125" t="s">
        <v>475</v>
      </c>
      <c r="B2249" s="125" t="s">
        <v>536</v>
      </c>
      <c r="C2249" s="125" t="s">
        <v>478</v>
      </c>
      <c r="D2249" s="125" t="s">
        <v>457</v>
      </c>
      <c r="E2249" s="125" t="s">
        <v>189</v>
      </c>
      <c r="F2249" s="126">
        <v>41749.0</v>
      </c>
      <c r="G2249" s="127">
        <v>5.06E8</v>
      </c>
      <c r="H2249" s="126">
        <v>41777.0</v>
      </c>
      <c r="I2249" s="128">
        <v>3748.0</v>
      </c>
      <c r="J2249" s="128">
        <v>651.21</v>
      </c>
      <c r="K2249" s="128">
        <v>524.96</v>
      </c>
      <c r="L2249" s="128">
        <v>2440735.0</v>
      </c>
      <c r="M2249" s="128">
        <v>1967550.0</v>
      </c>
      <c r="N2249" s="128">
        <v>473185.0</v>
      </c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</row>
    <row r="2250">
      <c r="A2250" s="125" t="s">
        <v>466</v>
      </c>
      <c r="B2250" s="125" t="s">
        <v>607</v>
      </c>
      <c r="C2250" s="125" t="s">
        <v>485</v>
      </c>
      <c r="D2250" s="125" t="s">
        <v>454</v>
      </c>
      <c r="E2250" s="125" t="s">
        <v>472</v>
      </c>
      <c r="F2250" s="126">
        <v>41507.0</v>
      </c>
      <c r="G2250" s="127">
        <v>4.98E8</v>
      </c>
      <c r="H2250" s="126">
        <v>41553.0</v>
      </c>
      <c r="I2250" s="128">
        <v>9136.0</v>
      </c>
      <c r="J2250" s="128">
        <v>421.89</v>
      </c>
      <c r="K2250" s="128">
        <v>364.69</v>
      </c>
      <c r="L2250" s="128">
        <v>3854387.0</v>
      </c>
      <c r="M2250" s="128">
        <v>3331808.0</v>
      </c>
      <c r="N2250" s="128">
        <v>522579.2</v>
      </c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</row>
    <row r="2251">
      <c r="A2251" s="125" t="s">
        <v>458</v>
      </c>
      <c r="B2251" s="125" t="s">
        <v>616</v>
      </c>
      <c r="C2251" s="125" t="s">
        <v>463</v>
      </c>
      <c r="D2251" s="125" t="s">
        <v>454</v>
      </c>
      <c r="E2251" s="125" t="s">
        <v>189</v>
      </c>
      <c r="F2251" s="126">
        <v>41280.0</v>
      </c>
      <c r="G2251" s="127">
        <v>7.15E8</v>
      </c>
      <c r="H2251" s="126">
        <v>41315.0</v>
      </c>
      <c r="I2251" s="128">
        <v>4920.0</v>
      </c>
      <c r="J2251" s="128">
        <v>205.7</v>
      </c>
      <c r="K2251" s="128">
        <v>117.11</v>
      </c>
      <c r="L2251" s="128">
        <v>1012044.0</v>
      </c>
      <c r="M2251" s="128">
        <v>576181.2</v>
      </c>
      <c r="N2251" s="128">
        <v>435862.8</v>
      </c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</row>
    <row r="2252">
      <c r="A2252" s="125" t="s">
        <v>458</v>
      </c>
      <c r="B2252" s="125" t="s">
        <v>642</v>
      </c>
      <c r="C2252" s="125" t="s">
        <v>494</v>
      </c>
      <c r="D2252" s="125" t="s">
        <v>454</v>
      </c>
      <c r="E2252" s="125" t="s">
        <v>464</v>
      </c>
      <c r="F2252" s="126">
        <v>40391.0</v>
      </c>
      <c r="G2252" s="127">
        <v>4.67E8</v>
      </c>
      <c r="H2252" s="126">
        <v>40428.0</v>
      </c>
      <c r="I2252" s="128">
        <v>1886.0</v>
      </c>
      <c r="J2252" s="128">
        <v>9.33</v>
      </c>
      <c r="K2252" s="128">
        <v>6.92</v>
      </c>
      <c r="L2252" s="128">
        <v>17596.38</v>
      </c>
      <c r="M2252" s="128">
        <v>13051.12</v>
      </c>
      <c r="N2252" s="128">
        <v>4545.26</v>
      </c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</row>
    <row r="2253">
      <c r="A2253" s="125" t="s">
        <v>466</v>
      </c>
      <c r="B2253" s="125" t="s">
        <v>531</v>
      </c>
      <c r="C2253" s="125" t="s">
        <v>494</v>
      </c>
      <c r="D2253" s="125" t="s">
        <v>454</v>
      </c>
      <c r="E2253" s="125" t="s">
        <v>284</v>
      </c>
      <c r="F2253" s="126">
        <v>42707.0</v>
      </c>
      <c r="G2253" s="127">
        <v>9.3E8</v>
      </c>
      <c r="H2253" s="126">
        <v>42738.0</v>
      </c>
      <c r="I2253" s="128">
        <v>7853.0</v>
      </c>
      <c r="J2253" s="128">
        <v>9.33</v>
      </c>
      <c r="K2253" s="128">
        <v>6.92</v>
      </c>
      <c r="L2253" s="128">
        <v>73268.49</v>
      </c>
      <c r="M2253" s="128">
        <v>54342.76</v>
      </c>
      <c r="N2253" s="128">
        <v>18925.73</v>
      </c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</row>
    <row r="2254">
      <c r="A2254" s="125" t="s">
        <v>466</v>
      </c>
      <c r="B2254" s="125" t="s">
        <v>568</v>
      </c>
      <c r="C2254" s="125" t="s">
        <v>494</v>
      </c>
      <c r="D2254" s="125" t="s">
        <v>454</v>
      </c>
      <c r="E2254" s="125" t="s">
        <v>464</v>
      </c>
      <c r="F2254" s="126">
        <v>41415.0</v>
      </c>
      <c r="G2254" s="127">
        <v>2.03E8</v>
      </c>
      <c r="H2254" s="126">
        <v>41423.0</v>
      </c>
      <c r="I2254" s="128">
        <v>2667.0</v>
      </c>
      <c r="J2254" s="128">
        <v>9.33</v>
      </c>
      <c r="K2254" s="128">
        <v>6.92</v>
      </c>
      <c r="L2254" s="128">
        <v>24883.11</v>
      </c>
      <c r="M2254" s="128">
        <v>18455.64</v>
      </c>
      <c r="N2254" s="128">
        <v>6427.47</v>
      </c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</row>
    <row r="2255">
      <c r="A2255" s="125" t="s">
        <v>475</v>
      </c>
      <c r="B2255" s="125" t="s">
        <v>527</v>
      </c>
      <c r="C2255" s="125" t="s">
        <v>480</v>
      </c>
      <c r="D2255" s="125" t="s">
        <v>454</v>
      </c>
      <c r="E2255" s="125" t="s">
        <v>284</v>
      </c>
      <c r="F2255" s="126">
        <v>42541.0</v>
      </c>
      <c r="G2255" s="127">
        <v>9.56E8</v>
      </c>
      <c r="H2255" s="126">
        <v>42591.0</v>
      </c>
      <c r="I2255" s="128">
        <v>3210.0</v>
      </c>
      <c r="J2255" s="128">
        <v>437.2</v>
      </c>
      <c r="K2255" s="128">
        <v>263.33</v>
      </c>
      <c r="L2255" s="128">
        <v>1403412.0</v>
      </c>
      <c r="M2255" s="128">
        <v>845289.3</v>
      </c>
      <c r="N2255" s="128">
        <v>558122.7</v>
      </c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</row>
    <row r="2256">
      <c r="A2256" s="125" t="s">
        <v>475</v>
      </c>
      <c r="B2256" s="125" t="s">
        <v>507</v>
      </c>
      <c r="C2256" s="125" t="s">
        <v>460</v>
      </c>
      <c r="D2256" s="125" t="s">
        <v>454</v>
      </c>
      <c r="E2256" s="125" t="s">
        <v>464</v>
      </c>
      <c r="F2256" s="126">
        <v>41434.0</v>
      </c>
      <c r="G2256" s="127">
        <v>9.77E8</v>
      </c>
      <c r="H2256" s="126">
        <v>41482.0</v>
      </c>
      <c r="I2256" s="128">
        <v>8393.0</v>
      </c>
      <c r="J2256" s="128">
        <v>47.45</v>
      </c>
      <c r="K2256" s="128">
        <v>31.79</v>
      </c>
      <c r="L2256" s="128">
        <v>398247.9</v>
      </c>
      <c r="M2256" s="128">
        <v>266813.5</v>
      </c>
      <c r="N2256" s="128">
        <v>131434.4</v>
      </c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</row>
    <row r="2257">
      <c r="A2257" s="125" t="s">
        <v>458</v>
      </c>
      <c r="B2257" s="125" t="s">
        <v>540</v>
      </c>
      <c r="C2257" s="125" t="s">
        <v>485</v>
      </c>
      <c r="D2257" s="125" t="s">
        <v>457</v>
      </c>
      <c r="E2257" s="125" t="s">
        <v>284</v>
      </c>
      <c r="F2257" s="126">
        <v>40748.0</v>
      </c>
      <c r="G2257" s="127">
        <v>8.25E8</v>
      </c>
      <c r="H2257" s="126">
        <v>40783.0</v>
      </c>
      <c r="I2257" s="128">
        <v>4157.0</v>
      </c>
      <c r="J2257" s="128">
        <v>421.89</v>
      </c>
      <c r="K2257" s="128">
        <v>364.69</v>
      </c>
      <c r="L2257" s="128">
        <v>1753797.0</v>
      </c>
      <c r="M2257" s="128">
        <v>1516016.0</v>
      </c>
      <c r="N2257" s="128">
        <v>237780.4</v>
      </c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</row>
    <row r="2258">
      <c r="A2258" s="125" t="s">
        <v>475</v>
      </c>
      <c r="B2258" s="125" t="s">
        <v>649</v>
      </c>
      <c r="C2258" s="125" t="s">
        <v>485</v>
      </c>
      <c r="D2258" s="125" t="s">
        <v>457</v>
      </c>
      <c r="E2258" s="125" t="s">
        <v>189</v>
      </c>
      <c r="F2258" s="126">
        <v>40761.0</v>
      </c>
      <c r="G2258" s="127">
        <v>6.81E8</v>
      </c>
      <c r="H2258" s="126">
        <v>40766.0</v>
      </c>
      <c r="I2258" s="128">
        <v>8477.0</v>
      </c>
      <c r="J2258" s="128">
        <v>421.89</v>
      </c>
      <c r="K2258" s="128">
        <v>364.69</v>
      </c>
      <c r="L2258" s="128">
        <v>3576362.0</v>
      </c>
      <c r="M2258" s="128">
        <v>3091477.0</v>
      </c>
      <c r="N2258" s="128">
        <v>484884.4</v>
      </c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</row>
    <row r="2259">
      <c r="A2259" s="125" t="s">
        <v>469</v>
      </c>
      <c r="B2259" s="125" t="s">
        <v>650</v>
      </c>
      <c r="C2259" s="125" t="s">
        <v>471</v>
      </c>
      <c r="D2259" s="125" t="s">
        <v>454</v>
      </c>
      <c r="E2259" s="125" t="s">
        <v>464</v>
      </c>
      <c r="F2259" s="126">
        <v>40755.0</v>
      </c>
      <c r="G2259" s="127">
        <v>7.95E8</v>
      </c>
      <c r="H2259" s="126">
        <v>40799.0</v>
      </c>
      <c r="I2259" s="128">
        <v>6357.0</v>
      </c>
      <c r="J2259" s="128">
        <v>109.28</v>
      </c>
      <c r="K2259" s="128">
        <v>35.84</v>
      </c>
      <c r="L2259" s="128">
        <v>694693.0</v>
      </c>
      <c r="M2259" s="128">
        <v>227834.9</v>
      </c>
      <c r="N2259" s="128">
        <v>466858.1</v>
      </c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</row>
    <row r="2260">
      <c r="A2260" s="125" t="s">
        <v>475</v>
      </c>
      <c r="B2260" s="125" t="s">
        <v>636</v>
      </c>
      <c r="C2260" s="125" t="s">
        <v>471</v>
      </c>
      <c r="D2260" s="125" t="s">
        <v>457</v>
      </c>
      <c r="E2260" s="125" t="s">
        <v>472</v>
      </c>
      <c r="F2260" s="126">
        <v>40402.0</v>
      </c>
      <c r="G2260" s="127">
        <v>1.36E8</v>
      </c>
      <c r="H2260" s="126">
        <v>40448.0</v>
      </c>
      <c r="I2260" s="128">
        <v>4834.0</v>
      </c>
      <c r="J2260" s="128">
        <v>109.28</v>
      </c>
      <c r="K2260" s="128">
        <v>35.84</v>
      </c>
      <c r="L2260" s="128">
        <v>528259.5</v>
      </c>
      <c r="M2260" s="128">
        <v>173250.6</v>
      </c>
      <c r="N2260" s="128">
        <v>355009.0</v>
      </c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</row>
    <row r="2261">
      <c r="A2261" s="125" t="s">
        <v>475</v>
      </c>
      <c r="B2261" s="125" t="s">
        <v>572</v>
      </c>
      <c r="C2261" s="125" t="s">
        <v>494</v>
      </c>
      <c r="D2261" s="125" t="s">
        <v>457</v>
      </c>
      <c r="E2261" s="125" t="s">
        <v>189</v>
      </c>
      <c r="F2261" s="126">
        <v>41146.0</v>
      </c>
      <c r="G2261" s="127">
        <v>4.46E8</v>
      </c>
      <c r="H2261" s="126">
        <v>41193.0</v>
      </c>
      <c r="I2261" s="128">
        <v>7974.0</v>
      </c>
      <c r="J2261" s="128">
        <v>9.33</v>
      </c>
      <c r="K2261" s="128">
        <v>6.92</v>
      </c>
      <c r="L2261" s="128">
        <v>74397.42</v>
      </c>
      <c r="M2261" s="128">
        <v>55180.08</v>
      </c>
      <c r="N2261" s="128">
        <v>19217.34</v>
      </c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</row>
    <row r="2262">
      <c r="A2262" s="125" t="s">
        <v>458</v>
      </c>
      <c r="B2262" s="125" t="s">
        <v>627</v>
      </c>
      <c r="C2262" s="125" t="s">
        <v>478</v>
      </c>
      <c r="D2262" s="125" t="s">
        <v>454</v>
      </c>
      <c r="E2262" s="125" t="s">
        <v>464</v>
      </c>
      <c r="F2262" s="126">
        <v>42053.0</v>
      </c>
      <c r="G2262" s="127">
        <v>3.85E8</v>
      </c>
      <c r="H2262" s="126">
        <v>42097.0</v>
      </c>
      <c r="I2262" s="128">
        <v>1877.0</v>
      </c>
      <c r="J2262" s="128">
        <v>651.21</v>
      </c>
      <c r="K2262" s="128">
        <v>524.96</v>
      </c>
      <c r="L2262" s="128">
        <v>1222321.0</v>
      </c>
      <c r="M2262" s="128">
        <v>985349.9</v>
      </c>
      <c r="N2262" s="128">
        <v>236971.3</v>
      </c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</row>
    <row r="2263">
      <c r="A2263" s="125" t="s">
        <v>469</v>
      </c>
      <c r="B2263" s="125" t="s">
        <v>617</v>
      </c>
      <c r="C2263" s="125" t="s">
        <v>453</v>
      </c>
      <c r="D2263" s="125" t="s">
        <v>457</v>
      </c>
      <c r="E2263" s="125" t="s">
        <v>284</v>
      </c>
      <c r="F2263" s="126">
        <v>41197.0</v>
      </c>
      <c r="G2263" s="127">
        <v>4.85E8</v>
      </c>
      <c r="H2263" s="126">
        <v>41222.0</v>
      </c>
      <c r="I2263" s="128">
        <v>9672.0</v>
      </c>
      <c r="J2263" s="128">
        <v>255.28</v>
      </c>
      <c r="K2263" s="128">
        <v>159.42</v>
      </c>
      <c r="L2263" s="128">
        <v>2469068.0</v>
      </c>
      <c r="M2263" s="128">
        <v>1541910.0</v>
      </c>
      <c r="N2263" s="128">
        <v>927157.9</v>
      </c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</row>
    <row r="2264">
      <c r="A2264" s="125" t="s">
        <v>466</v>
      </c>
      <c r="B2264" s="125" t="s">
        <v>484</v>
      </c>
      <c r="C2264" s="125" t="s">
        <v>460</v>
      </c>
      <c r="D2264" s="125" t="s">
        <v>457</v>
      </c>
      <c r="E2264" s="125" t="s">
        <v>472</v>
      </c>
      <c r="F2264" s="126">
        <v>42570.0</v>
      </c>
      <c r="G2264" s="127">
        <v>8.98E8</v>
      </c>
      <c r="H2264" s="126">
        <v>42609.0</v>
      </c>
      <c r="I2264" s="128">
        <v>6521.0</v>
      </c>
      <c r="J2264" s="128">
        <v>47.45</v>
      </c>
      <c r="K2264" s="128">
        <v>31.79</v>
      </c>
      <c r="L2264" s="128">
        <v>309421.5</v>
      </c>
      <c r="M2264" s="128">
        <v>207302.6</v>
      </c>
      <c r="N2264" s="128">
        <v>102118.9</v>
      </c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</row>
    <row r="2265">
      <c r="A2265" s="125" t="s">
        <v>461</v>
      </c>
      <c r="B2265" s="125" t="s">
        <v>525</v>
      </c>
      <c r="C2265" s="125" t="s">
        <v>471</v>
      </c>
      <c r="D2265" s="125" t="s">
        <v>454</v>
      </c>
      <c r="E2265" s="125" t="s">
        <v>472</v>
      </c>
      <c r="F2265" s="126">
        <v>40875.0</v>
      </c>
      <c r="G2265" s="127">
        <v>9.44E8</v>
      </c>
      <c r="H2265" s="126">
        <v>40899.0</v>
      </c>
      <c r="I2265" s="128">
        <v>4615.0</v>
      </c>
      <c r="J2265" s="128">
        <v>109.28</v>
      </c>
      <c r="K2265" s="128">
        <v>35.84</v>
      </c>
      <c r="L2265" s="128">
        <v>504327.2</v>
      </c>
      <c r="M2265" s="128">
        <v>165401.6</v>
      </c>
      <c r="N2265" s="128">
        <v>338925.6</v>
      </c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</row>
    <row r="2266">
      <c r="A2266" s="125" t="s">
        <v>458</v>
      </c>
      <c r="B2266" s="125" t="s">
        <v>583</v>
      </c>
      <c r="C2266" s="125" t="s">
        <v>478</v>
      </c>
      <c r="D2266" s="125" t="s">
        <v>457</v>
      </c>
      <c r="E2266" s="125" t="s">
        <v>284</v>
      </c>
      <c r="F2266" s="126">
        <v>42265.0</v>
      </c>
      <c r="G2266" s="127">
        <v>4.68E8</v>
      </c>
      <c r="H2266" s="126">
        <v>42297.0</v>
      </c>
      <c r="I2266" s="128">
        <v>8179.0</v>
      </c>
      <c r="J2266" s="128">
        <v>651.21</v>
      </c>
      <c r="K2266" s="128">
        <v>524.96</v>
      </c>
      <c r="L2266" s="128">
        <v>5326247.0</v>
      </c>
      <c r="M2266" s="128">
        <v>4293648.0</v>
      </c>
      <c r="N2266" s="128">
        <v>1032599.0</v>
      </c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</row>
    <row r="2267">
      <c r="A2267" s="125" t="s">
        <v>458</v>
      </c>
      <c r="B2267" s="125" t="s">
        <v>614</v>
      </c>
      <c r="C2267" s="125" t="s">
        <v>463</v>
      </c>
      <c r="D2267" s="125" t="s">
        <v>457</v>
      </c>
      <c r="E2267" s="125" t="s">
        <v>464</v>
      </c>
      <c r="F2267" s="126">
        <v>40839.0</v>
      </c>
      <c r="G2267" s="127">
        <v>2.8E8</v>
      </c>
      <c r="H2267" s="126">
        <v>40840.0</v>
      </c>
      <c r="I2267" s="128">
        <v>8468.0</v>
      </c>
      <c r="J2267" s="128">
        <v>205.7</v>
      </c>
      <c r="K2267" s="128">
        <v>117.11</v>
      </c>
      <c r="L2267" s="128">
        <v>1741868.0</v>
      </c>
      <c r="M2267" s="128">
        <v>991687.5</v>
      </c>
      <c r="N2267" s="128">
        <v>750180.1</v>
      </c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</row>
    <row r="2268">
      <c r="A2268" s="125" t="s">
        <v>466</v>
      </c>
      <c r="B2268" s="125" t="s">
        <v>531</v>
      </c>
      <c r="C2268" s="125" t="s">
        <v>514</v>
      </c>
      <c r="D2268" s="125" t="s">
        <v>454</v>
      </c>
      <c r="E2268" s="125" t="s">
        <v>189</v>
      </c>
      <c r="F2268" s="126">
        <v>42145.0</v>
      </c>
      <c r="G2268" s="127">
        <v>8.15E8</v>
      </c>
      <c r="H2268" s="126">
        <v>42181.0</v>
      </c>
      <c r="I2268" s="128">
        <v>8767.0</v>
      </c>
      <c r="J2268" s="128">
        <v>668.27</v>
      </c>
      <c r="K2268" s="128">
        <v>502.54</v>
      </c>
      <c r="L2268" s="128">
        <v>5858723.0</v>
      </c>
      <c r="M2268" s="128">
        <v>4405768.0</v>
      </c>
      <c r="N2268" s="128">
        <v>1452955.0</v>
      </c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</row>
    <row r="2269">
      <c r="A2269" s="125" t="s">
        <v>458</v>
      </c>
      <c r="B2269" s="125" t="s">
        <v>487</v>
      </c>
      <c r="C2269" s="125" t="s">
        <v>494</v>
      </c>
      <c r="D2269" s="125" t="s">
        <v>454</v>
      </c>
      <c r="E2269" s="125" t="s">
        <v>464</v>
      </c>
      <c r="F2269" s="126">
        <v>42441.0</v>
      </c>
      <c r="G2269" s="127">
        <v>7.75E8</v>
      </c>
      <c r="H2269" s="126">
        <v>42467.0</v>
      </c>
      <c r="I2269" s="128">
        <v>9394.0</v>
      </c>
      <c r="J2269" s="128">
        <v>9.33</v>
      </c>
      <c r="K2269" s="128">
        <v>6.92</v>
      </c>
      <c r="L2269" s="128">
        <v>87646.02</v>
      </c>
      <c r="M2269" s="128">
        <v>65006.48</v>
      </c>
      <c r="N2269" s="128">
        <v>22639.54</v>
      </c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</row>
    <row r="2270">
      <c r="A2270" s="125" t="s">
        <v>466</v>
      </c>
      <c r="B2270" s="125" t="s">
        <v>598</v>
      </c>
      <c r="C2270" s="125" t="s">
        <v>485</v>
      </c>
      <c r="D2270" s="125" t="s">
        <v>454</v>
      </c>
      <c r="E2270" s="125" t="s">
        <v>472</v>
      </c>
      <c r="F2270" s="126">
        <v>41138.0</v>
      </c>
      <c r="G2270" s="127">
        <v>2.83E8</v>
      </c>
      <c r="H2270" s="126">
        <v>41165.0</v>
      </c>
      <c r="I2270" s="128">
        <v>2697.0</v>
      </c>
      <c r="J2270" s="128">
        <v>421.89</v>
      </c>
      <c r="K2270" s="128">
        <v>364.69</v>
      </c>
      <c r="L2270" s="128">
        <v>1137837.0</v>
      </c>
      <c r="M2270" s="128">
        <v>983568.9</v>
      </c>
      <c r="N2270" s="128">
        <v>154268.4</v>
      </c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</row>
    <row r="2271">
      <c r="A2271" s="125" t="s">
        <v>451</v>
      </c>
      <c r="B2271" s="125" t="s">
        <v>596</v>
      </c>
      <c r="C2271" s="125" t="s">
        <v>506</v>
      </c>
      <c r="D2271" s="125" t="s">
        <v>454</v>
      </c>
      <c r="E2271" s="125" t="s">
        <v>284</v>
      </c>
      <c r="F2271" s="126">
        <v>42189.0</v>
      </c>
      <c r="G2271" s="127">
        <v>4.34E8</v>
      </c>
      <c r="H2271" s="126">
        <v>42220.0</v>
      </c>
      <c r="I2271" s="128">
        <v>8057.0</v>
      </c>
      <c r="J2271" s="128">
        <v>154.06</v>
      </c>
      <c r="K2271" s="128">
        <v>90.93</v>
      </c>
      <c r="L2271" s="128">
        <v>1241261.0</v>
      </c>
      <c r="M2271" s="128">
        <v>732623.0</v>
      </c>
      <c r="N2271" s="128">
        <v>508638.4</v>
      </c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</row>
    <row r="2272">
      <c r="A2272" s="125" t="s">
        <v>466</v>
      </c>
      <c r="B2272" s="125" t="s">
        <v>534</v>
      </c>
      <c r="C2272" s="125" t="s">
        <v>494</v>
      </c>
      <c r="D2272" s="125" t="s">
        <v>457</v>
      </c>
      <c r="E2272" s="125" t="s">
        <v>284</v>
      </c>
      <c r="F2272" s="126">
        <v>41634.0</v>
      </c>
      <c r="G2272" s="127">
        <v>1.41E8</v>
      </c>
      <c r="H2272" s="126">
        <v>41678.0</v>
      </c>
      <c r="I2272" s="128">
        <v>6885.0</v>
      </c>
      <c r="J2272" s="128">
        <v>9.33</v>
      </c>
      <c r="K2272" s="128">
        <v>6.92</v>
      </c>
      <c r="L2272" s="128">
        <v>64237.05</v>
      </c>
      <c r="M2272" s="128">
        <v>47644.2</v>
      </c>
      <c r="N2272" s="128">
        <v>16592.85</v>
      </c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</row>
    <row r="2273">
      <c r="A2273" s="125" t="s">
        <v>461</v>
      </c>
      <c r="B2273" s="125" t="s">
        <v>586</v>
      </c>
      <c r="C2273" s="125" t="s">
        <v>453</v>
      </c>
      <c r="D2273" s="125" t="s">
        <v>457</v>
      </c>
      <c r="E2273" s="125" t="s">
        <v>464</v>
      </c>
      <c r="F2273" s="126">
        <v>42819.0</v>
      </c>
      <c r="G2273" s="127">
        <v>1.89E8</v>
      </c>
      <c r="H2273" s="126">
        <v>42828.0</v>
      </c>
      <c r="I2273" s="128">
        <v>7622.0</v>
      </c>
      <c r="J2273" s="128">
        <v>255.28</v>
      </c>
      <c r="K2273" s="128">
        <v>159.42</v>
      </c>
      <c r="L2273" s="128">
        <v>1945744.0</v>
      </c>
      <c r="M2273" s="128">
        <v>1215099.0</v>
      </c>
      <c r="N2273" s="128">
        <v>730644.9</v>
      </c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</row>
    <row r="2274">
      <c r="A2274" s="125" t="s">
        <v>466</v>
      </c>
      <c r="B2274" s="125" t="s">
        <v>568</v>
      </c>
      <c r="C2274" s="125" t="s">
        <v>453</v>
      </c>
      <c r="D2274" s="125" t="s">
        <v>454</v>
      </c>
      <c r="E2274" s="125" t="s">
        <v>189</v>
      </c>
      <c r="F2274" s="126">
        <v>41179.0</v>
      </c>
      <c r="G2274" s="127">
        <v>9.83E8</v>
      </c>
      <c r="H2274" s="126">
        <v>41216.0</v>
      </c>
      <c r="I2274" s="128">
        <v>743.0</v>
      </c>
      <c r="J2274" s="128">
        <v>255.28</v>
      </c>
      <c r="K2274" s="128">
        <v>159.42</v>
      </c>
      <c r="L2274" s="128">
        <v>189673.0</v>
      </c>
      <c r="M2274" s="128">
        <v>118449.1</v>
      </c>
      <c r="N2274" s="128">
        <v>71223.98</v>
      </c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</row>
    <row r="2275">
      <c r="A2275" s="125" t="s">
        <v>469</v>
      </c>
      <c r="B2275" s="125" t="s">
        <v>632</v>
      </c>
      <c r="C2275" s="125" t="s">
        <v>456</v>
      </c>
      <c r="D2275" s="125" t="s">
        <v>454</v>
      </c>
      <c r="E2275" s="125" t="s">
        <v>284</v>
      </c>
      <c r="F2275" s="126">
        <v>42222.0</v>
      </c>
      <c r="G2275" s="127">
        <v>2.98E8</v>
      </c>
      <c r="H2275" s="126">
        <v>42242.0</v>
      </c>
      <c r="I2275" s="128">
        <v>3753.0</v>
      </c>
      <c r="J2275" s="128">
        <v>152.58</v>
      </c>
      <c r="K2275" s="128">
        <v>97.44</v>
      </c>
      <c r="L2275" s="128">
        <v>572632.7</v>
      </c>
      <c r="M2275" s="128">
        <v>365692.3</v>
      </c>
      <c r="N2275" s="128">
        <v>206940.4</v>
      </c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</row>
    <row r="2276">
      <c r="A2276" s="125" t="s">
        <v>451</v>
      </c>
      <c r="B2276" s="125" t="s">
        <v>546</v>
      </c>
      <c r="C2276" s="125" t="s">
        <v>471</v>
      </c>
      <c r="D2276" s="125" t="s">
        <v>454</v>
      </c>
      <c r="E2276" s="125" t="s">
        <v>472</v>
      </c>
      <c r="F2276" s="126">
        <v>40778.0</v>
      </c>
      <c r="G2276" s="127">
        <v>9.29E8</v>
      </c>
      <c r="H2276" s="126">
        <v>40798.0</v>
      </c>
      <c r="I2276" s="128">
        <v>6187.0</v>
      </c>
      <c r="J2276" s="128">
        <v>109.28</v>
      </c>
      <c r="K2276" s="128">
        <v>35.84</v>
      </c>
      <c r="L2276" s="128">
        <v>676115.4</v>
      </c>
      <c r="M2276" s="128">
        <v>221742.1</v>
      </c>
      <c r="N2276" s="128">
        <v>454373.3</v>
      </c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</row>
    <row r="2277">
      <c r="A2277" s="125" t="s">
        <v>475</v>
      </c>
      <c r="B2277" s="125" t="s">
        <v>657</v>
      </c>
      <c r="C2277" s="125" t="s">
        <v>480</v>
      </c>
      <c r="D2277" s="125" t="s">
        <v>454</v>
      </c>
      <c r="E2277" s="125" t="s">
        <v>472</v>
      </c>
      <c r="F2277" s="126">
        <v>41750.0</v>
      </c>
      <c r="G2277" s="127">
        <v>3.42E8</v>
      </c>
      <c r="H2277" s="126">
        <v>41783.0</v>
      </c>
      <c r="I2277" s="128">
        <v>4613.0</v>
      </c>
      <c r="J2277" s="128">
        <v>437.2</v>
      </c>
      <c r="K2277" s="128">
        <v>263.33</v>
      </c>
      <c r="L2277" s="128">
        <v>2016804.0</v>
      </c>
      <c r="M2277" s="128">
        <v>1214741.0</v>
      </c>
      <c r="N2277" s="128">
        <v>802062.3</v>
      </c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</row>
    <row r="2278">
      <c r="A2278" s="125" t="s">
        <v>475</v>
      </c>
      <c r="B2278" s="125" t="s">
        <v>544</v>
      </c>
      <c r="C2278" s="125" t="s">
        <v>480</v>
      </c>
      <c r="D2278" s="125" t="s">
        <v>454</v>
      </c>
      <c r="E2278" s="125" t="s">
        <v>189</v>
      </c>
      <c r="F2278" s="126">
        <v>42128.0</v>
      </c>
      <c r="G2278" s="127">
        <v>1.22E8</v>
      </c>
      <c r="H2278" s="126">
        <v>42147.0</v>
      </c>
      <c r="I2278" s="128">
        <v>7629.0</v>
      </c>
      <c r="J2278" s="128">
        <v>437.2</v>
      </c>
      <c r="K2278" s="128">
        <v>263.33</v>
      </c>
      <c r="L2278" s="128">
        <v>3335399.0</v>
      </c>
      <c r="M2278" s="128">
        <v>2008945.0</v>
      </c>
      <c r="N2278" s="128">
        <v>1326454.0</v>
      </c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</row>
    <row r="2279">
      <c r="A2279" s="125" t="s">
        <v>469</v>
      </c>
      <c r="B2279" s="125" t="s">
        <v>589</v>
      </c>
      <c r="C2279" s="125" t="s">
        <v>460</v>
      </c>
      <c r="D2279" s="125" t="s">
        <v>457</v>
      </c>
      <c r="E2279" s="125" t="s">
        <v>189</v>
      </c>
      <c r="F2279" s="126">
        <v>40678.0</v>
      </c>
      <c r="G2279" s="127">
        <v>1.27E8</v>
      </c>
      <c r="H2279" s="126">
        <v>40707.0</v>
      </c>
      <c r="I2279" s="128">
        <v>867.0</v>
      </c>
      <c r="J2279" s="128">
        <v>47.45</v>
      </c>
      <c r="K2279" s="128">
        <v>31.79</v>
      </c>
      <c r="L2279" s="128">
        <v>41139.15</v>
      </c>
      <c r="M2279" s="128">
        <v>27561.93</v>
      </c>
      <c r="N2279" s="128">
        <v>13577.22</v>
      </c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</row>
    <row r="2280">
      <c r="A2280" s="125" t="s">
        <v>475</v>
      </c>
      <c r="B2280" s="125" t="s">
        <v>591</v>
      </c>
      <c r="C2280" s="125" t="s">
        <v>485</v>
      </c>
      <c r="D2280" s="125" t="s">
        <v>457</v>
      </c>
      <c r="E2280" s="125" t="s">
        <v>464</v>
      </c>
      <c r="F2280" s="126">
        <v>42084.0</v>
      </c>
      <c r="G2280" s="127">
        <v>7.32E8</v>
      </c>
      <c r="H2280" s="126">
        <v>42107.0</v>
      </c>
      <c r="I2280" s="128">
        <v>1985.0</v>
      </c>
      <c r="J2280" s="128">
        <v>421.89</v>
      </c>
      <c r="K2280" s="128">
        <v>364.69</v>
      </c>
      <c r="L2280" s="128">
        <v>837451.7</v>
      </c>
      <c r="M2280" s="128">
        <v>723909.7</v>
      </c>
      <c r="N2280" s="128">
        <v>113542.0</v>
      </c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</row>
    <row r="2281">
      <c r="A2281" s="125" t="s">
        <v>451</v>
      </c>
      <c r="B2281" s="125" t="s">
        <v>550</v>
      </c>
      <c r="C2281" s="125" t="s">
        <v>453</v>
      </c>
      <c r="D2281" s="125" t="s">
        <v>457</v>
      </c>
      <c r="E2281" s="125" t="s">
        <v>189</v>
      </c>
      <c r="F2281" s="126">
        <v>41740.0</v>
      </c>
      <c r="G2281" s="127">
        <v>5.85E8</v>
      </c>
      <c r="H2281" s="126">
        <v>41743.0</v>
      </c>
      <c r="I2281" s="128">
        <v>5678.0</v>
      </c>
      <c r="J2281" s="128">
        <v>255.28</v>
      </c>
      <c r="K2281" s="128">
        <v>159.42</v>
      </c>
      <c r="L2281" s="128">
        <v>1449480.0</v>
      </c>
      <c r="M2281" s="128">
        <v>905186.8</v>
      </c>
      <c r="N2281" s="128">
        <v>544293.1</v>
      </c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</row>
    <row r="2282">
      <c r="A2282" s="125" t="s">
        <v>458</v>
      </c>
      <c r="B2282" s="125" t="s">
        <v>554</v>
      </c>
      <c r="C2282" s="125" t="s">
        <v>463</v>
      </c>
      <c r="D2282" s="125" t="s">
        <v>454</v>
      </c>
      <c r="E2282" s="125" t="s">
        <v>189</v>
      </c>
      <c r="F2282" s="126">
        <v>40960.0</v>
      </c>
      <c r="G2282" s="127">
        <v>6.53E8</v>
      </c>
      <c r="H2282" s="126">
        <v>40993.0</v>
      </c>
      <c r="I2282" s="128">
        <v>8668.0</v>
      </c>
      <c r="J2282" s="128">
        <v>205.7</v>
      </c>
      <c r="K2282" s="128">
        <v>117.11</v>
      </c>
      <c r="L2282" s="128">
        <v>1783008.0</v>
      </c>
      <c r="M2282" s="128">
        <v>1015109.0</v>
      </c>
      <c r="N2282" s="128">
        <v>767898.1</v>
      </c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</row>
    <row r="2283">
      <c r="A2283" s="125" t="s">
        <v>475</v>
      </c>
      <c r="B2283" s="125" t="s">
        <v>651</v>
      </c>
      <c r="C2283" s="125" t="s">
        <v>456</v>
      </c>
      <c r="D2283" s="125" t="s">
        <v>454</v>
      </c>
      <c r="E2283" s="125" t="s">
        <v>189</v>
      </c>
      <c r="F2283" s="126">
        <v>42830.0</v>
      </c>
      <c r="G2283" s="127">
        <v>1.73E8</v>
      </c>
      <c r="H2283" s="126">
        <v>42843.0</v>
      </c>
      <c r="I2283" s="128">
        <v>4711.0</v>
      </c>
      <c r="J2283" s="128">
        <v>152.58</v>
      </c>
      <c r="K2283" s="128">
        <v>97.44</v>
      </c>
      <c r="L2283" s="128">
        <v>718804.4</v>
      </c>
      <c r="M2283" s="128">
        <v>459039.8</v>
      </c>
      <c r="N2283" s="128">
        <v>259764.5</v>
      </c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</row>
    <row r="2284">
      <c r="A2284" s="125" t="s">
        <v>466</v>
      </c>
      <c r="B2284" s="125" t="s">
        <v>658</v>
      </c>
      <c r="C2284" s="125" t="s">
        <v>471</v>
      </c>
      <c r="D2284" s="125" t="s">
        <v>454</v>
      </c>
      <c r="E2284" s="125" t="s">
        <v>464</v>
      </c>
      <c r="F2284" s="126">
        <v>42526.0</v>
      </c>
      <c r="G2284" s="127">
        <v>7.03E8</v>
      </c>
      <c r="H2284" s="126">
        <v>42537.0</v>
      </c>
      <c r="I2284" s="128">
        <v>9593.0</v>
      </c>
      <c r="J2284" s="128">
        <v>109.28</v>
      </c>
      <c r="K2284" s="128">
        <v>35.84</v>
      </c>
      <c r="L2284" s="128">
        <v>1048323.0</v>
      </c>
      <c r="M2284" s="128">
        <v>343813.1</v>
      </c>
      <c r="N2284" s="128">
        <v>704509.9</v>
      </c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</row>
    <row r="2285">
      <c r="A2285" s="125" t="s">
        <v>466</v>
      </c>
      <c r="B2285" s="125" t="s">
        <v>477</v>
      </c>
      <c r="C2285" s="125" t="s">
        <v>514</v>
      </c>
      <c r="D2285" s="125" t="s">
        <v>454</v>
      </c>
      <c r="E2285" s="125" t="s">
        <v>472</v>
      </c>
      <c r="F2285" s="126">
        <v>42531.0</v>
      </c>
      <c r="G2285" s="127">
        <v>2.72E8</v>
      </c>
      <c r="H2285" s="126">
        <v>42560.0</v>
      </c>
      <c r="I2285" s="128">
        <v>6130.0</v>
      </c>
      <c r="J2285" s="128">
        <v>668.27</v>
      </c>
      <c r="K2285" s="128">
        <v>502.54</v>
      </c>
      <c r="L2285" s="128">
        <v>4096495.0</v>
      </c>
      <c r="M2285" s="128">
        <v>3080570.0</v>
      </c>
      <c r="N2285" s="128">
        <v>1015925.0</v>
      </c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</row>
    <row r="2286">
      <c r="A2286" s="125" t="s">
        <v>451</v>
      </c>
      <c r="B2286" s="125" t="s">
        <v>646</v>
      </c>
      <c r="C2286" s="125" t="s">
        <v>463</v>
      </c>
      <c r="D2286" s="125" t="s">
        <v>454</v>
      </c>
      <c r="E2286" s="125" t="s">
        <v>464</v>
      </c>
      <c r="F2286" s="126">
        <v>40181.0</v>
      </c>
      <c r="G2286" s="127">
        <v>1.27E8</v>
      </c>
      <c r="H2286" s="126">
        <v>40216.0</v>
      </c>
      <c r="I2286" s="128">
        <v>9173.0</v>
      </c>
      <c r="J2286" s="128">
        <v>205.7</v>
      </c>
      <c r="K2286" s="128">
        <v>117.11</v>
      </c>
      <c r="L2286" s="128">
        <v>1886886.0</v>
      </c>
      <c r="M2286" s="128">
        <v>1074250.0</v>
      </c>
      <c r="N2286" s="128">
        <v>812636.1</v>
      </c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</row>
    <row r="2287">
      <c r="A2287" s="125" t="s">
        <v>458</v>
      </c>
      <c r="B2287" s="125" t="s">
        <v>487</v>
      </c>
      <c r="C2287" s="125" t="s">
        <v>514</v>
      </c>
      <c r="D2287" s="125" t="s">
        <v>454</v>
      </c>
      <c r="E2287" s="125" t="s">
        <v>189</v>
      </c>
      <c r="F2287" s="126">
        <v>42886.0</v>
      </c>
      <c r="G2287" s="127">
        <v>6.89E8</v>
      </c>
      <c r="H2287" s="126">
        <v>42918.0</v>
      </c>
      <c r="I2287" s="128">
        <v>600.0</v>
      </c>
      <c r="J2287" s="128">
        <v>668.27</v>
      </c>
      <c r="K2287" s="128">
        <v>502.54</v>
      </c>
      <c r="L2287" s="128">
        <v>400962.0</v>
      </c>
      <c r="M2287" s="128">
        <v>301524.0</v>
      </c>
      <c r="N2287" s="128">
        <v>99438.0</v>
      </c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</row>
    <row r="2288">
      <c r="A2288" s="125" t="s">
        <v>458</v>
      </c>
      <c r="B2288" s="125" t="s">
        <v>515</v>
      </c>
      <c r="C2288" s="125" t="s">
        <v>468</v>
      </c>
      <c r="D2288" s="125" t="s">
        <v>454</v>
      </c>
      <c r="E2288" s="125" t="s">
        <v>189</v>
      </c>
      <c r="F2288" s="126">
        <v>41845.0</v>
      </c>
      <c r="G2288" s="127">
        <v>1.95E8</v>
      </c>
      <c r="H2288" s="126">
        <v>41886.0</v>
      </c>
      <c r="I2288" s="128">
        <v>4322.0</v>
      </c>
      <c r="J2288" s="128">
        <v>81.73</v>
      </c>
      <c r="K2288" s="128">
        <v>56.67</v>
      </c>
      <c r="L2288" s="128">
        <v>353237.1</v>
      </c>
      <c r="M2288" s="128">
        <v>244927.7</v>
      </c>
      <c r="N2288" s="128">
        <v>108309.3</v>
      </c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</row>
    <row r="2289">
      <c r="A2289" s="125" t="s">
        <v>461</v>
      </c>
      <c r="B2289" s="125" t="s">
        <v>629</v>
      </c>
      <c r="C2289" s="125" t="s">
        <v>485</v>
      </c>
      <c r="D2289" s="125" t="s">
        <v>454</v>
      </c>
      <c r="E2289" s="125" t="s">
        <v>464</v>
      </c>
      <c r="F2289" s="126">
        <v>41096.0</v>
      </c>
      <c r="G2289" s="127">
        <v>5.56E8</v>
      </c>
      <c r="H2289" s="126">
        <v>41114.0</v>
      </c>
      <c r="I2289" s="128">
        <v>1283.0</v>
      </c>
      <c r="J2289" s="128">
        <v>421.89</v>
      </c>
      <c r="K2289" s="128">
        <v>364.69</v>
      </c>
      <c r="L2289" s="128">
        <v>541284.9</v>
      </c>
      <c r="M2289" s="128">
        <v>467897.3</v>
      </c>
      <c r="N2289" s="128">
        <v>73387.6</v>
      </c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</row>
    <row r="2290">
      <c r="A2290" s="125" t="s">
        <v>488</v>
      </c>
      <c r="B2290" s="125" t="s">
        <v>645</v>
      </c>
      <c r="C2290" s="125" t="s">
        <v>478</v>
      </c>
      <c r="D2290" s="125" t="s">
        <v>454</v>
      </c>
      <c r="E2290" s="125" t="s">
        <v>284</v>
      </c>
      <c r="F2290" s="126">
        <v>42299.0</v>
      </c>
      <c r="G2290" s="127">
        <v>6.0E8</v>
      </c>
      <c r="H2290" s="126">
        <v>42331.0</v>
      </c>
      <c r="I2290" s="128">
        <v>4455.0</v>
      </c>
      <c r="J2290" s="128">
        <v>651.21</v>
      </c>
      <c r="K2290" s="128">
        <v>524.96</v>
      </c>
      <c r="L2290" s="128">
        <v>2901141.0</v>
      </c>
      <c r="M2290" s="128">
        <v>2338697.0</v>
      </c>
      <c r="N2290" s="128">
        <v>562443.8</v>
      </c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</row>
    <row r="2291">
      <c r="A2291" s="125" t="s">
        <v>458</v>
      </c>
      <c r="B2291" s="125" t="s">
        <v>641</v>
      </c>
      <c r="C2291" s="125" t="s">
        <v>514</v>
      </c>
      <c r="D2291" s="125" t="s">
        <v>457</v>
      </c>
      <c r="E2291" s="125" t="s">
        <v>284</v>
      </c>
      <c r="F2291" s="126">
        <v>40587.0</v>
      </c>
      <c r="G2291" s="127">
        <v>1.29E8</v>
      </c>
      <c r="H2291" s="126">
        <v>40630.0</v>
      </c>
      <c r="I2291" s="128">
        <v>3844.0</v>
      </c>
      <c r="J2291" s="128">
        <v>668.27</v>
      </c>
      <c r="K2291" s="128">
        <v>502.54</v>
      </c>
      <c r="L2291" s="128">
        <v>2568830.0</v>
      </c>
      <c r="M2291" s="128">
        <v>1931764.0</v>
      </c>
      <c r="N2291" s="128">
        <v>637066.1</v>
      </c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</row>
    <row r="2292">
      <c r="A2292" s="125" t="s">
        <v>458</v>
      </c>
      <c r="B2292" s="125" t="s">
        <v>518</v>
      </c>
      <c r="C2292" s="125" t="s">
        <v>506</v>
      </c>
      <c r="D2292" s="125" t="s">
        <v>457</v>
      </c>
      <c r="E2292" s="125" t="s">
        <v>464</v>
      </c>
      <c r="F2292" s="126">
        <v>42548.0</v>
      </c>
      <c r="G2292" s="127">
        <v>3.62E8</v>
      </c>
      <c r="H2292" s="126">
        <v>42569.0</v>
      </c>
      <c r="I2292" s="128">
        <v>1485.0</v>
      </c>
      <c r="J2292" s="128">
        <v>154.06</v>
      </c>
      <c r="K2292" s="128">
        <v>90.93</v>
      </c>
      <c r="L2292" s="128">
        <v>228779.1</v>
      </c>
      <c r="M2292" s="128">
        <v>135031.1</v>
      </c>
      <c r="N2292" s="128">
        <v>93748.05</v>
      </c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</row>
    <row r="2293">
      <c r="A2293" s="125" t="s">
        <v>458</v>
      </c>
      <c r="B2293" s="125" t="s">
        <v>567</v>
      </c>
      <c r="C2293" s="125" t="s">
        <v>468</v>
      </c>
      <c r="D2293" s="125" t="s">
        <v>454</v>
      </c>
      <c r="E2293" s="125" t="s">
        <v>284</v>
      </c>
      <c r="F2293" s="126">
        <v>42710.0</v>
      </c>
      <c r="G2293" s="127">
        <v>7.9E8</v>
      </c>
      <c r="H2293" s="126">
        <v>42737.0</v>
      </c>
      <c r="I2293" s="128">
        <v>6447.0</v>
      </c>
      <c r="J2293" s="128">
        <v>81.73</v>
      </c>
      <c r="K2293" s="128">
        <v>56.67</v>
      </c>
      <c r="L2293" s="128">
        <v>526913.3</v>
      </c>
      <c r="M2293" s="128">
        <v>365351.5</v>
      </c>
      <c r="N2293" s="128">
        <v>161561.8</v>
      </c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</row>
    <row r="2294">
      <c r="A2294" s="125" t="s">
        <v>475</v>
      </c>
      <c r="B2294" s="125" t="s">
        <v>600</v>
      </c>
      <c r="C2294" s="125" t="s">
        <v>480</v>
      </c>
      <c r="D2294" s="125" t="s">
        <v>454</v>
      </c>
      <c r="E2294" s="125" t="s">
        <v>472</v>
      </c>
      <c r="F2294" s="126">
        <v>41522.0</v>
      </c>
      <c r="G2294" s="127">
        <v>5.24E8</v>
      </c>
      <c r="H2294" s="126">
        <v>41556.0</v>
      </c>
      <c r="I2294" s="128">
        <v>9827.0</v>
      </c>
      <c r="J2294" s="128">
        <v>437.2</v>
      </c>
      <c r="K2294" s="128">
        <v>263.33</v>
      </c>
      <c r="L2294" s="128">
        <v>4296364.0</v>
      </c>
      <c r="M2294" s="128">
        <v>2587744.0</v>
      </c>
      <c r="N2294" s="128">
        <v>1708620.0</v>
      </c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</row>
    <row r="2295">
      <c r="A2295" s="125" t="s">
        <v>469</v>
      </c>
      <c r="B2295" s="125" t="s">
        <v>647</v>
      </c>
      <c r="C2295" s="125" t="s">
        <v>480</v>
      </c>
      <c r="D2295" s="125" t="s">
        <v>457</v>
      </c>
      <c r="E2295" s="125" t="s">
        <v>472</v>
      </c>
      <c r="F2295" s="126">
        <v>41207.0</v>
      </c>
      <c r="G2295" s="127">
        <v>5.45E8</v>
      </c>
      <c r="H2295" s="126">
        <v>41210.0</v>
      </c>
      <c r="I2295" s="128">
        <v>9756.0</v>
      </c>
      <c r="J2295" s="128">
        <v>437.2</v>
      </c>
      <c r="K2295" s="128">
        <v>263.33</v>
      </c>
      <c r="L2295" s="128">
        <v>4265323.0</v>
      </c>
      <c r="M2295" s="128">
        <v>2569047.0</v>
      </c>
      <c r="N2295" s="128">
        <v>1696276.0</v>
      </c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</row>
    <row r="2296">
      <c r="A2296" s="125" t="s">
        <v>461</v>
      </c>
      <c r="B2296" s="125" t="s">
        <v>510</v>
      </c>
      <c r="C2296" s="125" t="s">
        <v>480</v>
      </c>
      <c r="D2296" s="125" t="s">
        <v>457</v>
      </c>
      <c r="E2296" s="125" t="s">
        <v>464</v>
      </c>
      <c r="F2296" s="126">
        <v>41609.0</v>
      </c>
      <c r="G2296" s="127">
        <v>5.56E8</v>
      </c>
      <c r="H2296" s="126">
        <v>41618.0</v>
      </c>
      <c r="I2296" s="128">
        <v>6395.0</v>
      </c>
      <c r="J2296" s="128">
        <v>437.2</v>
      </c>
      <c r="K2296" s="128">
        <v>263.33</v>
      </c>
      <c r="L2296" s="128">
        <v>2795894.0</v>
      </c>
      <c r="M2296" s="128">
        <v>1683995.0</v>
      </c>
      <c r="N2296" s="128">
        <v>1111899.0</v>
      </c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</row>
    <row r="2297">
      <c r="A2297" s="125" t="s">
        <v>458</v>
      </c>
      <c r="B2297" s="125" t="s">
        <v>633</v>
      </c>
      <c r="C2297" s="125" t="s">
        <v>480</v>
      </c>
      <c r="D2297" s="125" t="s">
        <v>454</v>
      </c>
      <c r="E2297" s="125" t="s">
        <v>284</v>
      </c>
      <c r="F2297" s="126">
        <v>41579.0</v>
      </c>
      <c r="G2297" s="127">
        <v>3.27E8</v>
      </c>
      <c r="H2297" s="126">
        <v>41594.0</v>
      </c>
      <c r="I2297" s="128">
        <v>6936.0</v>
      </c>
      <c r="J2297" s="128">
        <v>437.2</v>
      </c>
      <c r="K2297" s="128">
        <v>263.33</v>
      </c>
      <c r="L2297" s="128">
        <v>3032419.0</v>
      </c>
      <c r="M2297" s="128">
        <v>1826457.0</v>
      </c>
      <c r="N2297" s="128">
        <v>1205962.0</v>
      </c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</row>
    <row r="2298">
      <c r="A2298" s="125" t="s">
        <v>451</v>
      </c>
      <c r="B2298" s="125" t="s">
        <v>546</v>
      </c>
      <c r="C2298" s="125" t="s">
        <v>514</v>
      </c>
      <c r="D2298" s="125" t="s">
        <v>457</v>
      </c>
      <c r="E2298" s="125" t="s">
        <v>464</v>
      </c>
      <c r="F2298" s="126">
        <v>40357.0</v>
      </c>
      <c r="G2298" s="127">
        <v>1.52E8</v>
      </c>
      <c r="H2298" s="126">
        <v>40405.0</v>
      </c>
      <c r="I2298" s="128">
        <v>603.0</v>
      </c>
      <c r="J2298" s="128">
        <v>668.27</v>
      </c>
      <c r="K2298" s="128">
        <v>502.54</v>
      </c>
      <c r="L2298" s="128">
        <v>402966.8</v>
      </c>
      <c r="M2298" s="128">
        <v>303031.6</v>
      </c>
      <c r="N2298" s="128">
        <v>99935.19</v>
      </c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</row>
    <row r="2299">
      <c r="A2299" s="125" t="s">
        <v>461</v>
      </c>
      <c r="B2299" s="125" t="s">
        <v>599</v>
      </c>
      <c r="C2299" s="125" t="s">
        <v>494</v>
      </c>
      <c r="D2299" s="125" t="s">
        <v>457</v>
      </c>
      <c r="E2299" s="125" t="s">
        <v>472</v>
      </c>
      <c r="F2299" s="126">
        <v>41719.0</v>
      </c>
      <c r="G2299" s="127">
        <v>3.92E8</v>
      </c>
      <c r="H2299" s="126">
        <v>41740.0</v>
      </c>
      <c r="I2299" s="128">
        <v>3650.0</v>
      </c>
      <c r="J2299" s="128">
        <v>9.33</v>
      </c>
      <c r="K2299" s="128">
        <v>6.92</v>
      </c>
      <c r="L2299" s="128">
        <v>34054.5</v>
      </c>
      <c r="M2299" s="128">
        <v>25258.0</v>
      </c>
      <c r="N2299" s="128">
        <v>8796.5</v>
      </c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</row>
    <row r="2300">
      <c r="A2300" s="125" t="s">
        <v>458</v>
      </c>
      <c r="B2300" s="125" t="s">
        <v>509</v>
      </c>
      <c r="C2300" s="125" t="s">
        <v>506</v>
      </c>
      <c r="D2300" s="125" t="s">
        <v>454</v>
      </c>
      <c r="E2300" s="125" t="s">
        <v>472</v>
      </c>
      <c r="F2300" s="126">
        <v>41535.0</v>
      </c>
      <c r="G2300" s="127">
        <v>1.3E8</v>
      </c>
      <c r="H2300" s="126">
        <v>41548.0</v>
      </c>
      <c r="I2300" s="128">
        <v>4364.0</v>
      </c>
      <c r="J2300" s="128">
        <v>154.06</v>
      </c>
      <c r="K2300" s="128">
        <v>90.93</v>
      </c>
      <c r="L2300" s="128">
        <v>672317.8</v>
      </c>
      <c r="M2300" s="128">
        <v>396818.5</v>
      </c>
      <c r="N2300" s="128">
        <v>275499.3</v>
      </c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</row>
    <row r="2301">
      <c r="A2301" s="125" t="s">
        <v>461</v>
      </c>
      <c r="B2301" s="125" t="s">
        <v>615</v>
      </c>
      <c r="C2301" s="125" t="s">
        <v>468</v>
      </c>
      <c r="D2301" s="125" t="s">
        <v>457</v>
      </c>
      <c r="E2301" s="125" t="s">
        <v>464</v>
      </c>
      <c r="F2301" s="126">
        <v>40212.0</v>
      </c>
      <c r="G2301" s="127">
        <v>3.21E8</v>
      </c>
      <c r="H2301" s="126">
        <v>40252.0</v>
      </c>
      <c r="I2301" s="128">
        <v>8062.0</v>
      </c>
      <c r="J2301" s="128">
        <v>81.73</v>
      </c>
      <c r="K2301" s="128">
        <v>56.67</v>
      </c>
      <c r="L2301" s="128">
        <v>658907.3</v>
      </c>
      <c r="M2301" s="128">
        <v>456873.5</v>
      </c>
      <c r="N2301" s="128">
        <v>202033.7</v>
      </c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</row>
    <row r="2302">
      <c r="A2302" s="125" t="s">
        <v>458</v>
      </c>
      <c r="B2302" s="125" t="s">
        <v>545</v>
      </c>
      <c r="C2302" s="125" t="s">
        <v>463</v>
      </c>
      <c r="D2302" s="125" t="s">
        <v>457</v>
      </c>
      <c r="E2302" s="125" t="s">
        <v>472</v>
      </c>
      <c r="F2302" s="126">
        <v>41310.0</v>
      </c>
      <c r="G2302" s="127">
        <v>6.36E8</v>
      </c>
      <c r="H2302" s="126">
        <v>41341.0</v>
      </c>
      <c r="I2302" s="128">
        <v>2093.0</v>
      </c>
      <c r="J2302" s="128">
        <v>205.7</v>
      </c>
      <c r="K2302" s="128">
        <v>117.11</v>
      </c>
      <c r="L2302" s="128">
        <v>430530.1</v>
      </c>
      <c r="M2302" s="128">
        <v>245111.2</v>
      </c>
      <c r="N2302" s="128">
        <v>185418.9</v>
      </c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</row>
    <row r="2303">
      <c r="A2303" s="125" t="s">
        <v>461</v>
      </c>
      <c r="B2303" s="125" t="s">
        <v>581</v>
      </c>
      <c r="C2303" s="125" t="s">
        <v>480</v>
      </c>
      <c r="D2303" s="125" t="s">
        <v>454</v>
      </c>
      <c r="E2303" s="125" t="s">
        <v>284</v>
      </c>
      <c r="F2303" s="126">
        <v>41865.0</v>
      </c>
      <c r="G2303" s="127">
        <v>8.21E8</v>
      </c>
      <c r="H2303" s="126">
        <v>41869.0</v>
      </c>
      <c r="I2303" s="128">
        <v>837.0</v>
      </c>
      <c r="J2303" s="128">
        <v>437.2</v>
      </c>
      <c r="K2303" s="128">
        <v>263.33</v>
      </c>
      <c r="L2303" s="128">
        <v>365936.4</v>
      </c>
      <c r="M2303" s="128">
        <v>220407.2</v>
      </c>
      <c r="N2303" s="128">
        <v>145529.2</v>
      </c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</row>
    <row r="2304">
      <c r="A2304" s="125" t="s">
        <v>466</v>
      </c>
      <c r="B2304" s="125" t="s">
        <v>479</v>
      </c>
      <c r="C2304" s="125" t="s">
        <v>463</v>
      </c>
      <c r="D2304" s="125" t="s">
        <v>454</v>
      </c>
      <c r="E2304" s="125" t="s">
        <v>472</v>
      </c>
      <c r="F2304" s="126">
        <v>42067.0</v>
      </c>
      <c r="G2304" s="127">
        <v>2.39E8</v>
      </c>
      <c r="H2304" s="126">
        <v>42108.0</v>
      </c>
      <c r="I2304" s="128">
        <v>705.0</v>
      </c>
      <c r="J2304" s="128">
        <v>205.7</v>
      </c>
      <c r="K2304" s="128">
        <v>117.11</v>
      </c>
      <c r="L2304" s="128">
        <v>145018.5</v>
      </c>
      <c r="M2304" s="128">
        <v>82562.55</v>
      </c>
      <c r="N2304" s="128">
        <v>62455.95</v>
      </c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</row>
    <row r="2305">
      <c r="A2305" s="125" t="s">
        <v>458</v>
      </c>
      <c r="B2305" s="125" t="s">
        <v>642</v>
      </c>
      <c r="C2305" s="125" t="s">
        <v>460</v>
      </c>
      <c r="D2305" s="125" t="s">
        <v>454</v>
      </c>
      <c r="E2305" s="125" t="s">
        <v>189</v>
      </c>
      <c r="F2305" s="126">
        <v>41114.0</v>
      </c>
      <c r="G2305" s="127">
        <v>1.24E8</v>
      </c>
      <c r="H2305" s="126">
        <v>41123.0</v>
      </c>
      <c r="I2305" s="128">
        <v>5138.0</v>
      </c>
      <c r="J2305" s="128">
        <v>47.45</v>
      </c>
      <c r="K2305" s="128">
        <v>31.79</v>
      </c>
      <c r="L2305" s="128">
        <v>243798.1</v>
      </c>
      <c r="M2305" s="128">
        <v>163337.0</v>
      </c>
      <c r="N2305" s="128">
        <v>80461.08</v>
      </c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</row>
    <row r="2306">
      <c r="A2306" s="125" t="s">
        <v>475</v>
      </c>
      <c r="B2306" s="125" t="s">
        <v>585</v>
      </c>
      <c r="C2306" s="125" t="s">
        <v>468</v>
      </c>
      <c r="D2306" s="125" t="s">
        <v>454</v>
      </c>
      <c r="E2306" s="125" t="s">
        <v>284</v>
      </c>
      <c r="F2306" s="126">
        <v>41356.0</v>
      </c>
      <c r="G2306" s="127">
        <v>4.31E8</v>
      </c>
      <c r="H2306" s="126">
        <v>41398.0</v>
      </c>
      <c r="I2306" s="128">
        <v>9612.0</v>
      </c>
      <c r="J2306" s="128">
        <v>81.73</v>
      </c>
      <c r="K2306" s="128">
        <v>56.67</v>
      </c>
      <c r="L2306" s="128">
        <v>785588.8</v>
      </c>
      <c r="M2306" s="128">
        <v>544712.0</v>
      </c>
      <c r="N2306" s="128">
        <v>240876.7</v>
      </c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</row>
    <row r="2307">
      <c r="A2307" s="125" t="s">
        <v>475</v>
      </c>
      <c r="B2307" s="125" t="s">
        <v>619</v>
      </c>
      <c r="C2307" s="125" t="s">
        <v>494</v>
      </c>
      <c r="D2307" s="125" t="s">
        <v>457</v>
      </c>
      <c r="E2307" s="125" t="s">
        <v>189</v>
      </c>
      <c r="F2307" s="126">
        <v>41384.0</v>
      </c>
      <c r="G2307" s="127">
        <v>2.86E8</v>
      </c>
      <c r="H2307" s="126">
        <v>41394.0</v>
      </c>
      <c r="I2307" s="128">
        <v>6630.0</v>
      </c>
      <c r="J2307" s="128">
        <v>9.33</v>
      </c>
      <c r="K2307" s="128">
        <v>6.92</v>
      </c>
      <c r="L2307" s="128">
        <v>61857.9</v>
      </c>
      <c r="M2307" s="128">
        <v>45879.6</v>
      </c>
      <c r="N2307" s="128">
        <v>15978.3</v>
      </c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</row>
    <row r="2308">
      <c r="A2308" s="125" t="s">
        <v>451</v>
      </c>
      <c r="B2308" s="125" t="s">
        <v>620</v>
      </c>
      <c r="C2308" s="125" t="s">
        <v>485</v>
      </c>
      <c r="D2308" s="125" t="s">
        <v>457</v>
      </c>
      <c r="E2308" s="125" t="s">
        <v>472</v>
      </c>
      <c r="F2308" s="126">
        <v>40180.0</v>
      </c>
      <c r="G2308" s="127">
        <v>2.34E8</v>
      </c>
      <c r="H2308" s="126">
        <v>40230.0</v>
      </c>
      <c r="I2308" s="128">
        <v>729.0</v>
      </c>
      <c r="J2308" s="128">
        <v>421.89</v>
      </c>
      <c r="K2308" s="128">
        <v>364.69</v>
      </c>
      <c r="L2308" s="128">
        <v>307557.8</v>
      </c>
      <c r="M2308" s="128">
        <v>265859.0</v>
      </c>
      <c r="N2308" s="128">
        <v>41698.8</v>
      </c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</row>
    <row r="2309">
      <c r="A2309" s="125" t="s">
        <v>475</v>
      </c>
      <c r="B2309" s="125" t="s">
        <v>602</v>
      </c>
      <c r="C2309" s="125" t="s">
        <v>478</v>
      </c>
      <c r="D2309" s="125" t="s">
        <v>457</v>
      </c>
      <c r="E2309" s="125" t="s">
        <v>464</v>
      </c>
      <c r="F2309" s="126">
        <v>41260.0</v>
      </c>
      <c r="G2309" s="127">
        <v>8.9E8</v>
      </c>
      <c r="H2309" s="126">
        <v>41290.0</v>
      </c>
      <c r="I2309" s="128">
        <v>3476.0</v>
      </c>
      <c r="J2309" s="128">
        <v>651.21</v>
      </c>
      <c r="K2309" s="128">
        <v>524.96</v>
      </c>
      <c r="L2309" s="128">
        <v>2263606.0</v>
      </c>
      <c r="M2309" s="128">
        <v>1824761.0</v>
      </c>
      <c r="N2309" s="128">
        <v>438845.0</v>
      </c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</row>
    <row r="2310">
      <c r="A2310" s="125" t="s">
        <v>461</v>
      </c>
      <c r="B2310" s="125" t="s">
        <v>511</v>
      </c>
      <c r="C2310" s="125" t="s">
        <v>485</v>
      </c>
      <c r="D2310" s="125" t="s">
        <v>454</v>
      </c>
      <c r="E2310" s="125" t="s">
        <v>284</v>
      </c>
      <c r="F2310" s="126">
        <v>40235.0</v>
      </c>
      <c r="G2310" s="127">
        <v>6.9E8</v>
      </c>
      <c r="H2310" s="126">
        <v>40273.0</v>
      </c>
      <c r="I2310" s="128">
        <v>8471.0</v>
      </c>
      <c r="J2310" s="128">
        <v>421.89</v>
      </c>
      <c r="K2310" s="128">
        <v>364.69</v>
      </c>
      <c r="L2310" s="128">
        <v>3573830.0</v>
      </c>
      <c r="M2310" s="128">
        <v>3089289.0</v>
      </c>
      <c r="N2310" s="128">
        <v>484541.2</v>
      </c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</row>
    <row r="2311">
      <c r="A2311" s="125" t="s">
        <v>461</v>
      </c>
      <c r="B2311" s="125" t="s">
        <v>510</v>
      </c>
      <c r="C2311" s="125" t="s">
        <v>485</v>
      </c>
      <c r="D2311" s="125" t="s">
        <v>454</v>
      </c>
      <c r="E2311" s="125" t="s">
        <v>284</v>
      </c>
      <c r="F2311" s="126">
        <v>42784.0</v>
      </c>
      <c r="G2311" s="127">
        <v>8.41E8</v>
      </c>
      <c r="H2311" s="126">
        <v>42833.0</v>
      </c>
      <c r="I2311" s="128">
        <v>6342.0</v>
      </c>
      <c r="J2311" s="128">
        <v>421.89</v>
      </c>
      <c r="K2311" s="128">
        <v>364.69</v>
      </c>
      <c r="L2311" s="128">
        <v>2675626.0</v>
      </c>
      <c r="M2311" s="128">
        <v>2312864.0</v>
      </c>
      <c r="N2311" s="128">
        <v>362762.4</v>
      </c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</row>
    <row r="2312">
      <c r="A2312" s="125" t="s">
        <v>461</v>
      </c>
      <c r="B2312" s="125" t="s">
        <v>595</v>
      </c>
      <c r="C2312" s="125" t="s">
        <v>460</v>
      </c>
      <c r="D2312" s="125" t="s">
        <v>454</v>
      </c>
      <c r="E2312" s="125" t="s">
        <v>284</v>
      </c>
      <c r="F2312" s="126">
        <v>41145.0</v>
      </c>
      <c r="G2312" s="127">
        <v>3.69E8</v>
      </c>
      <c r="H2312" s="126">
        <v>41193.0</v>
      </c>
      <c r="I2312" s="128">
        <v>9750.0</v>
      </c>
      <c r="J2312" s="128">
        <v>47.45</v>
      </c>
      <c r="K2312" s="128">
        <v>31.79</v>
      </c>
      <c r="L2312" s="128">
        <v>462637.5</v>
      </c>
      <c r="M2312" s="128">
        <v>309952.5</v>
      </c>
      <c r="N2312" s="128">
        <v>152685.0</v>
      </c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</row>
    <row r="2313">
      <c r="A2313" s="125" t="s">
        <v>475</v>
      </c>
      <c r="B2313" s="125" t="s">
        <v>657</v>
      </c>
      <c r="C2313" s="125" t="s">
        <v>506</v>
      </c>
      <c r="D2313" s="125" t="s">
        <v>454</v>
      </c>
      <c r="E2313" s="125" t="s">
        <v>472</v>
      </c>
      <c r="F2313" s="126">
        <v>40392.0</v>
      </c>
      <c r="G2313" s="127">
        <v>1.71E8</v>
      </c>
      <c r="H2313" s="126">
        <v>40402.0</v>
      </c>
      <c r="I2313" s="128">
        <v>8389.0</v>
      </c>
      <c r="J2313" s="128">
        <v>154.06</v>
      </c>
      <c r="K2313" s="128">
        <v>90.93</v>
      </c>
      <c r="L2313" s="128">
        <v>1292409.0</v>
      </c>
      <c r="M2313" s="128">
        <v>762811.8</v>
      </c>
      <c r="N2313" s="128">
        <v>529597.6</v>
      </c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</row>
    <row r="2314">
      <c r="A2314" s="125" t="s">
        <v>451</v>
      </c>
      <c r="B2314" s="125" t="s">
        <v>608</v>
      </c>
      <c r="C2314" s="125" t="s">
        <v>453</v>
      </c>
      <c r="D2314" s="125" t="s">
        <v>457</v>
      </c>
      <c r="E2314" s="125" t="s">
        <v>472</v>
      </c>
      <c r="F2314" s="126">
        <v>40456.0</v>
      </c>
      <c r="G2314" s="127">
        <v>7.65E8</v>
      </c>
      <c r="H2314" s="126">
        <v>40483.0</v>
      </c>
      <c r="I2314" s="128">
        <v>3982.0</v>
      </c>
      <c r="J2314" s="128">
        <v>255.28</v>
      </c>
      <c r="K2314" s="128">
        <v>159.42</v>
      </c>
      <c r="L2314" s="128">
        <v>1016525.0</v>
      </c>
      <c r="M2314" s="128">
        <v>634810.4</v>
      </c>
      <c r="N2314" s="128">
        <v>381714.5</v>
      </c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</row>
    <row r="2315">
      <c r="A2315" s="125" t="s">
        <v>475</v>
      </c>
      <c r="B2315" s="125" t="s">
        <v>602</v>
      </c>
      <c r="C2315" s="125" t="s">
        <v>506</v>
      </c>
      <c r="D2315" s="125" t="s">
        <v>454</v>
      </c>
      <c r="E2315" s="125" t="s">
        <v>189</v>
      </c>
      <c r="F2315" s="126">
        <v>40274.0</v>
      </c>
      <c r="G2315" s="127">
        <v>9.38E8</v>
      </c>
      <c r="H2315" s="126">
        <v>40298.0</v>
      </c>
      <c r="I2315" s="128">
        <v>5284.0</v>
      </c>
      <c r="J2315" s="128">
        <v>154.06</v>
      </c>
      <c r="K2315" s="128">
        <v>90.93</v>
      </c>
      <c r="L2315" s="128">
        <v>814053.0</v>
      </c>
      <c r="M2315" s="128">
        <v>480474.1</v>
      </c>
      <c r="N2315" s="128">
        <v>333578.9</v>
      </c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</row>
    <row r="2316">
      <c r="A2316" s="125" t="s">
        <v>469</v>
      </c>
      <c r="B2316" s="125" t="s">
        <v>647</v>
      </c>
      <c r="C2316" s="125" t="s">
        <v>468</v>
      </c>
      <c r="D2316" s="125" t="s">
        <v>457</v>
      </c>
      <c r="E2316" s="125" t="s">
        <v>472</v>
      </c>
      <c r="F2316" s="126">
        <v>41938.0</v>
      </c>
      <c r="G2316" s="127">
        <v>8.97E8</v>
      </c>
      <c r="H2316" s="126">
        <v>41980.0</v>
      </c>
      <c r="I2316" s="128">
        <v>3081.0</v>
      </c>
      <c r="J2316" s="128">
        <v>81.73</v>
      </c>
      <c r="K2316" s="128">
        <v>56.67</v>
      </c>
      <c r="L2316" s="128">
        <v>251810.1</v>
      </c>
      <c r="M2316" s="128">
        <v>174600.3</v>
      </c>
      <c r="N2316" s="128">
        <v>77209.86</v>
      </c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</row>
    <row r="2317">
      <c r="A2317" s="125" t="s">
        <v>451</v>
      </c>
      <c r="B2317" s="125" t="s">
        <v>543</v>
      </c>
      <c r="C2317" s="125" t="s">
        <v>460</v>
      </c>
      <c r="D2317" s="125" t="s">
        <v>454</v>
      </c>
      <c r="E2317" s="125" t="s">
        <v>472</v>
      </c>
      <c r="F2317" s="126">
        <v>41015.0</v>
      </c>
      <c r="G2317" s="127">
        <v>9.22E8</v>
      </c>
      <c r="H2317" s="126">
        <v>41024.0</v>
      </c>
      <c r="I2317" s="128">
        <v>5189.0</v>
      </c>
      <c r="J2317" s="128">
        <v>47.45</v>
      </c>
      <c r="K2317" s="128">
        <v>31.79</v>
      </c>
      <c r="L2317" s="128">
        <v>246218.1</v>
      </c>
      <c r="M2317" s="128">
        <v>164958.3</v>
      </c>
      <c r="N2317" s="128">
        <v>81259.74</v>
      </c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</row>
    <row r="2318">
      <c r="A2318" s="125" t="s">
        <v>475</v>
      </c>
      <c r="B2318" s="125" t="s">
        <v>500</v>
      </c>
      <c r="C2318" s="125" t="s">
        <v>506</v>
      </c>
      <c r="D2318" s="125" t="s">
        <v>457</v>
      </c>
      <c r="E2318" s="125" t="s">
        <v>284</v>
      </c>
      <c r="F2318" s="126">
        <v>41757.0</v>
      </c>
      <c r="G2318" s="127">
        <v>9.1E8</v>
      </c>
      <c r="H2318" s="126">
        <v>41774.0</v>
      </c>
      <c r="I2318" s="128">
        <v>1459.0</v>
      </c>
      <c r="J2318" s="128">
        <v>154.06</v>
      </c>
      <c r="K2318" s="128">
        <v>90.93</v>
      </c>
      <c r="L2318" s="128">
        <v>224773.5</v>
      </c>
      <c r="M2318" s="128">
        <v>132666.9</v>
      </c>
      <c r="N2318" s="128">
        <v>92106.67</v>
      </c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</row>
    <row r="2319">
      <c r="A2319" s="125" t="s">
        <v>461</v>
      </c>
      <c r="B2319" s="125" t="s">
        <v>615</v>
      </c>
      <c r="C2319" s="125" t="s">
        <v>460</v>
      </c>
      <c r="D2319" s="125" t="s">
        <v>457</v>
      </c>
      <c r="E2319" s="125" t="s">
        <v>464</v>
      </c>
      <c r="F2319" s="126">
        <v>41891.0</v>
      </c>
      <c r="G2319" s="127">
        <v>8.3E8</v>
      </c>
      <c r="H2319" s="126">
        <v>41938.0</v>
      </c>
      <c r="I2319" s="128">
        <v>8770.0</v>
      </c>
      <c r="J2319" s="128">
        <v>47.45</v>
      </c>
      <c r="K2319" s="128">
        <v>31.79</v>
      </c>
      <c r="L2319" s="128">
        <v>416136.5</v>
      </c>
      <c r="M2319" s="128">
        <v>278798.3</v>
      </c>
      <c r="N2319" s="128">
        <v>137338.2</v>
      </c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</row>
    <row r="2320">
      <c r="A2320" s="125" t="s">
        <v>475</v>
      </c>
      <c r="B2320" s="125" t="s">
        <v>624</v>
      </c>
      <c r="C2320" s="125" t="s">
        <v>468</v>
      </c>
      <c r="D2320" s="125" t="s">
        <v>454</v>
      </c>
      <c r="E2320" s="125" t="s">
        <v>189</v>
      </c>
      <c r="F2320" s="126">
        <v>42300.0</v>
      </c>
      <c r="G2320" s="127">
        <v>2.72E8</v>
      </c>
      <c r="H2320" s="126">
        <v>42342.0</v>
      </c>
      <c r="I2320" s="128">
        <v>6032.0</v>
      </c>
      <c r="J2320" s="128">
        <v>81.73</v>
      </c>
      <c r="K2320" s="128">
        <v>56.67</v>
      </c>
      <c r="L2320" s="128">
        <v>492995.4</v>
      </c>
      <c r="M2320" s="128">
        <v>341833.4</v>
      </c>
      <c r="N2320" s="128">
        <v>151161.9</v>
      </c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</row>
    <row r="2321">
      <c r="A2321" s="125" t="s">
        <v>475</v>
      </c>
      <c r="B2321" s="125" t="s">
        <v>572</v>
      </c>
      <c r="C2321" s="125" t="s">
        <v>494</v>
      </c>
      <c r="D2321" s="125" t="s">
        <v>454</v>
      </c>
      <c r="E2321" s="125" t="s">
        <v>189</v>
      </c>
      <c r="F2321" s="126">
        <v>42871.0</v>
      </c>
      <c r="G2321" s="127">
        <v>6.94E8</v>
      </c>
      <c r="H2321" s="126">
        <v>42904.0</v>
      </c>
      <c r="I2321" s="128">
        <v>9189.0</v>
      </c>
      <c r="J2321" s="128">
        <v>9.33</v>
      </c>
      <c r="K2321" s="128">
        <v>6.92</v>
      </c>
      <c r="L2321" s="128">
        <v>85733.37</v>
      </c>
      <c r="M2321" s="128">
        <v>63587.88</v>
      </c>
      <c r="N2321" s="128">
        <v>22145.49</v>
      </c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</row>
    <row r="2322">
      <c r="A2322" s="125" t="s">
        <v>461</v>
      </c>
      <c r="B2322" s="125" t="s">
        <v>525</v>
      </c>
      <c r="C2322" s="125" t="s">
        <v>468</v>
      </c>
      <c r="D2322" s="125" t="s">
        <v>454</v>
      </c>
      <c r="E2322" s="125" t="s">
        <v>464</v>
      </c>
      <c r="F2322" s="126">
        <v>41114.0</v>
      </c>
      <c r="G2322" s="127">
        <v>4.77E8</v>
      </c>
      <c r="H2322" s="126">
        <v>41130.0</v>
      </c>
      <c r="I2322" s="128">
        <v>6214.0</v>
      </c>
      <c r="J2322" s="128">
        <v>81.73</v>
      </c>
      <c r="K2322" s="128">
        <v>56.67</v>
      </c>
      <c r="L2322" s="128">
        <v>507870.2</v>
      </c>
      <c r="M2322" s="128">
        <v>352147.4</v>
      </c>
      <c r="N2322" s="128">
        <v>155722.8</v>
      </c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</row>
    <row r="2323">
      <c r="A2323" s="125" t="s">
        <v>458</v>
      </c>
      <c r="B2323" s="125" t="s">
        <v>582</v>
      </c>
      <c r="C2323" s="125" t="s">
        <v>478</v>
      </c>
      <c r="D2323" s="125" t="s">
        <v>457</v>
      </c>
      <c r="E2323" s="125" t="s">
        <v>284</v>
      </c>
      <c r="F2323" s="126">
        <v>41846.0</v>
      </c>
      <c r="G2323" s="127">
        <v>7.71E8</v>
      </c>
      <c r="H2323" s="126">
        <v>41870.0</v>
      </c>
      <c r="I2323" s="128">
        <v>2112.0</v>
      </c>
      <c r="J2323" s="128">
        <v>651.21</v>
      </c>
      <c r="K2323" s="128">
        <v>524.96</v>
      </c>
      <c r="L2323" s="128">
        <v>1375356.0</v>
      </c>
      <c r="M2323" s="128">
        <v>1108716.0</v>
      </c>
      <c r="N2323" s="128">
        <v>266640.0</v>
      </c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</row>
    <row r="2324">
      <c r="A2324" s="125" t="s">
        <v>475</v>
      </c>
      <c r="B2324" s="125" t="s">
        <v>572</v>
      </c>
      <c r="C2324" s="125" t="s">
        <v>494</v>
      </c>
      <c r="D2324" s="125" t="s">
        <v>454</v>
      </c>
      <c r="E2324" s="125" t="s">
        <v>189</v>
      </c>
      <c r="F2324" s="126">
        <v>41971.0</v>
      </c>
      <c r="G2324" s="127">
        <v>5.45E8</v>
      </c>
      <c r="H2324" s="126">
        <v>41975.0</v>
      </c>
      <c r="I2324" s="128">
        <v>3918.0</v>
      </c>
      <c r="J2324" s="128">
        <v>9.33</v>
      </c>
      <c r="K2324" s="128">
        <v>6.92</v>
      </c>
      <c r="L2324" s="128">
        <v>36554.94</v>
      </c>
      <c r="M2324" s="128">
        <v>27112.56</v>
      </c>
      <c r="N2324" s="128">
        <v>9442.38</v>
      </c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</row>
    <row r="2325">
      <c r="A2325" s="125" t="s">
        <v>469</v>
      </c>
      <c r="B2325" s="125" t="s">
        <v>470</v>
      </c>
      <c r="C2325" s="125" t="s">
        <v>471</v>
      </c>
      <c r="D2325" s="125" t="s">
        <v>454</v>
      </c>
      <c r="E2325" s="125" t="s">
        <v>189</v>
      </c>
      <c r="F2325" s="126">
        <v>42933.0</v>
      </c>
      <c r="G2325" s="127">
        <v>6.42E8</v>
      </c>
      <c r="H2325" s="126">
        <v>42974.0</v>
      </c>
      <c r="I2325" s="128">
        <v>5701.0</v>
      </c>
      <c r="J2325" s="128">
        <v>109.28</v>
      </c>
      <c r="K2325" s="128">
        <v>35.84</v>
      </c>
      <c r="L2325" s="128">
        <v>623005.3</v>
      </c>
      <c r="M2325" s="128">
        <v>204323.8</v>
      </c>
      <c r="N2325" s="128">
        <v>418681.4</v>
      </c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</row>
    <row r="2326">
      <c r="A2326" s="125" t="s">
        <v>475</v>
      </c>
      <c r="B2326" s="125" t="s">
        <v>526</v>
      </c>
      <c r="C2326" s="125" t="s">
        <v>480</v>
      </c>
      <c r="D2326" s="125" t="s">
        <v>454</v>
      </c>
      <c r="E2326" s="125" t="s">
        <v>284</v>
      </c>
      <c r="F2326" s="126">
        <v>41034.0</v>
      </c>
      <c r="G2326" s="127">
        <v>6.21E8</v>
      </c>
      <c r="H2326" s="126">
        <v>41065.0</v>
      </c>
      <c r="I2326" s="128">
        <v>3559.0</v>
      </c>
      <c r="J2326" s="128">
        <v>437.2</v>
      </c>
      <c r="K2326" s="128">
        <v>263.33</v>
      </c>
      <c r="L2326" s="128">
        <v>1555995.0</v>
      </c>
      <c r="M2326" s="128">
        <v>937191.5</v>
      </c>
      <c r="N2326" s="128">
        <v>618803.3</v>
      </c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</row>
    <row r="2327">
      <c r="A2327" s="125" t="s">
        <v>466</v>
      </c>
      <c r="B2327" s="125" t="s">
        <v>496</v>
      </c>
      <c r="C2327" s="125" t="s">
        <v>480</v>
      </c>
      <c r="D2327" s="125" t="s">
        <v>454</v>
      </c>
      <c r="E2327" s="125" t="s">
        <v>472</v>
      </c>
      <c r="F2327" s="126">
        <v>42644.0</v>
      </c>
      <c r="G2327" s="127">
        <v>1.13E8</v>
      </c>
      <c r="H2327" s="126">
        <v>42657.0</v>
      </c>
      <c r="I2327" s="128">
        <v>622.0</v>
      </c>
      <c r="J2327" s="128">
        <v>437.2</v>
      </c>
      <c r="K2327" s="128">
        <v>263.33</v>
      </c>
      <c r="L2327" s="128">
        <v>271938.4</v>
      </c>
      <c r="M2327" s="128">
        <v>163791.3</v>
      </c>
      <c r="N2327" s="128">
        <v>108147.1</v>
      </c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</row>
    <row r="2328">
      <c r="A2328" s="125" t="s">
        <v>475</v>
      </c>
      <c r="B2328" s="125" t="s">
        <v>521</v>
      </c>
      <c r="C2328" s="125" t="s">
        <v>471</v>
      </c>
      <c r="D2328" s="125" t="s">
        <v>454</v>
      </c>
      <c r="E2328" s="125" t="s">
        <v>189</v>
      </c>
      <c r="F2328" s="126">
        <v>40692.0</v>
      </c>
      <c r="G2328" s="127">
        <v>1.72E8</v>
      </c>
      <c r="H2328" s="126">
        <v>40729.0</v>
      </c>
      <c r="I2328" s="128">
        <v>2051.0</v>
      </c>
      <c r="J2328" s="128">
        <v>109.28</v>
      </c>
      <c r="K2328" s="128">
        <v>35.84</v>
      </c>
      <c r="L2328" s="128">
        <v>224133.3</v>
      </c>
      <c r="M2328" s="128">
        <v>73507.84</v>
      </c>
      <c r="N2328" s="128">
        <v>150625.4</v>
      </c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</row>
    <row r="2329">
      <c r="A2329" s="125" t="s">
        <v>466</v>
      </c>
      <c r="B2329" s="125" t="s">
        <v>535</v>
      </c>
      <c r="C2329" s="125" t="s">
        <v>478</v>
      </c>
      <c r="D2329" s="125" t="s">
        <v>454</v>
      </c>
      <c r="E2329" s="125" t="s">
        <v>464</v>
      </c>
      <c r="F2329" s="126">
        <v>40944.0</v>
      </c>
      <c r="G2329" s="127">
        <v>1.17E8</v>
      </c>
      <c r="H2329" s="126">
        <v>40983.0</v>
      </c>
      <c r="I2329" s="128">
        <v>38.0</v>
      </c>
      <c r="J2329" s="128">
        <v>651.21</v>
      </c>
      <c r="K2329" s="128">
        <v>524.96</v>
      </c>
      <c r="L2329" s="128">
        <v>24745.98</v>
      </c>
      <c r="M2329" s="128">
        <v>19948.48</v>
      </c>
      <c r="N2329" s="128">
        <v>4797.5</v>
      </c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</row>
    <row r="2330">
      <c r="A2330" s="125" t="s">
        <v>458</v>
      </c>
      <c r="B2330" s="125" t="s">
        <v>553</v>
      </c>
      <c r="C2330" s="125" t="s">
        <v>480</v>
      </c>
      <c r="D2330" s="125" t="s">
        <v>454</v>
      </c>
      <c r="E2330" s="125" t="s">
        <v>189</v>
      </c>
      <c r="F2330" s="126">
        <v>41257.0</v>
      </c>
      <c r="G2330" s="127">
        <v>6.93E8</v>
      </c>
      <c r="H2330" s="126">
        <v>41278.0</v>
      </c>
      <c r="I2330" s="128">
        <v>8807.0</v>
      </c>
      <c r="J2330" s="128">
        <v>437.2</v>
      </c>
      <c r="K2330" s="128">
        <v>263.33</v>
      </c>
      <c r="L2330" s="128">
        <v>3850420.0</v>
      </c>
      <c r="M2330" s="128">
        <v>2319147.0</v>
      </c>
      <c r="N2330" s="128">
        <v>1531273.0</v>
      </c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</row>
    <row r="2331">
      <c r="A2331" s="125" t="s">
        <v>469</v>
      </c>
      <c r="B2331" s="125" t="s">
        <v>617</v>
      </c>
      <c r="C2331" s="125" t="s">
        <v>480</v>
      </c>
      <c r="D2331" s="125" t="s">
        <v>457</v>
      </c>
      <c r="E2331" s="125" t="s">
        <v>189</v>
      </c>
      <c r="F2331" s="126">
        <v>41259.0</v>
      </c>
      <c r="G2331" s="127">
        <v>9.11E8</v>
      </c>
      <c r="H2331" s="126">
        <v>41282.0</v>
      </c>
      <c r="I2331" s="128">
        <v>9613.0</v>
      </c>
      <c r="J2331" s="128">
        <v>437.2</v>
      </c>
      <c r="K2331" s="128">
        <v>263.33</v>
      </c>
      <c r="L2331" s="128">
        <v>4202804.0</v>
      </c>
      <c r="M2331" s="128">
        <v>2531391.0</v>
      </c>
      <c r="N2331" s="128">
        <v>1671412.0</v>
      </c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</row>
    <row r="2332">
      <c r="A2332" s="125" t="s">
        <v>451</v>
      </c>
      <c r="B2332" s="125" t="s">
        <v>550</v>
      </c>
      <c r="C2332" s="125" t="s">
        <v>506</v>
      </c>
      <c r="D2332" s="125" t="s">
        <v>454</v>
      </c>
      <c r="E2332" s="125" t="s">
        <v>472</v>
      </c>
      <c r="F2332" s="126">
        <v>40969.0</v>
      </c>
      <c r="G2332" s="127">
        <v>3.04E8</v>
      </c>
      <c r="H2332" s="126">
        <v>41017.0</v>
      </c>
      <c r="I2332" s="128">
        <v>5742.0</v>
      </c>
      <c r="J2332" s="128">
        <v>154.06</v>
      </c>
      <c r="K2332" s="128">
        <v>90.93</v>
      </c>
      <c r="L2332" s="128">
        <v>884612.5</v>
      </c>
      <c r="M2332" s="128">
        <v>522120.1</v>
      </c>
      <c r="N2332" s="128">
        <v>362492.5</v>
      </c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</row>
    <row r="2333">
      <c r="A2333" s="125" t="s">
        <v>469</v>
      </c>
      <c r="B2333" s="125" t="s">
        <v>501</v>
      </c>
      <c r="C2333" s="125" t="s">
        <v>514</v>
      </c>
      <c r="D2333" s="125" t="s">
        <v>454</v>
      </c>
      <c r="E2333" s="125" t="s">
        <v>464</v>
      </c>
      <c r="F2333" s="126">
        <v>42175.0</v>
      </c>
      <c r="G2333" s="127">
        <v>2.75E8</v>
      </c>
      <c r="H2333" s="126">
        <v>42211.0</v>
      </c>
      <c r="I2333" s="128">
        <v>7512.0</v>
      </c>
      <c r="J2333" s="128">
        <v>668.27</v>
      </c>
      <c r="K2333" s="128">
        <v>502.54</v>
      </c>
      <c r="L2333" s="128">
        <v>5020044.0</v>
      </c>
      <c r="M2333" s="128">
        <v>3775080.0</v>
      </c>
      <c r="N2333" s="128">
        <v>1244964.0</v>
      </c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</row>
    <row r="2334">
      <c r="A2334" s="125" t="s">
        <v>458</v>
      </c>
      <c r="B2334" s="125" t="s">
        <v>538</v>
      </c>
      <c r="C2334" s="125" t="s">
        <v>460</v>
      </c>
      <c r="D2334" s="125" t="s">
        <v>457</v>
      </c>
      <c r="E2334" s="125" t="s">
        <v>464</v>
      </c>
      <c r="F2334" s="126">
        <v>41524.0</v>
      </c>
      <c r="G2334" s="127">
        <v>9.48E8</v>
      </c>
      <c r="H2334" s="126">
        <v>41567.0</v>
      </c>
      <c r="I2334" s="128">
        <v>7271.0</v>
      </c>
      <c r="J2334" s="128">
        <v>47.45</v>
      </c>
      <c r="K2334" s="128">
        <v>31.79</v>
      </c>
      <c r="L2334" s="128">
        <v>345009.0</v>
      </c>
      <c r="M2334" s="128">
        <v>231145.1</v>
      </c>
      <c r="N2334" s="128">
        <v>113863.9</v>
      </c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</row>
    <row r="2335">
      <c r="A2335" s="125" t="s">
        <v>469</v>
      </c>
      <c r="B2335" s="125" t="s">
        <v>634</v>
      </c>
      <c r="C2335" s="125" t="s">
        <v>460</v>
      </c>
      <c r="D2335" s="125" t="s">
        <v>457</v>
      </c>
      <c r="E2335" s="125" t="s">
        <v>464</v>
      </c>
      <c r="F2335" s="126">
        <v>40200.0</v>
      </c>
      <c r="G2335" s="127">
        <v>7.16E8</v>
      </c>
      <c r="H2335" s="126">
        <v>40210.0</v>
      </c>
      <c r="I2335" s="128">
        <v>4398.0</v>
      </c>
      <c r="J2335" s="128">
        <v>47.45</v>
      </c>
      <c r="K2335" s="128">
        <v>31.79</v>
      </c>
      <c r="L2335" s="128">
        <v>208685.1</v>
      </c>
      <c r="M2335" s="128">
        <v>139812.4</v>
      </c>
      <c r="N2335" s="128">
        <v>68872.68</v>
      </c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</row>
    <row r="2336">
      <c r="A2336" s="125" t="s">
        <v>461</v>
      </c>
      <c r="B2336" s="125" t="s">
        <v>595</v>
      </c>
      <c r="C2336" s="125" t="s">
        <v>494</v>
      </c>
      <c r="D2336" s="125" t="s">
        <v>457</v>
      </c>
      <c r="E2336" s="125" t="s">
        <v>284</v>
      </c>
      <c r="F2336" s="126">
        <v>42543.0</v>
      </c>
      <c r="G2336" s="127">
        <v>2.94E8</v>
      </c>
      <c r="H2336" s="126">
        <v>42588.0</v>
      </c>
      <c r="I2336" s="128">
        <v>306.0</v>
      </c>
      <c r="J2336" s="128">
        <v>9.33</v>
      </c>
      <c r="K2336" s="128">
        <v>6.92</v>
      </c>
      <c r="L2336" s="128">
        <v>2854.98</v>
      </c>
      <c r="M2336" s="128">
        <v>2117.52</v>
      </c>
      <c r="N2336" s="128">
        <v>737.46</v>
      </c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</row>
    <row r="2337">
      <c r="A2337" s="125" t="s">
        <v>475</v>
      </c>
      <c r="B2337" s="125" t="s">
        <v>504</v>
      </c>
      <c r="C2337" s="125" t="s">
        <v>468</v>
      </c>
      <c r="D2337" s="125" t="s">
        <v>457</v>
      </c>
      <c r="E2337" s="125" t="s">
        <v>284</v>
      </c>
      <c r="F2337" s="126">
        <v>40835.0</v>
      </c>
      <c r="G2337" s="127">
        <v>4.66E8</v>
      </c>
      <c r="H2337" s="126">
        <v>40875.0</v>
      </c>
      <c r="I2337" s="128">
        <v>3436.0</v>
      </c>
      <c r="J2337" s="128">
        <v>81.73</v>
      </c>
      <c r="K2337" s="128">
        <v>56.67</v>
      </c>
      <c r="L2337" s="128">
        <v>280824.3</v>
      </c>
      <c r="M2337" s="128">
        <v>194718.1</v>
      </c>
      <c r="N2337" s="128">
        <v>86106.16</v>
      </c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</row>
    <row r="2338">
      <c r="A2338" s="125" t="s">
        <v>466</v>
      </c>
      <c r="B2338" s="125" t="s">
        <v>524</v>
      </c>
      <c r="C2338" s="125" t="s">
        <v>485</v>
      </c>
      <c r="D2338" s="125" t="s">
        <v>457</v>
      </c>
      <c r="E2338" s="125" t="s">
        <v>284</v>
      </c>
      <c r="F2338" s="126">
        <v>41575.0</v>
      </c>
      <c r="G2338" s="127">
        <v>7.37E8</v>
      </c>
      <c r="H2338" s="126">
        <v>41579.0</v>
      </c>
      <c r="I2338" s="128">
        <v>4262.0</v>
      </c>
      <c r="J2338" s="128">
        <v>421.89</v>
      </c>
      <c r="K2338" s="128">
        <v>364.69</v>
      </c>
      <c r="L2338" s="128">
        <v>1798095.0</v>
      </c>
      <c r="M2338" s="128">
        <v>1554309.0</v>
      </c>
      <c r="N2338" s="128">
        <v>243786.4</v>
      </c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</row>
    <row r="2339">
      <c r="A2339" s="125" t="s">
        <v>475</v>
      </c>
      <c r="B2339" s="125" t="s">
        <v>619</v>
      </c>
      <c r="C2339" s="125" t="s">
        <v>478</v>
      </c>
      <c r="D2339" s="125" t="s">
        <v>457</v>
      </c>
      <c r="E2339" s="125" t="s">
        <v>284</v>
      </c>
      <c r="F2339" s="126">
        <v>41972.0</v>
      </c>
      <c r="G2339" s="127">
        <v>6.82E8</v>
      </c>
      <c r="H2339" s="126">
        <v>42005.0</v>
      </c>
      <c r="I2339" s="128">
        <v>289.0</v>
      </c>
      <c r="J2339" s="128">
        <v>651.21</v>
      </c>
      <c r="K2339" s="128">
        <v>524.96</v>
      </c>
      <c r="L2339" s="128">
        <v>188199.7</v>
      </c>
      <c r="M2339" s="128">
        <v>151713.4</v>
      </c>
      <c r="N2339" s="128">
        <v>36486.25</v>
      </c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</row>
    <row r="2340">
      <c r="A2340" s="125" t="s">
        <v>458</v>
      </c>
      <c r="B2340" s="125" t="s">
        <v>643</v>
      </c>
      <c r="C2340" s="125" t="s">
        <v>468</v>
      </c>
      <c r="D2340" s="125" t="s">
        <v>457</v>
      </c>
      <c r="E2340" s="125" t="s">
        <v>464</v>
      </c>
      <c r="F2340" s="126">
        <v>42390.0</v>
      </c>
      <c r="G2340" s="127">
        <v>3.96E8</v>
      </c>
      <c r="H2340" s="126">
        <v>42426.0</v>
      </c>
      <c r="I2340" s="128">
        <v>1053.0</v>
      </c>
      <c r="J2340" s="128">
        <v>81.73</v>
      </c>
      <c r="K2340" s="128">
        <v>56.67</v>
      </c>
      <c r="L2340" s="128">
        <v>86061.69</v>
      </c>
      <c r="M2340" s="128">
        <v>59673.51</v>
      </c>
      <c r="N2340" s="128">
        <v>26388.18</v>
      </c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</row>
    <row r="2341">
      <c r="A2341" s="125" t="s">
        <v>461</v>
      </c>
      <c r="B2341" s="125" t="s">
        <v>644</v>
      </c>
      <c r="C2341" s="125" t="s">
        <v>485</v>
      </c>
      <c r="D2341" s="125" t="s">
        <v>454</v>
      </c>
      <c r="E2341" s="125" t="s">
        <v>472</v>
      </c>
      <c r="F2341" s="126">
        <v>42197.0</v>
      </c>
      <c r="G2341" s="127">
        <v>9.46E8</v>
      </c>
      <c r="H2341" s="126">
        <v>42205.0</v>
      </c>
      <c r="I2341" s="128">
        <v>3121.0</v>
      </c>
      <c r="J2341" s="128">
        <v>421.89</v>
      </c>
      <c r="K2341" s="128">
        <v>364.69</v>
      </c>
      <c r="L2341" s="128">
        <v>1316719.0</v>
      </c>
      <c r="M2341" s="128">
        <v>1138197.0</v>
      </c>
      <c r="N2341" s="128">
        <v>178521.2</v>
      </c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</row>
    <row r="2342">
      <c r="A2342" s="125" t="s">
        <v>461</v>
      </c>
      <c r="B2342" s="125" t="s">
        <v>525</v>
      </c>
      <c r="C2342" s="125" t="s">
        <v>480</v>
      </c>
      <c r="D2342" s="125" t="s">
        <v>454</v>
      </c>
      <c r="E2342" s="125" t="s">
        <v>284</v>
      </c>
      <c r="F2342" s="126">
        <v>41152.0</v>
      </c>
      <c r="G2342" s="127">
        <v>3.16E8</v>
      </c>
      <c r="H2342" s="126">
        <v>41166.0</v>
      </c>
      <c r="I2342" s="128">
        <v>5093.0</v>
      </c>
      <c r="J2342" s="128">
        <v>437.2</v>
      </c>
      <c r="K2342" s="128">
        <v>263.33</v>
      </c>
      <c r="L2342" s="128">
        <v>2226660.0</v>
      </c>
      <c r="M2342" s="128">
        <v>1341140.0</v>
      </c>
      <c r="N2342" s="128">
        <v>885519.9</v>
      </c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</row>
    <row r="2343">
      <c r="A2343" s="125" t="s">
        <v>458</v>
      </c>
      <c r="B2343" s="125" t="s">
        <v>533</v>
      </c>
      <c r="C2343" s="125" t="s">
        <v>460</v>
      </c>
      <c r="D2343" s="125" t="s">
        <v>457</v>
      </c>
      <c r="E2343" s="125" t="s">
        <v>189</v>
      </c>
      <c r="F2343" s="126">
        <v>40785.0</v>
      </c>
      <c r="G2343" s="127">
        <v>1.63E8</v>
      </c>
      <c r="H2343" s="126">
        <v>40835.0</v>
      </c>
      <c r="I2343" s="128">
        <v>2598.0</v>
      </c>
      <c r="J2343" s="128">
        <v>47.45</v>
      </c>
      <c r="K2343" s="128">
        <v>31.79</v>
      </c>
      <c r="L2343" s="128">
        <v>123275.1</v>
      </c>
      <c r="M2343" s="128">
        <v>82590.42</v>
      </c>
      <c r="N2343" s="128">
        <v>40684.68</v>
      </c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</row>
    <row r="2344">
      <c r="A2344" s="125" t="s">
        <v>461</v>
      </c>
      <c r="B2344" s="125" t="s">
        <v>462</v>
      </c>
      <c r="C2344" s="125" t="s">
        <v>514</v>
      </c>
      <c r="D2344" s="125" t="s">
        <v>454</v>
      </c>
      <c r="E2344" s="125" t="s">
        <v>189</v>
      </c>
      <c r="F2344" s="126">
        <v>40249.0</v>
      </c>
      <c r="G2344" s="127">
        <v>8.64E8</v>
      </c>
      <c r="H2344" s="126">
        <v>40277.0</v>
      </c>
      <c r="I2344" s="128">
        <v>3297.0</v>
      </c>
      <c r="J2344" s="128">
        <v>668.27</v>
      </c>
      <c r="K2344" s="128">
        <v>502.54</v>
      </c>
      <c r="L2344" s="128">
        <v>2203286.0</v>
      </c>
      <c r="M2344" s="128">
        <v>1656874.0</v>
      </c>
      <c r="N2344" s="128">
        <v>546411.8</v>
      </c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</row>
    <row r="2345">
      <c r="A2345" s="125" t="s">
        <v>461</v>
      </c>
      <c r="B2345" s="125" t="s">
        <v>644</v>
      </c>
      <c r="C2345" s="125" t="s">
        <v>485</v>
      </c>
      <c r="D2345" s="125" t="s">
        <v>454</v>
      </c>
      <c r="E2345" s="125" t="s">
        <v>464</v>
      </c>
      <c r="F2345" s="126">
        <v>40470.0</v>
      </c>
      <c r="G2345" s="127">
        <v>1.66E8</v>
      </c>
      <c r="H2345" s="126">
        <v>40520.0</v>
      </c>
      <c r="I2345" s="128">
        <v>1882.0</v>
      </c>
      <c r="J2345" s="128">
        <v>421.89</v>
      </c>
      <c r="K2345" s="128">
        <v>364.69</v>
      </c>
      <c r="L2345" s="128">
        <v>793997.0</v>
      </c>
      <c r="M2345" s="128">
        <v>686346.6</v>
      </c>
      <c r="N2345" s="128">
        <v>107650.4</v>
      </c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</row>
    <row r="2346">
      <c r="A2346" s="125" t="s">
        <v>458</v>
      </c>
      <c r="B2346" s="125" t="s">
        <v>505</v>
      </c>
      <c r="C2346" s="125" t="s">
        <v>480</v>
      </c>
      <c r="D2346" s="125" t="s">
        <v>454</v>
      </c>
      <c r="E2346" s="125" t="s">
        <v>189</v>
      </c>
      <c r="F2346" s="126">
        <v>42761.0</v>
      </c>
      <c r="G2346" s="127">
        <v>8.35E8</v>
      </c>
      <c r="H2346" s="126">
        <v>42790.0</v>
      </c>
      <c r="I2346" s="128">
        <v>5077.0</v>
      </c>
      <c r="J2346" s="128">
        <v>437.2</v>
      </c>
      <c r="K2346" s="128">
        <v>263.33</v>
      </c>
      <c r="L2346" s="128">
        <v>2219664.0</v>
      </c>
      <c r="M2346" s="128">
        <v>1336926.0</v>
      </c>
      <c r="N2346" s="128">
        <v>882738.0</v>
      </c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</row>
    <row r="2347">
      <c r="A2347" s="125" t="s">
        <v>475</v>
      </c>
      <c r="B2347" s="125" t="s">
        <v>640</v>
      </c>
      <c r="C2347" s="125" t="s">
        <v>471</v>
      </c>
      <c r="D2347" s="125" t="s">
        <v>457</v>
      </c>
      <c r="E2347" s="125" t="s">
        <v>284</v>
      </c>
      <c r="F2347" s="126">
        <v>41910.0</v>
      </c>
      <c r="G2347" s="127">
        <v>3.11E8</v>
      </c>
      <c r="H2347" s="126">
        <v>41927.0</v>
      </c>
      <c r="I2347" s="128">
        <v>6638.0</v>
      </c>
      <c r="J2347" s="128">
        <v>109.28</v>
      </c>
      <c r="K2347" s="128">
        <v>35.84</v>
      </c>
      <c r="L2347" s="128">
        <v>725400.6</v>
      </c>
      <c r="M2347" s="128">
        <v>237905.9</v>
      </c>
      <c r="N2347" s="128">
        <v>487494.7</v>
      </c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</row>
    <row r="2348">
      <c r="A2348" s="125" t="s">
        <v>458</v>
      </c>
      <c r="B2348" s="125" t="s">
        <v>563</v>
      </c>
      <c r="C2348" s="125" t="s">
        <v>514</v>
      </c>
      <c r="D2348" s="125" t="s">
        <v>457</v>
      </c>
      <c r="E2348" s="125" t="s">
        <v>284</v>
      </c>
      <c r="F2348" s="126">
        <v>41393.0</v>
      </c>
      <c r="G2348" s="127">
        <v>1.49E8</v>
      </c>
      <c r="H2348" s="126">
        <v>41423.0</v>
      </c>
      <c r="I2348" s="128">
        <v>2350.0</v>
      </c>
      <c r="J2348" s="128">
        <v>668.27</v>
      </c>
      <c r="K2348" s="128">
        <v>502.54</v>
      </c>
      <c r="L2348" s="128">
        <v>1570435.0</v>
      </c>
      <c r="M2348" s="128">
        <v>1180969.0</v>
      </c>
      <c r="N2348" s="128">
        <v>389465.5</v>
      </c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</row>
    <row r="2349">
      <c r="A2349" s="125" t="s">
        <v>466</v>
      </c>
      <c r="B2349" s="125" t="s">
        <v>491</v>
      </c>
      <c r="C2349" s="125" t="s">
        <v>460</v>
      </c>
      <c r="D2349" s="125" t="s">
        <v>457</v>
      </c>
      <c r="E2349" s="125" t="s">
        <v>472</v>
      </c>
      <c r="F2349" s="126">
        <v>40925.0</v>
      </c>
      <c r="G2349" s="127">
        <v>1.79E8</v>
      </c>
      <c r="H2349" s="126">
        <v>40946.0</v>
      </c>
      <c r="I2349" s="128">
        <v>5030.0</v>
      </c>
      <c r="J2349" s="128">
        <v>47.45</v>
      </c>
      <c r="K2349" s="128">
        <v>31.79</v>
      </c>
      <c r="L2349" s="128">
        <v>238673.5</v>
      </c>
      <c r="M2349" s="128">
        <v>159903.7</v>
      </c>
      <c r="N2349" s="128">
        <v>78769.8</v>
      </c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</row>
    <row r="2350">
      <c r="A2350" s="125" t="s">
        <v>475</v>
      </c>
      <c r="B2350" s="125" t="s">
        <v>588</v>
      </c>
      <c r="C2350" s="125" t="s">
        <v>471</v>
      </c>
      <c r="D2350" s="125" t="s">
        <v>454</v>
      </c>
      <c r="E2350" s="125" t="s">
        <v>189</v>
      </c>
      <c r="F2350" s="126">
        <v>40610.0</v>
      </c>
      <c r="G2350" s="127">
        <v>7.5E8</v>
      </c>
      <c r="H2350" s="126">
        <v>40617.0</v>
      </c>
      <c r="I2350" s="128">
        <v>9527.0</v>
      </c>
      <c r="J2350" s="128">
        <v>109.28</v>
      </c>
      <c r="K2350" s="128">
        <v>35.84</v>
      </c>
      <c r="L2350" s="128">
        <v>1041111.0</v>
      </c>
      <c r="M2350" s="128">
        <v>341447.7</v>
      </c>
      <c r="N2350" s="128">
        <v>699662.9</v>
      </c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</row>
    <row r="2351">
      <c r="A2351" s="125" t="s">
        <v>469</v>
      </c>
      <c r="B2351" s="125" t="s">
        <v>569</v>
      </c>
      <c r="C2351" s="125" t="s">
        <v>453</v>
      </c>
      <c r="D2351" s="125" t="s">
        <v>457</v>
      </c>
      <c r="E2351" s="125" t="s">
        <v>284</v>
      </c>
      <c r="F2351" s="126">
        <v>42323.0</v>
      </c>
      <c r="G2351" s="127">
        <v>4.79E8</v>
      </c>
      <c r="H2351" s="126">
        <v>42367.0</v>
      </c>
      <c r="I2351" s="128">
        <v>7721.0</v>
      </c>
      <c r="J2351" s="128">
        <v>255.28</v>
      </c>
      <c r="K2351" s="128">
        <v>159.42</v>
      </c>
      <c r="L2351" s="128">
        <v>1971017.0</v>
      </c>
      <c r="M2351" s="128">
        <v>1230882.0</v>
      </c>
      <c r="N2351" s="128">
        <v>740135.1</v>
      </c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</row>
    <row r="2352">
      <c r="A2352" s="125" t="s">
        <v>469</v>
      </c>
      <c r="B2352" s="125" t="s">
        <v>569</v>
      </c>
      <c r="C2352" s="125" t="s">
        <v>460</v>
      </c>
      <c r="D2352" s="125" t="s">
        <v>454</v>
      </c>
      <c r="E2352" s="125" t="s">
        <v>464</v>
      </c>
      <c r="F2352" s="126">
        <v>42798.0</v>
      </c>
      <c r="G2352" s="127">
        <v>3.06E8</v>
      </c>
      <c r="H2352" s="126">
        <v>42848.0</v>
      </c>
      <c r="I2352" s="128">
        <v>3524.0</v>
      </c>
      <c r="J2352" s="128">
        <v>47.45</v>
      </c>
      <c r="K2352" s="128">
        <v>31.79</v>
      </c>
      <c r="L2352" s="128">
        <v>167213.8</v>
      </c>
      <c r="M2352" s="128">
        <v>112028.0</v>
      </c>
      <c r="N2352" s="128">
        <v>55185.84</v>
      </c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</row>
    <row r="2353">
      <c r="A2353" s="125" t="s">
        <v>461</v>
      </c>
      <c r="B2353" s="125" t="s">
        <v>599</v>
      </c>
      <c r="C2353" s="125" t="s">
        <v>460</v>
      </c>
      <c r="D2353" s="125" t="s">
        <v>454</v>
      </c>
      <c r="E2353" s="125" t="s">
        <v>284</v>
      </c>
      <c r="F2353" s="126">
        <v>40539.0</v>
      </c>
      <c r="G2353" s="127">
        <v>3.4E8</v>
      </c>
      <c r="H2353" s="126">
        <v>40569.0</v>
      </c>
      <c r="I2353" s="128">
        <v>7877.0</v>
      </c>
      <c r="J2353" s="128">
        <v>47.45</v>
      </c>
      <c r="K2353" s="128">
        <v>31.79</v>
      </c>
      <c r="L2353" s="128">
        <v>373763.7</v>
      </c>
      <c r="M2353" s="128">
        <v>250409.8</v>
      </c>
      <c r="N2353" s="128">
        <v>123353.8</v>
      </c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</row>
    <row r="2354">
      <c r="A2354" s="125" t="s">
        <v>458</v>
      </c>
      <c r="B2354" s="125" t="s">
        <v>493</v>
      </c>
      <c r="C2354" s="125" t="s">
        <v>480</v>
      </c>
      <c r="D2354" s="125" t="s">
        <v>457</v>
      </c>
      <c r="E2354" s="125" t="s">
        <v>284</v>
      </c>
      <c r="F2354" s="126">
        <v>42739.0</v>
      </c>
      <c r="G2354" s="127">
        <v>3.12E8</v>
      </c>
      <c r="H2354" s="126">
        <v>42745.0</v>
      </c>
      <c r="I2354" s="128">
        <v>3755.0</v>
      </c>
      <c r="J2354" s="128">
        <v>437.2</v>
      </c>
      <c r="K2354" s="128">
        <v>263.33</v>
      </c>
      <c r="L2354" s="128">
        <v>1641686.0</v>
      </c>
      <c r="M2354" s="128">
        <v>988804.2</v>
      </c>
      <c r="N2354" s="128">
        <v>652881.9</v>
      </c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</row>
    <row r="2355">
      <c r="A2355" s="125" t="s">
        <v>458</v>
      </c>
      <c r="B2355" s="125" t="s">
        <v>538</v>
      </c>
      <c r="C2355" s="125" t="s">
        <v>453</v>
      </c>
      <c r="D2355" s="125" t="s">
        <v>457</v>
      </c>
      <c r="E2355" s="125" t="s">
        <v>464</v>
      </c>
      <c r="F2355" s="126">
        <v>41764.0</v>
      </c>
      <c r="G2355" s="127">
        <v>9.21E8</v>
      </c>
      <c r="H2355" s="126">
        <v>41802.0</v>
      </c>
      <c r="I2355" s="128">
        <v>1161.0</v>
      </c>
      <c r="J2355" s="128">
        <v>255.28</v>
      </c>
      <c r="K2355" s="128">
        <v>159.42</v>
      </c>
      <c r="L2355" s="128">
        <v>296380.1</v>
      </c>
      <c r="M2355" s="128">
        <v>185086.6</v>
      </c>
      <c r="N2355" s="128">
        <v>111293.5</v>
      </c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</row>
    <row r="2356">
      <c r="A2356" s="125" t="s">
        <v>461</v>
      </c>
      <c r="B2356" s="125" t="s">
        <v>510</v>
      </c>
      <c r="C2356" s="125" t="s">
        <v>485</v>
      </c>
      <c r="D2356" s="125" t="s">
        <v>454</v>
      </c>
      <c r="E2356" s="125" t="s">
        <v>464</v>
      </c>
      <c r="F2356" s="126">
        <v>41437.0</v>
      </c>
      <c r="G2356" s="127">
        <v>6.87E8</v>
      </c>
      <c r="H2356" s="126">
        <v>41481.0</v>
      </c>
      <c r="I2356" s="128">
        <v>2133.0</v>
      </c>
      <c r="J2356" s="128">
        <v>421.89</v>
      </c>
      <c r="K2356" s="128">
        <v>364.69</v>
      </c>
      <c r="L2356" s="128">
        <v>899891.4</v>
      </c>
      <c r="M2356" s="128">
        <v>777883.8</v>
      </c>
      <c r="N2356" s="128">
        <v>122007.6</v>
      </c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</row>
    <row r="2357">
      <c r="A2357" s="125" t="s">
        <v>475</v>
      </c>
      <c r="B2357" s="125" t="s">
        <v>527</v>
      </c>
      <c r="C2357" s="125" t="s">
        <v>514</v>
      </c>
      <c r="D2357" s="125" t="s">
        <v>457</v>
      </c>
      <c r="E2357" s="125" t="s">
        <v>284</v>
      </c>
      <c r="F2357" s="126">
        <v>41817.0</v>
      </c>
      <c r="G2357" s="127">
        <v>9.01E8</v>
      </c>
      <c r="H2357" s="126">
        <v>41852.0</v>
      </c>
      <c r="I2357" s="128">
        <v>5737.0</v>
      </c>
      <c r="J2357" s="128">
        <v>668.27</v>
      </c>
      <c r="K2357" s="128">
        <v>502.54</v>
      </c>
      <c r="L2357" s="128">
        <v>3833865.0</v>
      </c>
      <c r="M2357" s="128">
        <v>2883072.0</v>
      </c>
      <c r="N2357" s="128">
        <v>950793.0</v>
      </c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</row>
    <row r="2358">
      <c r="A2358" s="125" t="s">
        <v>475</v>
      </c>
      <c r="B2358" s="125" t="s">
        <v>601</v>
      </c>
      <c r="C2358" s="125" t="s">
        <v>485</v>
      </c>
      <c r="D2358" s="125" t="s">
        <v>454</v>
      </c>
      <c r="E2358" s="125" t="s">
        <v>284</v>
      </c>
      <c r="F2358" s="126">
        <v>40589.0</v>
      </c>
      <c r="G2358" s="127">
        <v>6.75E8</v>
      </c>
      <c r="H2358" s="126">
        <v>40625.0</v>
      </c>
      <c r="I2358" s="128">
        <v>3072.0</v>
      </c>
      <c r="J2358" s="128">
        <v>421.89</v>
      </c>
      <c r="K2358" s="128">
        <v>364.69</v>
      </c>
      <c r="L2358" s="128">
        <v>1296046.0</v>
      </c>
      <c r="M2358" s="128">
        <v>1120328.0</v>
      </c>
      <c r="N2358" s="128">
        <v>175718.4</v>
      </c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</row>
    <row r="2359">
      <c r="A2359" s="125" t="s">
        <v>475</v>
      </c>
      <c r="B2359" s="125" t="s">
        <v>500</v>
      </c>
      <c r="C2359" s="125" t="s">
        <v>460</v>
      </c>
      <c r="D2359" s="125" t="s">
        <v>457</v>
      </c>
      <c r="E2359" s="125" t="s">
        <v>284</v>
      </c>
      <c r="F2359" s="126">
        <v>42740.0</v>
      </c>
      <c r="G2359" s="127">
        <v>9.89E8</v>
      </c>
      <c r="H2359" s="126">
        <v>42745.0</v>
      </c>
      <c r="I2359" s="128">
        <v>2269.0</v>
      </c>
      <c r="J2359" s="128">
        <v>47.45</v>
      </c>
      <c r="K2359" s="128">
        <v>31.79</v>
      </c>
      <c r="L2359" s="128">
        <v>107664.1</v>
      </c>
      <c r="M2359" s="128">
        <v>72131.51</v>
      </c>
      <c r="N2359" s="128">
        <v>35532.54</v>
      </c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</row>
    <row r="2360">
      <c r="A2360" s="125" t="s">
        <v>461</v>
      </c>
      <c r="B2360" s="125" t="s">
        <v>638</v>
      </c>
      <c r="C2360" s="125" t="s">
        <v>514</v>
      </c>
      <c r="D2360" s="125" t="s">
        <v>457</v>
      </c>
      <c r="E2360" s="125" t="s">
        <v>464</v>
      </c>
      <c r="F2360" s="126">
        <v>42583.0</v>
      </c>
      <c r="G2360" s="127">
        <v>6.45E8</v>
      </c>
      <c r="H2360" s="126">
        <v>42604.0</v>
      </c>
      <c r="I2360" s="128">
        <v>3488.0</v>
      </c>
      <c r="J2360" s="128">
        <v>668.27</v>
      </c>
      <c r="K2360" s="128">
        <v>502.54</v>
      </c>
      <c r="L2360" s="128">
        <v>2330926.0</v>
      </c>
      <c r="M2360" s="128">
        <v>1752860.0</v>
      </c>
      <c r="N2360" s="128">
        <v>578066.2</v>
      </c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</row>
    <row r="2361">
      <c r="A2361" s="125" t="s">
        <v>461</v>
      </c>
      <c r="B2361" s="125" t="s">
        <v>621</v>
      </c>
      <c r="C2361" s="125" t="s">
        <v>485</v>
      </c>
      <c r="D2361" s="125" t="s">
        <v>454</v>
      </c>
      <c r="E2361" s="125" t="s">
        <v>472</v>
      </c>
      <c r="F2361" s="126">
        <v>41735.0</v>
      </c>
      <c r="G2361" s="127">
        <v>3.16E8</v>
      </c>
      <c r="H2361" s="126">
        <v>41779.0</v>
      </c>
      <c r="I2361" s="128">
        <v>3921.0</v>
      </c>
      <c r="J2361" s="128">
        <v>421.89</v>
      </c>
      <c r="K2361" s="128">
        <v>364.69</v>
      </c>
      <c r="L2361" s="128">
        <v>1654231.0</v>
      </c>
      <c r="M2361" s="128">
        <v>1429949.0</v>
      </c>
      <c r="N2361" s="128">
        <v>224281.2</v>
      </c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</row>
    <row r="2362">
      <c r="A2362" s="125" t="s">
        <v>466</v>
      </c>
      <c r="B2362" s="125" t="s">
        <v>625</v>
      </c>
      <c r="C2362" s="125" t="s">
        <v>463</v>
      </c>
      <c r="D2362" s="125" t="s">
        <v>457</v>
      </c>
      <c r="E2362" s="125" t="s">
        <v>284</v>
      </c>
      <c r="F2362" s="126">
        <v>42201.0</v>
      </c>
      <c r="G2362" s="127">
        <v>2.92E8</v>
      </c>
      <c r="H2362" s="126">
        <v>42201.0</v>
      </c>
      <c r="I2362" s="128">
        <v>2793.0</v>
      </c>
      <c r="J2362" s="128">
        <v>205.7</v>
      </c>
      <c r="K2362" s="128">
        <v>117.11</v>
      </c>
      <c r="L2362" s="128">
        <v>574520.1</v>
      </c>
      <c r="M2362" s="128">
        <v>327088.2</v>
      </c>
      <c r="N2362" s="128">
        <v>247431.9</v>
      </c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</row>
    <row r="2363">
      <c r="A2363" s="125" t="s">
        <v>466</v>
      </c>
      <c r="B2363" s="125" t="s">
        <v>492</v>
      </c>
      <c r="C2363" s="125" t="s">
        <v>453</v>
      </c>
      <c r="D2363" s="125" t="s">
        <v>457</v>
      </c>
      <c r="E2363" s="125" t="s">
        <v>189</v>
      </c>
      <c r="F2363" s="126">
        <v>42226.0</v>
      </c>
      <c r="G2363" s="127">
        <v>9.38E8</v>
      </c>
      <c r="H2363" s="126">
        <v>42232.0</v>
      </c>
      <c r="I2363" s="128">
        <v>6358.0</v>
      </c>
      <c r="J2363" s="128">
        <v>255.28</v>
      </c>
      <c r="K2363" s="128">
        <v>159.42</v>
      </c>
      <c r="L2363" s="128">
        <v>1623070.0</v>
      </c>
      <c r="M2363" s="128">
        <v>1013592.0</v>
      </c>
      <c r="N2363" s="128">
        <v>609477.9</v>
      </c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</row>
    <row r="2364">
      <c r="A2364" s="125" t="s">
        <v>458</v>
      </c>
      <c r="B2364" s="125" t="s">
        <v>518</v>
      </c>
      <c r="C2364" s="125" t="s">
        <v>468</v>
      </c>
      <c r="D2364" s="125" t="s">
        <v>454</v>
      </c>
      <c r="E2364" s="125" t="s">
        <v>464</v>
      </c>
      <c r="F2364" s="126">
        <v>40446.0</v>
      </c>
      <c r="G2364" s="127">
        <v>4.34E8</v>
      </c>
      <c r="H2364" s="126">
        <v>40485.0</v>
      </c>
      <c r="I2364" s="128">
        <v>2902.0</v>
      </c>
      <c r="J2364" s="128">
        <v>81.73</v>
      </c>
      <c r="K2364" s="128">
        <v>56.67</v>
      </c>
      <c r="L2364" s="128">
        <v>237180.5</v>
      </c>
      <c r="M2364" s="128">
        <v>164456.3</v>
      </c>
      <c r="N2364" s="128">
        <v>72724.12</v>
      </c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</row>
    <row r="2365">
      <c r="A2365" s="125" t="s">
        <v>466</v>
      </c>
      <c r="B2365" s="125" t="s">
        <v>508</v>
      </c>
      <c r="C2365" s="125" t="s">
        <v>468</v>
      </c>
      <c r="D2365" s="125" t="s">
        <v>457</v>
      </c>
      <c r="E2365" s="125" t="s">
        <v>464</v>
      </c>
      <c r="F2365" s="126">
        <v>42798.0</v>
      </c>
      <c r="G2365" s="127">
        <v>6.36E8</v>
      </c>
      <c r="H2365" s="126">
        <v>42812.0</v>
      </c>
      <c r="I2365" s="128">
        <v>7743.0</v>
      </c>
      <c r="J2365" s="128">
        <v>81.73</v>
      </c>
      <c r="K2365" s="128">
        <v>56.67</v>
      </c>
      <c r="L2365" s="128">
        <v>632835.4</v>
      </c>
      <c r="M2365" s="128">
        <v>438795.8</v>
      </c>
      <c r="N2365" s="128">
        <v>194039.6</v>
      </c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</row>
    <row r="2366">
      <c r="A2366" s="125" t="s">
        <v>458</v>
      </c>
      <c r="B2366" s="125" t="s">
        <v>493</v>
      </c>
      <c r="C2366" s="125" t="s">
        <v>453</v>
      </c>
      <c r="D2366" s="125" t="s">
        <v>457</v>
      </c>
      <c r="E2366" s="125" t="s">
        <v>472</v>
      </c>
      <c r="F2366" s="126">
        <v>41781.0</v>
      </c>
      <c r="G2366" s="127">
        <v>3.16E8</v>
      </c>
      <c r="H2366" s="126">
        <v>41792.0</v>
      </c>
      <c r="I2366" s="128">
        <v>8229.0</v>
      </c>
      <c r="J2366" s="128">
        <v>255.28</v>
      </c>
      <c r="K2366" s="128">
        <v>159.42</v>
      </c>
      <c r="L2366" s="128">
        <v>2100699.0</v>
      </c>
      <c r="M2366" s="128">
        <v>1311867.0</v>
      </c>
      <c r="N2366" s="128">
        <v>788831.9</v>
      </c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</row>
    <row r="2367">
      <c r="A2367" s="125" t="s">
        <v>461</v>
      </c>
      <c r="B2367" s="125" t="s">
        <v>481</v>
      </c>
      <c r="C2367" s="125" t="s">
        <v>506</v>
      </c>
      <c r="D2367" s="125" t="s">
        <v>457</v>
      </c>
      <c r="E2367" s="125" t="s">
        <v>472</v>
      </c>
      <c r="F2367" s="126">
        <v>42728.0</v>
      </c>
      <c r="G2367" s="127">
        <v>1.19E8</v>
      </c>
      <c r="H2367" s="126">
        <v>42776.0</v>
      </c>
      <c r="I2367" s="128">
        <v>8740.0</v>
      </c>
      <c r="J2367" s="128">
        <v>154.06</v>
      </c>
      <c r="K2367" s="128">
        <v>90.93</v>
      </c>
      <c r="L2367" s="128">
        <v>1346484.0</v>
      </c>
      <c r="M2367" s="128">
        <v>794728.2</v>
      </c>
      <c r="N2367" s="128">
        <v>551756.2</v>
      </c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</row>
    <row r="2368">
      <c r="A2368" s="125" t="s">
        <v>451</v>
      </c>
      <c r="B2368" s="125" t="s">
        <v>587</v>
      </c>
      <c r="C2368" s="125" t="s">
        <v>514</v>
      </c>
      <c r="D2368" s="125" t="s">
        <v>454</v>
      </c>
      <c r="E2368" s="125" t="s">
        <v>284</v>
      </c>
      <c r="F2368" s="126">
        <v>40297.0</v>
      </c>
      <c r="G2368" s="127">
        <v>3.07E8</v>
      </c>
      <c r="H2368" s="126">
        <v>40302.0</v>
      </c>
      <c r="I2368" s="128">
        <v>5688.0</v>
      </c>
      <c r="J2368" s="128">
        <v>668.27</v>
      </c>
      <c r="K2368" s="128">
        <v>502.54</v>
      </c>
      <c r="L2368" s="128">
        <v>3801120.0</v>
      </c>
      <c r="M2368" s="128">
        <v>2858448.0</v>
      </c>
      <c r="N2368" s="128">
        <v>942672.2</v>
      </c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</row>
    <row r="2369">
      <c r="A2369" s="125" t="s">
        <v>451</v>
      </c>
      <c r="B2369" s="125" t="s">
        <v>497</v>
      </c>
      <c r="C2369" s="125" t="s">
        <v>463</v>
      </c>
      <c r="D2369" s="125" t="s">
        <v>457</v>
      </c>
      <c r="E2369" s="125" t="s">
        <v>189</v>
      </c>
      <c r="F2369" s="126">
        <v>41983.0</v>
      </c>
      <c r="G2369" s="127">
        <v>3.16E8</v>
      </c>
      <c r="H2369" s="126">
        <v>41986.0</v>
      </c>
      <c r="I2369" s="128">
        <v>2514.0</v>
      </c>
      <c r="J2369" s="128">
        <v>205.7</v>
      </c>
      <c r="K2369" s="128">
        <v>117.11</v>
      </c>
      <c r="L2369" s="128">
        <v>517129.8</v>
      </c>
      <c r="M2369" s="128">
        <v>294414.5</v>
      </c>
      <c r="N2369" s="128">
        <v>222715.3</v>
      </c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</row>
    <row r="2370">
      <c r="A2370" s="125" t="s">
        <v>458</v>
      </c>
      <c r="B2370" s="125" t="s">
        <v>582</v>
      </c>
      <c r="C2370" s="125" t="s">
        <v>514</v>
      </c>
      <c r="D2370" s="125" t="s">
        <v>454</v>
      </c>
      <c r="E2370" s="125" t="s">
        <v>189</v>
      </c>
      <c r="F2370" s="126">
        <v>41838.0</v>
      </c>
      <c r="G2370" s="127">
        <v>1.01E8</v>
      </c>
      <c r="H2370" s="126">
        <v>41862.0</v>
      </c>
      <c r="I2370" s="128">
        <v>4693.0</v>
      </c>
      <c r="J2370" s="128">
        <v>668.27</v>
      </c>
      <c r="K2370" s="128">
        <v>502.54</v>
      </c>
      <c r="L2370" s="128">
        <v>3136191.0</v>
      </c>
      <c r="M2370" s="128">
        <v>2358420.0</v>
      </c>
      <c r="N2370" s="128">
        <v>777770.9</v>
      </c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</row>
    <row r="2371">
      <c r="A2371" s="125" t="s">
        <v>469</v>
      </c>
      <c r="B2371" s="125" t="s">
        <v>650</v>
      </c>
      <c r="C2371" s="125" t="s">
        <v>506</v>
      </c>
      <c r="D2371" s="125" t="s">
        <v>457</v>
      </c>
      <c r="E2371" s="125" t="s">
        <v>472</v>
      </c>
      <c r="F2371" s="126">
        <v>41221.0</v>
      </c>
      <c r="G2371" s="127">
        <v>5.86E8</v>
      </c>
      <c r="H2371" s="126">
        <v>41259.0</v>
      </c>
      <c r="I2371" s="128">
        <v>4729.0</v>
      </c>
      <c r="J2371" s="128">
        <v>154.06</v>
      </c>
      <c r="K2371" s="128">
        <v>90.93</v>
      </c>
      <c r="L2371" s="128">
        <v>728549.7</v>
      </c>
      <c r="M2371" s="128">
        <v>430008.0</v>
      </c>
      <c r="N2371" s="128">
        <v>298541.8</v>
      </c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</row>
    <row r="2372">
      <c r="A2372" s="125" t="s">
        <v>469</v>
      </c>
      <c r="B2372" s="125" t="s">
        <v>632</v>
      </c>
      <c r="C2372" s="125" t="s">
        <v>460</v>
      </c>
      <c r="D2372" s="125" t="s">
        <v>457</v>
      </c>
      <c r="E2372" s="125" t="s">
        <v>189</v>
      </c>
      <c r="F2372" s="126">
        <v>41878.0</v>
      </c>
      <c r="G2372" s="127">
        <v>5.17E8</v>
      </c>
      <c r="H2372" s="126">
        <v>41907.0</v>
      </c>
      <c r="I2372" s="128">
        <v>7158.0</v>
      </c>
      <c r="J2372" s="128">
        <v>47.45</v>
      </c>
      <c r="K2372" s="128">
        <v>31.79</v>
      </c>
      <c r="L2372" s="128">
        <v>339647.1</v>
      </c>
      <c r="M2372" s="128">
        <v>227552.8</v>
      </c>
      <c r="N2372" s="128">
        <v>112094.3</v>
      </c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</row>
    <row r="2373">
      <c r="A2373" s="125" t="s">
        <v>451</v>
      </c>
      <c r="B2373" s="125" t="s">
        <v>596</v>
      </c>
      <c r="C2373" s="125" t="s">
        <v>506</v>
      </c>
      <c r="D2373" s="125" t="s">
        <v>454</v>
      </c>
      <c r="E2373" s="125" t="s">
        <v>189</v>
      </c>
      <c r="F2373" s="126">
        <v>41794.0</v>
      </c>
      <c r="G2373" s="127">
        <v>5.09E8</v>
      </c>
      <c r="H2373" s="126">
        <v>41814.0</v>
      </c>
      <c r="I2373" s="128">
        <v>3548.0</v>
      </c>
      <c r="J2373" s="128">
        <v>154.06</v>
      </c>
      <c r="K2373" s="128">
        <v>90.93</v>
      </c>
      <c r="L2373" s="128">
        <v>546604.9</v>
      </c>
      <c r="M2373" s="128">
        <v>322619.6</v>
      </c>
      <c r="N2373" s="128">
        <v>223985.2</v>
      </c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</row>
    <row r="2374">
      <c r="A2374" s="125" t="s">
        <v>475</v>
      </c>
      <c r="B2374" s="125" t="s">
        <v>536</v>
      </c>
      <c r="C2374" s="125" t="s">
        <v>480</v>
      </c>
      <c r="D2374" s="125" t="s">
        <v>454</v>
      </c>
      <c r="E2374" s="125" t="s">
        <v>472</v>
      </c>
      <c r="F2374" s="126">
        <v>42112.0</v>
      </c>
      <c r="G2374" s="127">
        <v>7.99E8</v>
      </c>
      <c r="H2374" s="126">
        <v>42159.0</v>
      </c>
      <c r="I2374" s="128">
        <v>7497.0</v>
      </c>
      <c r="J2374" s="128">
        <v>437.2</v>
      </c>
      <c r="K2374" s="128">
        <v>263.33</v>
      </c>
      <c r="L2374" s="128">
        <v>3277688.0</v>
      </c>
      <c r="M2374" s="128">
        <v>1974185.0</v>
      </c>
      <c r="N2374" s="128">
        <v>1303503.0</v>
      </c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</row>
    <row r="2375">
      <c r="A2375" s="125" t="s">
        <v>461</v>
      </c>
      <c r="B2375" s="125" t="s">
        <v>522</v>
      </c>
      <c r="C2375" s="125" t="s">
        <v>463</v>
      </c>
      <c r="D2375" s="125" t="s">
        <v>457</v>
      </c>
      <c r="E2375" s="125" t="s">
        <v>464</v>
      </c>
      <c r="F2375" s="126">
        <v>40212.0</v>
      </c>
      <c r="G2375" s="127">
        <v>7.93E8</v>
      </c>
      <c r="H2375" s="126">
        <v>40245.0</v>
      </c>
      <c r="I2375" s="128">
        <v>9635.0</v>
      </c>
      <c r="J2375" s="128">
        <v>205.7</v>
      </c>
      <c r="K2375" s="128">
        <v>117.11</v>
      </c>
      <c r="L2375" s="128">
        <v>1981920.0</v>
      </c>
      <c r="M2375" s="128">
        <v>1128355.0</v>
      </c>
      <c r="N2375" s="128">
        <v>853564.7</v>
      </c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</row>
    <row r="2376">
      <c r="A2376" s="125" t="s">
        <v>475</v>
      </c>
      <c r="B2376" s="125" t="s">
        <v>544</v>
      </c>
      <c r="C2376" s="125" t="s">
        <v>514</v>
      </c>
      <c r="D2376" s="125" t="s">
        <v>454</v>
      </c>
      <c r="E2376" s="125" t="s">
        <v>472</v>
      </c>
      <c r="F2376" s="126">
        <v>42162.0</v>
      </c>
      <c r="G2376" s="127">
        <v>4.16E8</v>
      </c>
      <c r="H2376" s="126">
        <v>42178.0</v>
      </c>
      <c r="I2376" s="128">
        <v>2624.0</v>
      </c>
      <c r="J2376" s="128">
        <v>668.27</v>
      </c>
      <c r="K2376" s="128">
        <v>502.54</v>
      </c>
      <c r="L2376" s="128">
        <v>1753540.0</v>
      </c>
      <c r="M2376" s="128">
        <v>1318665.0</v>
      </c>
      <c r="N2376" s="128">
        <v>434875.5</v>
      </c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</row>
    <row r="2377">
      <c r="A2377" s="125" t="s">
        <v>451</v>
      </c>
      <c r="B2377" s="125" t="s">
        <v>646</v>
      </c>
      <c r="C2377" s="125" t="s">
        <v>478</v>
      </c>
      <c r="D2377" s="125" t="s">
        <v>457</v>
      </c>
      <c r="E2377" s="125" t="s">
        <v>284</v>
      </c>
      <c r="F2377" s="126">
        <v>41974.0</v>
      </c>
      <c r="G2377" s="127">
        <v>5.68E8</v>
      </c>
      <c r="H2377" s="126">
        <v>41995.0</v>
      </c>
      <c r="I2377" s="128">
        <v>6156.0</v>
      </c>
      <c r="J2377" s="128">
        <v>651.21</v>
      </c>
      <c r="K2377" s="128">
        <v>524.96</v>
      </c>
      <c r="L2377" s="128">
        <v>4008849.0</v>
      </c>
      <c r="M2377" s="128">
        <v>3231654.0</v>
      </c>
      <c r="N2377" s="128">
        <v>777195.0</v>
      </c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</row>
    <row r="2378">
      <c r="A2378" s="125" t="s">
        <v>461</v>
      </c>
      <c r="B2378" s="125" t="s">
        <v>576</v>
      </c>
      <c r="C2378" s="125" t="s">
        <v>514</v>
      </c>
      <c r="D2378" s="125" t="s">
        <v>457</v>
      </c>
      <c r="E2378" s="125" t="s">
        <v>284</v>
      </c>
      <c r="F2378" s="126">
        <v>42343.0</v>
      </c>
      <c r="G2378" s="127">
        <v>8.63E8</v>
      </c>
      <c r="H2378" s="126">
        <v>42381.0</v>
      </c>
      <c r="I2378" s="128">
        <v>1954.0</v>
      </c>
      <c r="J2378" s="128">
        <v>668.27</v>
      </c>
      <c r="K2378" s="128">
        <v>502.54</v>
      </c>
      <c r="L2378" s="128">
        <v>1305800.0</v>
      </c>
      <c r="M2378" s="128">
        <v>981963.2</v>
      </c>
      <c r="N2378" s="128">
        <v>323836.4</v>
      </c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</row>
    <row r="2379">
      <c r="A2379" s="125" t="s">
        <v>461</v>
      </c>
      <c r="B2379" s="125" t="s">
        <v>578</v>
      </c>
      <c r="C2379" s="125" t="s">
        <v>460</v>
      </c>
      <c r="D2379" s="125" t="s">
        <v>457</v>
      </c>
      <c r="E2379" s="125" t="s">
        <v>464</v>
      </c>
      <c r="F2379" s="126">
        <v>42207.0</v>
      </c>
      <c r="G2379" s="127">
        <v>9.91E8</v>
      </c>
      <c r="H2379" s="126">
        <v>42249.0</v>
      </c>
      <c r="I2379" s="128">
        <v>8773.0</v>
      </c>
      <c r="J2379" s="128">
        <v>47.45</v>
      </c>
      <c r="K2379" s="128">
        <v>31.79</v>
      </c>
      <c r="L2379" s="128">
        <v>416278.9</v>
      </c>
      <c r="M2379" s="128">
        <v>278893.7</v>
      </c>
      <c r="N2379" s="128">
        <v>137385.2</v>
      </c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</row>
    <row r="2380">
      <c r="A2380" s="125" t="s">
        <v>475</v>
      </c>
      <c r="B2380" s="125" t="s">
        <v>521</v>
      </c>
      <c r="C2380" s="125" t="s">
        <v>463</v>
      </c>
      <c r="D2380" s="125" t="s">
        <v>454</v>
      </c>
      <c r="E2380" s="125" t="s">
        <v>472</v>
      </c>
      <c r="F2380" s="126">
        <v>40892.0</v>
      </c>
      <c r="G2380" s="127">
        <v>2.59E8</v>
      </c>
      <c r="H2380" s="126">
        <v>40917.0</v>
      </c>
      <c r="I2380" s="128">
        <v>7400.0</v>
      </c>
      <c r="J2380" s="128">
        <v>205.7</v>
      </c>
      <c r="K2380" s="128">
        <v>117.11</v>
      </c>
      <c r="L2380" s="128">
        <v>1522180.0</v>
      </c>
      <c r="M2380" s="128">
        <v>866614.0</v>
      </c>
      <c r="N2380" s="128">
        <v>655566.0</v>
      </c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</row>
    <row r="2381">
      <c r="A2381" s="125" t="s">
        <v>461</v>
      </c>
      <c r="B2381" s="125" t="s">
        <v>542</v>
      </c>
      <c r="C2381" s="125" t="s">
        <v>514</v>
      </c>
      <c r="D2381" s="125" t="s">
        <v>457</v>
      </c>
      <c r="E2381" s="125" t="s">
        <v>284</v>
      </c>
      <c r="F2381" s="126">
        <v>42262.0</v>
      </c>
      <c r="G2381" s="127">
        <v>7.45E8</v>
      </c>
      <c r="H2381" s="126">
        <v>42277.0</v>
      </c>
      <c r="I2381" s="128">
        <v>5651.0</v>
      </c>
      <c r="J2381" s="128">
        <v>668.27</v>
      </c>
      <c r="K2381" s="128">
        <v>502.54</v>
      </c>
      <c r="L2381" s="128">
        <v>3776394.0</v>
      </c>
      <c r="M2381" s="128">
        <v>2839854.0</v>
      </c>
      <c r="N2381" s="128">
        <v>936540.2</v>
      </c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</row>
    <row r="2382">
      <c r="A2382" s="125" t="s">
        <v>458</v>
      </c>
      <c r="B2382" s="125" t="s">
        <v>505</v>
      </c>
      <c r="C2382" s="125" t="s">
        <v>468</v>
      </c>
      <c r="D2382" s="125" t="s">
        <v>457</v>
      </c>
      <c r="E2382" s="125" t="s">
        <v>472</v>
      </c>
      <c r="F2382" s="126">
        <v>42272.0</v>
      </c>
      <c r="G2382" s="127">
        <v>5.48E8</v>
      </c>
      <c r="H2382" s="126">
        <v>42276.0</v>
      </c>
      <c r="I2382" s="128">
        <v>3376.0</v>
      </c>
      <c r="J2382" s="128">
        <v>81.73</v>
      </c>
      <c r="K2382" s="128">
        <v>56.67</v>
      </c>
      <c r="L2382" s="128">
        <v>275920.5</v>
      </c>
      <c r="M2382" s="128">
        <v>191317.9</v>
      </c>
      <c r="N2382" s="128">
        <v>84602.56</v>
      </c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</row>
    <row r="2383">
      <c r="A2383" s="125" t="s">
        <v>466</v>
      </c>
      <c r="B2383" s="125" t="s">
        <v>584</v>
      </c>
      <c r="C2383" s="125" t="s">
        <v>460</v>
      </c>
      <c r="D2383" s="125" t="s">
        <v>457</v>
      </c>
      <c r="E2383" s="125" t="s">
        <v>284</v>
      </c>
      <c r="F2383" s="126">
        <v>41415.0</v>
      </c>
      <c r="G2383" s="127">
        <v>5.36E8</v>
      </c>
      <c r="H2383" s="126">
        <v>41438.0</v>
      </c>
      <c r="I2383" s="128">
        <v>7454.0</v>
      </c>
      <c r="J2383" s="128">
        <v>47.45</v>
      </c>
      <c r="K2383" s="128">
        <v>31.79</v>
      </c>
      <c r="L2383" s="128">
        <v>353692.3</v>
      </c>
      <c r="M2383" s="128">
        <v>236962.7</v>
      </c>
      <c r="N2383" s="128">
        <v>116729.6</v>
      </c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</row>
    <row r="2384">
      <c r="A2384" s="125" t="s">
        <v>469</v>
      </c>
      <c r="B2384" s="125" t="s">
        <v>617</v>
      </c>
      <c r="C2384" s="125" t="s">
        <v>485</v>
      </c>
      <c r="D2384" s="125" t="s">
        <v>454</v>
      </c>
      <c r="E2384" s="125" t="s">
        <v>189</v>
      </c>
      <c r="F2384" s="126">
        <v>40573.0</v>
      </c>
      <c r="G2384" s="127">
        <v>2.98E8</v>
      </c>
      <c r="H2384" s="126">
        <v>40587.0</v>
      </c>
      <c r="I2384" s="128">
        <v>6797.0</v>
      </c>
      <c r="J2384" s="128">
        <v>421.89</v>
      </c>
      <c r="K2384" s="128">
        <v>364.69</v>
      </c>
      <c r="L2384" s="128">
        <v>2867586.0</v>
      </c>
      <c r="M2384" s="128">
        <v>2478798.0</v>
      </c>
      <c r="N2384" s="128">
        <v>388788.4</v>
      </c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</row>
    <row r="2385">
      <c r="A2385" s="125" t="s">
        <v>458</v>
      </c>
      <c r="B2385" s="125" t="s">
        <v>498</v>
      </c>
      <c r="C2385" s="125" t="s">
        <v>494</v>
      </c>
      <c r="D2385" s="125" t="s">
        <v>454</v>
      </c>
      <c r="E2385" s="125" t="s">
        <v>472</v>
      </c>
      <c r="F2385" s="126">
        <v>42400.0</v>
      </c>
      <c r="G2385" s="127">
        <v>3.94E8</v>
      </c>
      <c r="H2385" s="126">
        <v>42409.0</v>
      </c>
      <c r="I2385" s="128">
        <v>7346.0</v>
      </c>
      <c r="J2385" s="128">
        <v>9.33</v>
      </c>
      <c r="K2385" s="128">
        <v>6.92</v>
      </c>
      <c r="L2385" s="128">
        <v>68538.18</v>
      </c>
      <c r="M2385" s="128">
        <v>50834.32</v>
      </c>
      <c r="N2385" s="128">
        <v>17703.86</v>
      </c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</row>
    <row r="2386">
      <c r="A2386" s="125" t="s">
        <v>458</v>
      </c>
      <c r="B2386" s="125" t="s">
        <v>582</v>
      </c>
      <c r="C2386" s="125" t="s">
        <v>453</v>
      </c>
      <c r="D2386" s="125" t="s">
        <v>454</v>
      </c>
      <c r="E2386" s="125" t="s">
        <v>189</v>
      </c>
      <c r="F2386" s="126">
        <v>41640.0</v>
      </c>
      <c r="G2386" s="127">
        <v>1.05E8</v>
      </c>
      <c r="H2386" s="126">
        <v>41644.0</v>
      </c>
      <c r="I2386" s="128">
        <v>7076.0</v>
      </c>
      <c r="J2386" s="128">
        <v>255.28</v>
      </c>
      <c r="K2386" s="128">
        <v>159.42</v>
      </c>
      <c r="L2386" s="128">
        <v>1806361.0</v>
      </c>
      <c r="M2386" s="128">
        <v>1128056.0</v>
      </c>
      <c r="N2386" s="128">
        <v>678305.4</v>
      </c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</row>
    <row r="2387">
      <c r="A2387" s="125" t="s">
        <v>475</v>
      </c>
      <c r="B2387" s="125" t="s">
        <v>552</v>
      </c>
      <c r="C2387" s="125" t="s">
        <v>506</v>
      </c>
      <c r="D2387" s="125" t="s">
        <v>454</v>
      </c>
      <c r="E2387" s="125" t="s">
        <v>189</v>
      </c>
      <c r="F2387" s="126">
        <v>40343.0</v>
      </c>
      <c r="G2387" s="127">
        <v>5.78E8</v>
      </c>
      <c r="H2387" s="126">
        <v>40376.0</v>
      </c>
      <c r="I2387" s="128">
        <v>991.0</v>
      </c>
      <c r="J2387" s="128">
        <v>154.06</v>
      </c>
      <c r="K2387" s="128">
        <v>90.93</v>
      </c>
      <c r="L2387" s="128">
        <v>152673.5</v>
      </c>
      <c r="M2387" s="128">
        <v>90111.63</v>
      </c>
      <c r="N2387" s="128">
        <v>62561.83</v>
      </c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</row>
    <row r="2388">
      <c r="A2388" s="125" t="s">
        <v>461</v>
      </c>
      <c r="B2388" s="125" t="s">
        <v>556</v>
      </c>
      <c r="C2388" s="125" t="s">
        <v>460</v>
      </c>
      <c r="D2388" s="125" t="s">
        <v>457</v>
      </c>
      <c r="E2388" s="125" t="s">
        <v>472</v>
      </c>
      <c r="F2388" s="126">
        <v>40946.0</v>
      </c>
      <c r="G2388" s="127">
        <v>7.86E8</v>
      </c>
      <c r="H2388" s="126">
        <v>40987.0</v>
      </c>
      <c r="I2388" s="128">
        <v>6128.0</v>
      </c>
      <c r="J2388" s="128">
        <v>47.45</v>
      </c>
      <c r="K2388" s="128">
        <v>31.79</v>
      </c>
      <c r="L2388" s="128">
        <v>290773.6</v>
      </c>
      <c r="M2388" s="128">
        <v>194809.1</v>
      </c>
      <c r="N2388" s="128">
        <v>95964.48</v>
      </c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</row>
    <row r="2389">
      <c r="A2389" s="125" t="s">
        <v>461</v>
      </c>
      <c r="B2389" s="125" t="s">
        <v>510</v>
      </c>
      <c r="C2389" s="125" t="s">
        <v>478</v>
      </c>
      <c r="D2389" s="125" t="s">
        <v>454</v>
      </c>
      <c r="E2389" s="125" t="s">
        <v>472</v>
      </c>
      <c r="F2389" s="126">
        <v>42127.0</v>
      </c>
      <c r="G2389" s="127">
        <v>6.69E8</v>
      </c>
      <c r="H2389" s="126">
        <v>42139.0</v>
      </c>
      <c r="I2389" s="128">
        <v>6554.0</v>
      </c>
      <c r="J2389" s="128">
        <v>651.21</v>
      </c>
      <c r="K2389" s="128">
        <v>524.96</v>
      </c>
      <c r="L2389" s="128">
        <v>4268030.0</v>
      </c>
      <c r="M2389" s="128">
        <v>3440588.0</v>
      </c>
      <c r="N2389" s="128">
        <v>827442.5</v>
      </c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</row>
    <row r="2390">
      <c r="A2390" s="125" t="s">
        <v>458</v>
      </c>
      <c r="B2390" s="125" t="s">
        <v>614</v>
      </c>
      <c r="C2390" s="125" t="s">
        <v>463</v>
      </c>
      <c r="D2390" s="125" t="s">
        <v>454</v>
      </c>
      <c r="E2390" s="125" t="s">
        <v>189</v>
      </c>
      <c r="F2390" s="126">
        <v>40188.0</v>
      </c>
      <c r="G2390" s="127">
        <v>6.87E8</v>
      </c>
      <c r="H2390" s="126">
        <v>40235.0</v>
      </c>
      <c r="I2390" s="128">
        <v>8367.0</v>
      </c>
      <c r="J2390" s="128">
        <v>205.7</v>
      </c>
      <c r="K2390" s="128">
        <v>117.11</v>
      </c>
      <c r="L2390" s="128">
        <v>1721092.0</v>
      </c>
      <c r="M2390" s="128">
        <v>979859.4</v>
      </c>
      <c r="N2390" s="128">
        <v>741232.5</v>
      </c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</row>
    <row r="2391">
      <c r="A2391" s="125" t="s">
        <v>451</v>
      </c>
      <c r="B2391" s="125" t="s">
        <v>608</v>
      </c>
      <c r="C2391" s="125" t="s">
        <v>485</v>
      </c>
      <c r="D2391" s="125" t="s">
        <v>454</v>
      </c>
      <c r="E2391" s="125" t="s">
        <v>464</v>
      </c>
      <c r="F2391" s="126">
        <v>41497.0</v>
      </c>
      <c r="G2391" s="127">
        <v>4.73E8</v>
      </c>
      <c r="H2391" s="126">
        <v>41527.0</v>
      </c>
      <c r="I2391" s="128">
        <v>4697.0</v>
      </c>
      <c r="J2391" s="128">
        <v>421.89</v>
      </c>
      <c r="K2391" s="128">
        <v>364.69</v>
      </c>
      <c r="L2391" s="128">
        <v>1981617.0</v>
      </c>
      <c r="M2391" s="128">
        <v>1712949.0</v>
      </c>
      <c r="N2391" s="128">
        <v>268668.4</v>
      </c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</row>
    <row r="2392">
      <c r="A2392" s="125" t="s">
        <v>466</v>
      </c>
      <c r="B2392" s="125" t="s">
        <v>477</v>
      </c>
      <c r="C2392" s="125" t="s">
        <v>471</v>
      </c>
      <c r="D2392" s="125" t="s">
        <v>454</v>
      </c>
      <c r="E2392" s="125" t="s">
        <v>284</v>
      </c>
      <c r="F2392" s="126">
        <v>41752.0</v>
      </c>
      <c r="G2392" s="127">
        <v>1.77E8</v>
      </c>
      <c r="H2392" s="126">
        <v>41764.0</v>
      </c>
      <c r="I2392" s="128">
        <v>706.0</v>
      </c>
      <c r="J2392" s="128">
        <v>109.28</v>
      </c>
      <c r="K2392" s="128">
        <v>35.84</v>
      </c>
      <c r="L2392" s="128">
        <v>77151.68</v>
      </c>
      <c r="M2392" s="128">
        <v>25303.04</v>
      </c>
      <c r="N2392" s="128">
        <v>51848.64</v>
      </c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</row>
    <row r="2393">
      <c r="A2393" s="125" t="s">
        <v>458</v>
      </c>
      <c r="B2393" s="125" t="s">
        <v>614</v>
      </c>
      <c r="C2393" s="125" t="s">
        <v>506</v>
      </c>
      <c r="D2393" s="125" t="s">
        <v>454</v>
      </c>
      <c r="E2393" s="125" t="s">
        <v>189</v>
      </c>
      <c r="F2393" s="126">
        <v>41186.0</v>
      </c>
      <c r="G2393" s="127">
        <v>9.22E8</v>
      </c>
      <c r="H2393" s="126">
        <v>41217.0</v>
      </c>
      <c r="I2393" s="128">
        <v>8586.0</v>
      </c>
      <c r="J2393" s="128">
        <v>154.06</v>
      </c>
      <c r="K2393" s="128">
        <v>90.93</v>
      </c>
      <c r="L2393" s="128">
        <v>1322759.0</v>
      </c>
      <c r="M2393" s="128">
        <v>780725.0</v>
      </c>
      <c r="N2393" s="128">
        <v>542034.2</v>
      </c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</row>
    <row r="2394">
      <c r="A2394" s="125" t="s">
        <v>475</v>
      </c>
      <c r="B2394" s="125" t="s">
        <v>537</v>
      </c>
      <c r="C2394" s="125" t="s">
        <v>480</v>
      </c>
      <c r="D2394" s="125" t="s">
        <v>454</v>
      </c>
      <c r="E2394" s="125" t="s">
        <v>189</v>
      </c>
      <c r="F2394" s="126">
        <v>40421.0</v>
      </c>
      <c r="G2394" s="127">
        <v>7.49E8</v>
      </c>
      <c r="H2394" s="126">
        <v>40459.0</v>
      </c>
      <c r="I2394" s="128">
        <v>2560.0</v>
      </c>
      <c r="J2394" s="128">
        <v>437.2</v>
      </c>
      <c r="K2394" s="128">
        <v>263.33</v>
      </c>
      <c r="L2394" s="128">
        <v>1119232.0</v>
      </c>
      <c r="M2394" s="128">
        <v>674124.8</v>
      </c>
      <c r="N2394" s="128">
        <v>445107.2</v>
      </c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</row>
    <row r="2395">
      <c r="A2395" s="125" t="s">
        <v>451</v>
      </c>
      <c r="B2395" s="125" t="s">
        <v>550</v>
      </c>
      <c r="C2395" s="125" t="s">
        <v>485</v>
      </c>
      <c r="D2395" s="125" t="s">
        <v>457</v>
      </c>
      <c r="E2395" s="125" t="s">
        <v>189</v>
      </c>
      <c r="F2395" s="126">
        <v>41853.0</v>
      </c>
      <c r="G2395" s="127">
        <v>4.72E8</v>
      </c>
      <c r="H2395" s="126">
        <v>41876.0</v>
      </c>
      <c r="I2395" s="128">
        <v>3884.0</v>
      </c>
      <c r="J2395" s="128">
        <v>421.89</v>
      </c>
      <c r="K2395" s="128">
        <v>364.69</v>
      </c>
      <c r="L2395" s="128">
        <v>1638621.0</v>
      </c>
      <c r="M2395" s="128">
        <v>1416456.0</v>
      </c>
      <c r="N2395" s="128">
        <v>222164.8</v>
      </c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</row>
    <row r="2396">
      <c r="A2396" s="125" t="s">
        <v>461</v>
      </c>
      <c r="B2396" s="125" t="s">
        <v>465</v>
      </c>
      <c r="C2396" s="125" t="s">
        <v>480</v>
      </c>
      <c r="D2396" s="125" t="s">
        <v>454</v>
      </c>
      <c r="E2396" s="125" t="s">
        <v>189</v>
      </c>
      <c r="F2396" s="126">
        <v>42732.0</v>
      </c>
      <c r="G2396" s="127">
        <v>5.23E8</v>
      </c>
      <c r="H2396" s="126">
        <v>42770.0</v>
      </c>
      <c r="I2396" s="128">
        <v>5843.0</v>
      </c>
      <c r="J2396" s="128">
        <v>437.2</v>
      </c>
      <c r="K2396" s="128">
        <v>263.33</v>
      </c>
      <c r="L2396" s="128">
        <v>2554560.0</v>
      </c>
      <c r="M2396" s="128">
        <v>1538637.0</v>
      </c>
      <c r="N2396" s="128">
        <v>1015922.0</v>
      </c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</row>
    <row r="2397">
      <c r="A2397" s="125" t="s">
        <v>475</v>
      </c>
      <c r="B2397" s="125" t="s">
        <v>476</v>
      </c>
      <c r="C2397" s="125" t="s">
        <v>494</v>
      </c>
      <c r="D2397" s="125" t="s">
        <v>454</v>
      </c>
      <c r="E2397" s="125" t="s">
        <v>472</v>
      </c>
      <c r="F2397" s="126">
        <v>42082.0</v>
      </c>
      <c r="G2397" s="127">
        <v>5.06E8</v>
      </c>
      <c r="H2397" s="126">
        <v>42106.0</v>
      </c>
      <c r="I2397" s="128">
        <v>8755.0</v>
      </c>
      <c r="J2397" s="128">
        <v>9.33</v>
      </c>
      <c r="K2397" s="128">
        <v>6.92</v>
      </c>
      <c r="L2397" s="128">
        <v>81684.15</v>
      </c>
      <c r="M2397" s="128">
        <v>60584.6</v>
      </c>
      <c r="N2397" s="128">
        <v>21099.55</v>
      </c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</row>
    <row r="2398">
      <c r="A2398" s="125" t="s">
        <v>469</v>
      </c>
      <c r="B2398" s="125" t="s">
        <v>589</v>
      </c>
      <c r="C2398" s="125" t="s">
        <v>478</v>
      </c>
      <c r="D2398" s="125" t="s">
        <v>454</v>
      </c>
      <c r="E2398" s="125" t="s">
        <v>472</v>
      </c>
      <c r="F2398" s="126">
        <v>42082.0</v>
      </c>
      <c r="G2398" s="127">
        <v>5.43E8</v>
      </c>
      <c r="H2398" s="126">
        <v>42119.0</v>
      </c>
      <c r="I2398" s="128">
        <v>4969.0</v>
      </c>
      <c r="J2398" s="128">
        <v>651.21</v>
      </c>
      <c r="K2398" s="128">
        <v>524.96</v>
      </c>
      <c r="L2398" s="128">
        <v>3235862.0</v>
      </c>
      <c r="M2398" s="128">
        <v>2608526.0</v>
      </c>
      <c r="N2398" s="128">
        <v>627336.3</v>
      </c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</row>
    <row r="2399">
      <c r="A2399" s="125" t="s">
        <v>458</v>
      </c>
      <c r="B2399" s="125" t="s">
        <v>498</v>
      </c>
      <c r="C2399" s="125" t="s">
        <v>514</v>
      </c>
      <c r="D2399" s="125" t="s">
        <v>454</v>
      </c>
      <c r="E2399" s="125" t="s">
        <v>464</v>
      </c>
      <c r="F2399" s="126">
        <v>41150.0</v>
      </c>
      <c r="G2399" s="127">
        <v>8.29E8</v>
      </c>
      <c r="H2399" s="126">
        <v>41168.0</v>
      </c>
      <c r="I2399" s="128">
        <v>3864.0</v>
      </c>
      <c r="J2399" s="128">
        <v>668.27</v>
      </c>
      <c r="K2399" s="128">
        <v>502.54</v>
      </c>
      <c r="L2399" s="128">
        <v>2582195.0</v>
      </c>
      <c r="M2399" s="128">
        <v>1941815.0</v>
      </c>
      <c r="N2399" s="128">
        <v>640380.7</v>
      </c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</row>
    <row r="2400">
      <c r="A2400" s="125" t="s">
        <v>469</v>
      </c>
      <c r="B2400" s="125" t="s">
        <v>530</v>
      </c>
      <c r="C2400" s="125" t="s">
        <v>478</v>
      </c>
      <c r="D2400" s="125" t="s">
        <v>454</v>
      </c>
      <c r="E2400" s="125" t="s">
        <v>472</v>
      </c>
      <c r="F2400" s="126">
        <v>40860.0</v>
      </c>
      <c r="G2400" s="127">
        <v>2.78E8</v>
      </c>
      <c r="H2400" s="126">
        <v>40884.0</v>
      </c>
      <c r="I2400" s="128">
        <v>6851.0</v>
      </c>
      <c r="J2400" s="128">
        <v>651.21</v>
      </c>
      <c r="K2400" s="128">
        <v>524.96</v>
      </c>
      <c r="L2400" s="128">
        <v>4461440.0</v>
      </c>
      <c r="M2400" s="128">
        <v>3596501.0</v>
      </c>
      <c r="N2400" s="128">
        <v>864938.8</v>
      </c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</row>
    <row r="2401">
      <c r="A2401" s="125" t="s">
        <v>451</v>
      </c>
      <c r="B2401" s="125" t="s">
        <v>609</v>
      </c>
      <c r="C2401" s="125" t="s">
        <v>478</v>
      </c>
      <c r="D2401" s="125" t="s">
        <v>454</v>
      </c>
      <c r="E2401" s="125" t="s">
        <v>464</v>
      </c>
      <c r="F2401" s="126">
        <v>41790.0</v>
      </c>
      <c r="G2401" s="127">
        <v>5.74E8</v>
      </c>
      <c r="H2401" s="126">
        <v>41839.0</v>
      </c>
      <c r="I2401" s="128">
        <v>2374.0</v>
      </c>
      <c r="J2401" s="128">
        <v>651.21</v>
      </c>
      <c r="K2401" s="128">
        <v>524.96</v>
      </c>
      <c r="L2401" s="128">
        <v>1545973.0</v>
      </c>
      <c r="M2401" s="128">
        <v>1246255.0</v>
      </c>
      <c r="N2401" s="128">
        <v>299717.5</v>
      </c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</row>
    <row r="2402">
      <c r="A2402" s="125" t="s">
        <v>458</v>
      </c>
      <c r="B2402" s="125" t="s">
        <v>459</v>
      </c>
      <c r="C2402" s="125" t="s">
        <v>463</v>
      </c>
      <c r="D2402" s="125" t="s">
        <v>457</v>
      </c>
      <c r="E2402" s="125" t="s">
        <v>284</v>
      </c>
      <c r="F2402" s="126">
        <v>42144.0</v>
      </c>
      <c r="G2402" s="127">
        <v>3.23E8</v>
      </c>
      <c r="H2402" s="126">
        <v>42144.0</v>
      </c>
      <c r="I2402" s="128">
        <v>905.0</v>
      </c>
      <c r="J2402" s="128">
        <v>205.7</v>
      </c>
      <c r="K2402" s="128">
        <v>117.11</v>
      </c>
      <c r="L2402" s="128">
        <v>186158.5</v>
      </c>
      <c r="M2402" s="128">
        <v>105984.6</v>
      </c>
      <c r="N2402" s="128">
        <v>80173.95</v>
      </c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</row>
    <row r="2403">
      <c r="A2403" s="125" t="s">
        <v>458</v>
      </c>
      <c r="B2403" s="125" t="s">
        <v>545</v>
      </c>
      <c r="C2403" s="125" t="s">
        <v>463</v>
      </c>
      <c r="D2403" s="125" t="s">
        <v>457</v>
      </c>
      <c r="E2403" s="125" t="s">
        <v>189</v>
      </c>
      <c r="F2403" s="126">
        <v>41896.0</v>
      </c>
      <c r="G2403" s="127">
        <v>8.98E8</v>
      </c>
      <c r="H2403" s="126">
        <v>41920.0</v>
      </c>
      <c r="I2403" s="128">
        <v>9950.0</v>
      </c>
      <c r="J2403" s="128">
        <v>205.7</v>
      </c>
      <c r="K2403" s="128">
        <v>117.11</v>
      </c>
      <c r="L2403" s="128">
        <v>2046715.0</v>
      </c>
      <c r="M2403" s="128">
        <v>1165245.0</v>
      </c>
      <c r="N2403" s="128">
        <v>881470.5</v>
      </c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</row>
    <row r="2404">
      <c r="A2404" s="125" t="s">
        <v>466</v>
      </c>
      <c r="B2404" s="125" t="s">
        <v>612</v>
      </c>
      <c r="C2404" s="125" t="s">
        <v>468</v>
      </c>
      <c r="D2404" s="125" t="s">
        <v>457</v>
      </c>
      <c r="E2404" s="125" t="s">
        <v>189</v>
      </c>
      <c r="F2404" s="126">
        <v>41409.0</v>
      </c>
      <c r="G2404" s="127">
        <v>5.95E8</v>
      </c>
      <c r="H2404" s="126">
        <v>41438.0</v>
      </c>
      <c r="I2404" s="128">
        <v>9044.0</v>
      </c>
      <c r="J2404" s="128">
        <v>81.73</v>
      </c>
      <c r="K2404" s="128">
        <v>56.67</v>
      </c>
      <c r="L2404" s="128">
        <v>739166.1</v>
      </c>
      <c r="M2404" s="128">
        <v>512523.5</v>
      </c>
      <c r="N2404" s="128">
        <v>226642.6</v>
      </c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</row>
    <row r="2405">
      <c r="A2405" s="125" t="s">
        <v>458</v>
      </c>
      <c r="B2405" s="125" t="s">
        <v>616</v>
      </c>
      <c r="C2405" s="125" t="s">
        <v>453</v>
      </c>
      <c r="D2405" s="125" t="s">
        <v>457</v>
      </c>
      <c r="E2405" s="125" t="s">
        <v>464</v>
      </c>
      <c r="F2405" s="126">
        <v>42817.0</v>
      </c>
      <c r="G2405" s="127">
        <v>4.81E8</v>
      </c>
      <c r="H2405" s="126">
        <v>42830.0</v>
      </c>
      <c r="I2405" s="128">
        <v>4755.0</v>
      </c>
      <c r="J2405" s="128">
        <v>255.28</v>
      </c>
      <c r="K2405" s="128">
        <v>159.42</v>
      </c>
      <c r="L2405" s="128">
        <v>1213856.0</v>
      </c>
      <c r="M2405" s="128">
        <v>758042.1</v>
      </c>
      <c r="N2405" s="128">
        <v>455814.3</v>
      </c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</row>
    <row r="2406">
      <c r="A2406" s="125" t="s">
        <v>458</v>
      </c>
      <c r="B2406" s="125" t="s">
        <v>603</v>
      </c>
      <c r="C2406" s="125" t="s">
        <v>478</v>
      </c>
      <c r="D2406" s="125" t="s">
        <v>454</v>
      </c>
      <c r="E2406" s="125" t="s">
        <v>284</v>
      </c>
      <c r="F2406" s="126">
        <v>40349.0</v>
      </c>
      <c r="G2406" s="127">
        <v>3.4E8</v>
      </c>
      <c r="H2406" s="126">
        <v>40385.0</v>
      </c>
      <c r="I2406" s="128">
        <v>5682.0</v>
      </c>
      <c r="J2406" s="128">
        <v>651.21</v>
      </c>
      <c r="K2406" s="128">
        <v>524.96</v>
      </c>
      <c r="L2406" s="128">
        <v>3700175.0</v>
      </c>
      <c r="M2406" s="128">
        <v>2982823.0</v>
      </c>
      <c r="N2406" s="128">
        <v>717352.5</v>
      </c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</row>
    <row r="2407">
      <c r="A2407" s="125" t="s">
        <v>461</v>
      </c>
      <c r="B2407" s="125" t="s">
        <v>481</v>
      </c>
      <c r="C2407" s="125" t="s">
        <v>463</v>
      </c>
      <c r="D2407" s="125" t="s">
        <v>454</v>
      </c>
      <c r="E2407" s="125" t="s">
        <v>284</v>
      </c>
      <c r="F2407" s="126">
        <v>41065.0</v>
      </c>
      <c r="G2407" s="127">
        <v>9.3E8</v>
      </c>
      <c r="H2407" s="126">
        <v>41114.0</v>
      </c>
      <c r="I2407" s="128">
        <v>7454.0</v>
      </c>
      <c r="J2407" s="128">
        <v>205.7</v>
      </c>
      <c r="K2407" s="128">
        <v>117.11</v>
      </c>
      <c r="L2407" s="128">
        <v>1533288.0</v>
      </c>
      <c r="M2407" s="128">
        <v>872937.9</v>
      </c>
      <c r="N2407" s="128">
        <v>660349.9</v>
      </c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</row>
    <row r="2408">
      <c r="A2408" s="125" t="s">
        <v>458</v>
      </c>
      <c r="B2408" s="125" t="s">
        <v>627</v>
      </c>
      <c r="C2408" s="125" t="s">
        <v>453</v>
      </c>
      <c r="D2408" s="125" t="s">
        <v>454</v>
      </c>
      <c r="E2408" s="125" t="s">
        <v>472</v>
      </c>
      <c r="F2408" s="126">
        <v>41353.0</v>
      </c>
      <c r="G2408" s="127">
        <v>8.27E8</v>
      </c>
      <c r="H2408" s="126">
        <v>41363.0</v>
      </c>
      <c r="I2408" s="128">
        <v>7733.0</v>
      </c>
      <c r="J2408" s="128">
        <v>255.28</v>
      </c>
      <c r="K2408" s="128">
        <v>159.42</v>
      </c>
      <c r="L2408" s="128">
        <v>1974080.0</v>
      </c>
      <c r="M2408" s="128">
        <v>1232795.0</v>
      </c>
      <c r="N2408" s="128">
        <v>741285.4</v>
      </c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</row>
    <row r="2409">
      <c r="A2409" s="125" t="s">
        <v>458</v>
      </c>
      <c r="B2409" s="125" t="s">
        <v>563</v>
      </c>
      <c r="C2409" s="125" t="s">
        <v>480</v>
      </c>
      <c r="D2409" s="125" t="s">
        <v>454</v>
      </c>
      <c r="E2409" s="125" t="s">
        <v>472</v>
      </c>
      <c r="F2409" s="126">
        <v>42138.0</v>
      </c>
      <c r="G2409" s="127">
        <v>4.78E8</v>
      </c>
      <c r="H2409" s="126">
        <v>42162.0</v>
      </c>
      <c r="I2409" s="128">
        <v>1211.0</v>
      </c>
      <c r="J2409" s="128">
        <v>437.2</v>
      </c>
      <c r="K2409" s="128">
        <v>263.33</v>
      </c>
      <c r="L2409" s="128">
        <v>529449.2</v>
      </c>
      <c r="M2409" s="128">
        <v>318892.6</v>
      </c>
      <c r="N2409" s="128">
        <v>210556.6</v>
      </c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</row>
    <row r="2410">
      <c r="A2410" s="125" t="s">
        <v>458</v>
      </c>
      <c r="B2410" s="125" t="s">
        <v>540</v>
      </c>
      <c r="C2410" s="125" t="s">
        <v>485</v>
      </c>
      <c r="D2410" s="125" t="s">
        <v>454</v>
      </c>
      <c r="E2410" s="125" t="s">
        <v>464</v>
      </c>
      <c r="F2410" s="126">
        <v>41968.0</v>
      </c>
      <c r="G2410" s="127">
        <v>8.49E8</v>
      </c>
      <c r="H2410" s="126">
        <v>41971.0</v>
      </c>
      <c r="I2410" s="128">
        <v>4611.0</v>
      </c>
      <c r="J2410" s="128">
        <v>421.89</v>
      </c>
      <c r="K2410" s="128">
        <v>364.69</v>
      </c>
      <c r="L2410" s="128">
        <v>1945335.0</v>
      </c>
      <c r="M2410" s="128">
        <v>1681586.0</v>
      </c>
      <c r="N2410" s="128">
        <v>263749.2</v>
      </c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</row>
    <row r="2411">
      <c r="A2411" s="125" t="s">
        <v>475</v>
      </c>
      <c r="B2411" s="125" t="s">
        <v>656</v>
      </c>
      <c r="C2411" s="125" t="s">
        <v>456</v>
      </c>
      <c r="D2411" s="125" t="s">
        <v>454</v>
      </c>
      <c r="E2411" s="125" t="s">
        <v>284</v>
      </c>
      <c r="F2411" s="126">
        <v>41164.0</v>
      </c>
      <c r="G2411" s="127">
        <v>2.8E8</v>
      </c>
      <c r="H2411" s="126">
        <v>41213.0</v>
      </c>
      <c r="I2411" s="128">
        <v>1689.0</v>
      </c>
      <c r="J2411" s="128">
        <v>152.58</v>
      </c>
      <c r="K2411" s="128">
        <v>97.44</v>
      </c>
      <c r="L2411" s="128">
        <v>257707.6</v>
      </c>
      <c r="M2411" s="128">
        <v>164576.2</v>
      </c>
      <c r="N2411" s="128">
        <v>93131.46</v>
      </c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</row>
    <row r="2412">
      <c r="A2412" s="125" t="s">
        <v>475</v>
      </c>
      <c r="B2412" s="125" t="s">
        <v>601</v>
      </c>
      <c r="C2412" s="125" t="s">
        <v>456</v>
      </c>
      <c r="D2412" s="125" t="s">
        <v>454</v>
      </c>
      <c r="E2412" s="125" t="s">
        <v>464</v>
      </c>
      <c r="F2412" s="126">
        <v>40434.0</v>
      </c>
      <c r="G2412" s="127">
        <v>3.27E8</v>
      </c>
      <c r="H2412" s="126">
        <v>40461.0</v>
      </c>
      <c r="I2412" s="128">
        <v>8231.0</v>
      </c>
      <c r="J2412" s="128">
        <v>152.58</v>
      </c>
      <c r="K2412" s="128">
        <v>97.44</v>
      </c>
      <c r="L2412" s="128">
        <v>1255886.0</v>
      </c>
      <c r="M2412" s="128">
        <v>802028.6</v>
      </c>
      <c r="N2412" s="128">
        <v>453857.3</v>
      </c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</row>
    <row r="2413">
      <c r="A2413" s="125" t="s">
        <v>466</v>
      </c>
      <c r="B2413" s="125" t="s">
        <v>524</v>
      </c>
      <c r="C2413" s="125" t="s">
        <v>494</v>
      </c>
      <c r="D2413" s="125" t="s">
        <v>454</v>
      </c>
      <c r="E2413" s="125" t="s">
        <v>189</v>
      </c>
      <c r="F2413" s="126">
        <v>42259.0</v>
      </c>
      <c r="G2413" s="127">
        <v>8.18E8</v>
      </c>
      <c r="H2413" s="126">
        <v>42300.0</v>
      </c>
      <c r="I2413" s="128">
        <v>7054.0</v>
      </c>
      <c r="J2413" s="128">
        <v>9.33</v>
      </c>
      <c r="K2413" s="128">
        <v>6.92</v>
      </c>
      <c r="L2413" s="128">
        <v>65813.82</v>
      </c>
      <c r="M2413" s="128">
        <v>48813.68</v>
      </c>
      <c r="N2413" s="128">
        <v>17000.14</v>
      </c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</row>
    <row r="2414">
      <c r="A2414" s="125" t="s">
        <v>475</v>
      </c>
      <c r="B2414" s="125" t="s">
        <v>528</v>
      </c>
      <c r="C2414" s="125" t="s">
        <v>514</v>
      </c>
      <c r="D2414" s="125" t="s">
        <v>457</v>
      </c>
      <c r="E2414" s="125" t="s">
        <v>189</v>
      </c>
      <c r="F2414" s="126">
        <v>41211.0</v>
      </c>
      <c r="G2414" s="127">
        <v>3.03E8</v>
      </c>
      <c r="H2414" s="126">
        <v>41219.0</v>
      </c>
      <c r="I2414" s="128">
        <v>3006.0</v>
      </c>
      <c r="J2414" s="128">
        <v>668.27</v>
      </c>
      <c r="K2414" s="128">
        <v>502.54</v>
      </c>
      <c r="L2414" s="128">
        <v>2008820.0</v>
      </c>
      <c r="M2414" s="128">
        <v>1510635.0</v>
      </c>
      <c r="N2414" s="128">
        <v>498184.4</v>
      </c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</row>
    <row r="2415">
      <c r="A2415" s="125" t="s">
        <v>475</v>
      </c>
      <c r="B2415" s="125" t="s">
        <v>605</v>
      </c>
      <c r="C2415" s="125" t="s">
        <v>468</v>
      </c>
      <c r="D2415" s="125" t="s">
        <v>454</v>
      </c>
      <c r="E2415" s="125" t="s">
        <v>464</v>
      </c>
      <c r="F2415" s="126">
        <v>41933.0</v>
      </c>
      <c r="G2415" s="127">
        <v>1.0E8</v>
      </c>
      <c r="H2415" s="126">
        <v>41967.0</v>
      </c>
      <c r="I2415" s="128">
        <v>7968.0</v>
      </c>
      <c r="J2415" s="128">
        <v>81.73</v>
      </c>
      <c r="K2415" s="128">
        <v>56.67</v>
      </c>
      <c r="L2415" s="128">
        <v>651224.6</v>
      </c>
      <c r="M2415" s="128">
        <v>451546.6</v>
      </c>
      <c r="N2415" s="128">
        <v>199678.1</v>
      </c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</row>
    <row r="2416">
      <c r="A2416" s="125" t="s">
        <v>475</v>
      </c>
      <c r="B2416" s="125" t="s">
        <v>656</v>
      </c>
      <c r="C2416" s="125" t="s">
        <v>506</v>
      </c>
      <c r="D2416" s="125" t="s">
        <v>457</v>
      </c>
      <c r="E2416" s="125" t="s">
        <v>189</v>
      </c>
      <c r="F2416" s="126">
        <v>41157.0</v>
      </c>
      <c r="G2416" s="127">
        <v>2.48E8</v>
      </c>
      <c r="H2416" s="126">
        <v>41193.0</v>
      </c>
      <c r="I2416" s="128">
        <v>5851.0</v>
      </c>
      <c r="J2416" s="128">
        <v>154.06</v>
      </c>
      <c r="K2416" s="128">
        <v>90.93</v>
      </c>
      <c r="L2416" s="128">
        <v>901405.1</v>
      </c>
      <c r="M2416" s="128">
        <v>532031.4</v>
      </c>
      <c r="N2416" s="128">
        <v>369373.6</v>
      </c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</row>
    <row r="2417">
      <c r="A2417" s="125" t="s">
        <v>461</v>
      </c>
      <c r="B2417" s="125" t="s">
        <v>516</v>
      </c>
      <c r="C2417" s="125" t="s">
        <v>485</v>
      </c>
      <c r="D2417" s="125" t="s">
        <v>454</v>
      </c>
      <c r="E2417" s="125" t="s">
        <v>189</v>
      </c>
      <c r="F2417" s="126">
        <v>42921.0</v>
      </c>
      <c r="G2417" s="127">
        <v>8.56E8</v>
      </c>
      <c r="H2417" s="126">
        <v>42942.0</v>
      </c>
      <c r="I2417" s="128">
        <v>7597.0</v>
      </c>
      <c r="J2417" s="128">
        <v>421.89</v>
      </c>
      <c r="K2417" s="128">
        <v>364.69</v>
      </c>
      <c r="L2417" s="128">
        <v>3205098.0</v>
      </c>
      <c r="M2417" s="128">
        <v>2770550.0</v>
      </c>
      <c r="N2417" s="128">
        <v>434548.4</v>
      </c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</row>
    <row r="2418">
      <c r="A2418" s="125" t="s">
        <v>466</v>
      </c>
      <c r="B2418" s="125" t="s">
        <v>491</v>
      </c>
      <c r="C2418" s="125" t="s">
        <v>463</v>
      </c>
      <c r="D2418" s="125" t="s">
        <v>457</v>
      </c>
      <c r="E2418" s="125" t="s">
        <v>472</v>
      </c>
      <c r="F2418" s="126">
        <v>40585.0</v>
      </c>
      <c r="G2418" s="127">
        <v>7.55E8</v>
      </c>
      <c r="H2418" s="126">
        <v>40594.0</v>
      </c>
      <c r="I2418" s="128">
        <v>6179.0</v>
      </c>
      <c r="J2418" s="128">
        <v>205.7</v>
      </c>
      <c r="K2418" s="128">
        <v>117.11</v>
      </c>
      <c r="L2418" s="128">
        <v>1271020.0</v>
      </c>
      <c r="M2418" s="128">
        <v>723622.7</v>
      </c>
      <c r="N2418" s="128">
        <v>547397.6</v>
      </c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</row>
    <row r="2419">
      <c r="A2419" s="125" t="s">
        <v>451</v>
      </c>
      <c r="B2419" s="125" t="s">
        <v>655</v>
      </c>
      <c r="C2419" s="125" t="s">
        <v>485</v>
      </c>
      <c r="D2419" s="125" t="s">
        <v>454</v>
      </c>
      <c r="E2419" s="125" t="s">
        <v>284</v>
      </c>
      <c r="F2419" s="126">
        <v>40348.0</v>
      </c>
      <c r="G2419" s="127">
        <v>6.44E8</v>
      </c>
      <c r="H2419" s="126">
        <v>40358.0</v>
      </c>
      <c r="I2419" s="128">
        <v>1603.0</v>
      </c>
      <c r="J2419" s="128">
        <v>421.89</v>
      </c>
      <c r="K2419" s="128">
        <v>364.69</v>
      </c>
      <c r="L2419" s="128">
        <v>676289.7</v>
      </c>
      <c r="M2419" s="128">
        <v>584598.1</v>
      </c>
      <c r="N2419" s="128">
        <v>91691.6</v>
      </c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</row>
    <row r="2420">
      <c r="A2420" s="125" t="s">
        <v>475</v>
      </c>
      <c r="B2420" s="125" t="s">
        <v>601</v>
      </c>
      <c r="C2420" s="125" t="s">
        <v>471</v>
      </c>
      <c r="D2420" s="125" t="s">
        <v>457</v>
      </c>
      <c r="E2420" s="125" t="s">
        <v>284</v>
      </c>
      <c r="F2420" s="126">
        <v>40499.0</v>
      </c>
      <c r="G2420" s="127">
        <v>8.43E8</v>
      </c>
      <c r="H2420" s="126">
        <v>40543.0</v>
      </c>
      <c r="I2420" s="128">
        <v>5905.0</v>
      </c>
      <c r="J2420" s="128">
        <v>109.28</v>
      </c>
      <c r="K2420" s="128">
        <v>35.84</v>
      </c>
      <c r="L2420" s="128">
        <v>645298.4</v>
      </c>
      <c r="M2420" s="128">
        <v>211635.2</v>
      </c>
      <c r="N2420" s="128">
        <v>433663.2</v>
      </c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</row>
    <row r="2421">
      <c r="A2421" s="125" t="s">
        <v>458</v>
      </c>
      <c r="B2421" s="125" t="s">
        <v>553</v>
      </c>
      <c r="C2421" s="125" t="s">
        <v>453</v>
      </c>
      <c r="D2421" s="125" t="s">
        <v>454</v>
      </c>
      <c r="E2421" s="125" t="s">
        <v>472</v>
      </c>
      <c r="F2421" s="126">
        <v>41098.0</v>
      </c>
      <c r="G2421" s="127">
        <v>8.44E8</v>
      </c>
      <c r="H2421" s="126">
        <v>41119.0</v>
      </c>
      <c r="I2421" s="128">
        <v>8152.0</v>
      </c>
      <c r="J2421" s="128">
        <v>255.28</v>
      </c>
      <c r="K2421" s="128">
        <v>159.42</v>
      </c>
      <c r="L2421" s="128">
        <v>2081043.0</v>
      </c>
      <c r="M2421" s="128">
        <v>1299592.0</v>
      </c>
      <c r="N2421" s="128">
        <v>781450.7</v>
      </c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</row>
    <row r="2422">
      <c r="A2422" s="125" t="s">
        <v>475</v>
      </c>
      <c r="B2422" s="125" t="s">
        <v>640</v>
      </c>
      <c r="C2422" s="125" t="s">
        <v>453</v>
      </c>
      <c r="D2422" s="125" t="s">
        <v>457</v>
      </c>
      <c r="E2422" s="125" t="s">
        <v>472</v>
      </c>
      <c r="F2422" s="126">
        <v>42595.0</v>
      </c>
      <c r="G2422" s="127">
        <v>6.58E8</v>
      </c>
      <c r="H2422" s="126">
        <v>42610.0</v>
      </c>
      <c r="I2422" s="128">
        <v>9442.0</v>
      </c>
      <c r="J2422" s="128">
        <v>255.28</v>
      </c>
      <c r="K2422" s="128">
        <v>159.42</v>
      </c>
      <c r="L2422" s="128">
        <v>2410354.0</v>
      </c>
      <c r="M2422" s="128">
        <v>1505244.0</v>
      </c>
      <c r="N2422" s="128">
        <v>905110.1</v>
      </c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</row>
    <row r="2423">
      <c r="A2423" s="125" t="s">
        <v>451</v>
      </c>
      <c r="B2423" s="125" t="s">
        <v>592</v>
      </c>
      <c r="C2423" s="125" t="s">
        <v>456</v>
      </c>
      <c r="D2423" s="125" t="s">
        <v>457</v>
      </c>
      <c r="E2423" s="125" t="s">
        <v>472</v>
      </c>
      <c r="F2423" s="126">
        <v>41681.0</v>
      </c>
      <c r="G2423" s="127">
        <v>3.64E8</v>
      </c>
      <c r="H2423" s="126">
        <v>41718.0</v>
      </c>
      <c r="I2423" s="128">
        <v>7906.0</v>
      </c>
      <c r="J2423" s="128">
        <v>152.58</v>
      </c>
      <c r="K2423" s="128">
        <v>97.44</v>
      </c>
      <c r="L2423" s="128">
        <v>1206297.0</v>
      </c>
      <c r="M2423" s="128">
        <v>770360.6</v>
      </c>
      <c r="N2423" s="128">
        <v>435936.8</v>
      </c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</row>
    <row r="2424">
      <c r="A2424" s="125" t="s">
        <v>466</v>
      </c>
      <c r="B2424" s="125" t="s">
        <v>607</v>
      </c>
      <c r="C2424" s="125" t="s">
        <v>494</v>
      </c>
      <c r="D2424" s="125" t="s">
        <v>457</v>
      </c>
      <c r="E2424" s="125" t="s">
        <v>284</v>
      </c>
      <c r="F2424" s="126">
        <v>40964.0</v>
      </c>
      <c r="G2424" s="127">
        <v>5.66E8</v>
      </c>
      <c r="H2424" s="126">
        <v>40974.0</v>
      </c>
      <c r="I2424" s="128">
        <v>3705.0</v>
      </c>
      <c r="J2424" s="128">
        <v>9.33</v>
      </c>
      <c r="K2424" s="128">
        <v>6.92</v>
      </c>
      <c r="L2424" s="128">
        <v>34567.65</v>
      </c>
      <c r="M2424" s="128">
        <v>25638.6</v>
      </c>
      <c r="N2424" s="128">
        <v>8929.05</v>
      </c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</row>
    <row r="2425">
      <c r="A2425" s="125" t="s">
        <v>475</v>
      </c>
      <c r="B2425" s="125" t="s">
        <v>548</v>
      </c>
      <c r="C2425" s="125" t="s">
        <v>453</v>
      </c>
      <c r="D2425" s="125" t="s">
        <v>457</v>
      </c>
      <c r="E2425" s="125" t="s">
        <v>189</v>
      </c>
      <c r="F2425" s="126">
        <v>42063.0</v>
      </c>
      <c r="G2425" s="127">
        <v>1.36E8</v>
      </c>
      <c r="H2425" s="126">
        <v>42063.0</v>
      </c>
      <c r="I2425" s="128">
        <v>4031.0</v>
      </c>
      <c r="J2425" s="128">
        <v>255.28</v>
      </c>
      <c r="K2425" s="128">
        <v>159.42</v>
      </c>
      <c r="L2425" s="128">
        <v>1029034.0</v>
      </c>
      <c r="M2425" s="128">
        <v>642622.0</v>
      </c>
      <c r="N2425" s="128">
        <v>386411.7</v>
      </c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</row>
    <row r="2426">
      <c r="A2426" s="125" t="s">
        <v>469</v>
      </c>
      <c r="B2426" s="125" t="s">
        <v>501</v>
      </c>
      <c r="C2426" s="125" t="s">
        <v>514</v>
      </c>
      <c r="D2426" s="125" t="s">
        <v>457</v>
      </c>
      <c r="E2426" s="125" t="s">
        <v>189</v>
      </c>
      <c r="F2426" s="126">
        <v>41451.0</v>
      </c>
      <c r="G2426" s="127">
        <v>2.64E8</v>
      </c>
      <c r="H2426" s="126">
        <v>41483.0</v>
      </c>
      <c r="I2426" s="128">
        <v>8108.0</v>
      </c>
      <c r="J2426" s="128">
        <v>668.27</v>
      </c>
      <c r="K2426" s="128">
        <v>502.54</v>
      </c>
      <c r="L2426" s="128">
        <v>5418333.0</v>
      </c>
      <c r="M2426" s="128">
        <v>4074594.0</v>
      </c>
      <c r="N2426" s="128">
        <v>1343739.0</v>
      </c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</row>
    <row r="2427">
      <c r="A2427" s="125" t="s">
        <v>458</v>
      </c>
      <c r="B2427" s="125" t="s">
        <v>515</v>
      </c>
      <c r="C2427" s="125" t="s">
        <v>456</v>
      </c>
      <c r="D2427" s="125" t="s">
        <v>454</v>
      </c>
      <c r="E2427" s="125" t="s">
        <v>472</v>
      </c>
      <c r="F2427" s="126">
        <v>42906.0</v>
      </c>
      <c r="G2427" s="127">
        <v>4.15E8</v>
      </c>
      <c r="H2427" s="126">
        <v>42926.0</v>
      </c>
      <c r="I2427" s="128">
        <v>2191.0</v>
      </c>
      <c r="J2427" s="128">
        <v>152.58</v>
      </c>
      <c r="K2427" s="128">
        <v>97.44</v>
      </c>
      <c r="L2427" s="128">
        <v>334302.8</v>
      </c>
      <c r="M2427" s="128">
        <v>213491.0</v>
      </c>
      <c r="N2427" s="128">
        <v>120811.7</v>
      </c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</row>
    <row r="2428">
      <c r="A2428" s="125" t="s">
        <v>458</v>
      </c>
      <c r="B2428" s="125" t="s">
        <v>509</v>
      </c>
      <c r="C2428" s="125" t="s">
        <v>463</v>
      </c>
      <c r="D2428" s="125" t="s">
        <v>457</v>
      </c>
      <c r="E2428" s="125" t="s">
        <v>189</v>
      </c>
      <c r="F2428" s="126">
        <v>42295.0</v>
      </c>
      <c r="G2428" s="127">
        <v>5.7E8</v>
      </c>
      <c r="H2428" s="126">
        <v>42338.0</v>
      </c>
      <c r="I2428" s="128">
        <v>4565.0</v>
      </c>
      <c r="J2428" s="128">
        <v>205.7</v>
      </c>
      <c r="K2428" s="128">
        <v>117.11</v>
      </c>
      <c r="L2428" s="128">
        <v>939020.5</v>
      </c>
      <c r="M2428" s="128">
        <v>534607.2</v>
      </c>
      <c r="N2428" s="128">
        <v>404413.4</v>
      </c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</row>
    <row r="2429">
      <c r="A2429" s="125" t="s">
        <v>458</v>
      </c>
      <c r="B2429" s="125" t="s">
        <v>553</v>
      </c>
      <c r="C2429" s="125" t="s">
        <v>471</v>
      </c>
      <c r="D2429" s="125" t="s">
        <v>454</v>
      </c>
      <c r="E2429" s="125" t="s">
        <v>464</v>
      </c>
      <c r="F2429" s="126">
        <v>42792.0</v>
      </c>
      <c r="G2429" s="127">
        <v>7.83E8</v>
      </c>
      <c r="H2429" s="126">
        <v>42808.0</v>
      </c>
      <c r="I2429" s="128">
        <v>548.0</v>
      </c>
      <c r="J2429" s="128">
        <v>109.28</v>
      </c>
      <c r="K2429" s="128">
        <v>35.84</v>
      </c>
      <c r="L2429" s="128">
        <v>59885.44</v>
      </c>
      <c r="M2429" s="128">
        <v>19640.32</v>
      </c>
      <c r="N2429" s="128">
        <v>40245.12</v>
      </c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</row>
    <row r="2430">
      <c r="A2430" s="125" t="s">
        <v>458</v>
      </c>
      <c r="B2430" s="125" t="s">
        <v>626</v>
      </c>
      <c r="C2430" s="125" t="s">
        <v>480</v>
      </c>
      <c r="D2430" s="125" t="s">
        <v>454</v>
      </c>
      <c r="E2430" s="125" t="s">
        <v>464</v>
      </c>
      <c r="F2430" s="126">
        <v>42426.0</v>
      </c>
      <c r="G2430" s="127">
        <v>7.28E8</v>
      </c>
      <c r="H2430" s="126">
        <v>42445.0</v>
      </c>
      <c r="I2430" s="128">
        <v>7489.0</v>
      </c>
      <c r="J2430" s="128">
        <v>437.2</v>
      </c>
      <c r="K2430" s="128">
        <v>263.33</v>
      </c>
      <c r="L2430" s="128">
        <v>3274191.0</v>
      </c>
      <c r="M2430" s="128">
        <v>1972078.0</v>
      </c>
      <c r="N2430" s="128">
        <v>1302112.0</v>
      </c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</row>
    <row r="2431">
      <c r="A2431" s="125" t="s">
        <v>461</v>
      </c>
      <c r="B2431" s="125" t="s">
        <v>639</v>
      </c>
      <c r="C2431" s="125" t="s">
        <v>471</v>
      </c>
      <c r="D2431" s="125" t="s">
        <v>457</v>
      </c>
      <c r="E2431" s="125" t="s">
        <v>284</v>
      </c>
      <c r="F2431" s="126">
        <v>40998.0</v>
      </c>
      <c r="G2431" s="127">
        <v>1.48E8</v>
      </c>
      <c r="H2431" s="126">
        <v>41018.0</v>
      </c>
      <c r="I2431" s="128">
        <v>9768.0</v>
      </c>
      <c r="J2431" s="128">
        <v>109.28</v>
      </c>
      <c r="K2431" s="128">
        <v>35.84</v>
      </c>
      <c r="L2431" s="128">
        <v>1067447.0</v>
      </c>
      <c r="M2431" s="128">
        <v>350085.1</v>
      </c>
      <c r="N2431" s="128">
        <v>717361.9</v>
      </c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</row>
    <row r="2432">
      <c r="A2432" s="125" t="s">
        <v>461</v>
      </c>
      <c r="B2432" s="125" t="s">
        <v>578</v>
      </c>
      <c r="C2432" s="125" t="s">
        <v>478</v>
      </c>
      <c r="D2432" s="125" t="s">
        <v>454</v>
      </c>
      <c r="E2432" s="125" t="s">
        <v>284</v>
      </c>
      <c r="F2432" s="126">
        <v>41466.0</v>
      </c>
      <c r="G2432" s="127">
        <v>2.07E8</v>
      </c>
      <c r="H2432" s="126">
        <v>41515.0</v>
      </c>
      <c r="I2432" s="128">
        <v>3796.0</v>
      </c>
      <c r="J2432" s="128">
        <v>651.21</v>
      </c>
      <c r="K2432" s="128">
        <v>524.96</v>
      </c>
      <c r="L2432" s="128">
        <v>2471993.0</v>
      </c>
      <c r="M2432" s="128">
        <v>1992748.0</v>
      </c>
      <c r="N2432" s="128">
        <v>479245.0</v>
      </c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</row>
    <row r="2433">
      <c r="A2433" s="125" t="s">
        <v>469</v>
      </c>
      <c r="B2433" s="125" t="s">
        <v>589</v>
      </c>
      <c r="C2433" s="125" t="s">
        <v>485</v>
      </c>
      <c r="D2433" s="125" t="s">
        <v>454</v>
      </c>
      <c r="E2433" s="125" t="s">
        <v>464</v>
      </c>
      <c r="F2433" s="126">
        <v>40258.0</v>
      </c>
      <c r="G2433" s="127">
        <v>3.4E8</v>
      </c>
      <c r="H2433" s="126">
        <v>40284.0</v>
      </c>
      <c r="I2433" s="128">
        <v>3015.0</v>
      </c>
      <c r="J2433" s="128">
        <v>421.89</v>
      </c>
      <c r="K2433" s="128">
        <v>364.69</v>
      </c>
      <c r="L2433" s="128">
        <v>1271998.0</v>
      </c>
      <c r="M2433" s="128">
        <v>1099540.0</v>
      </c>
      <c r="N2433" s="128">
        <v>172458.0</v>
      </c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</row>
    <row r="2434">
      <c r="A2434" s="125" t="s">
        <v>461</v>
      </c>
      <c r="B2434" s="125" t="s">
        <v>576</v>
      </c>
      <c r="C2434" s="125" t="s">
        <v>460</v>
      </c>
      <c r="D2434" s="125" t="s">
        <v>457</v>
      </c>
      <c r="E2434" s="125" t="s">
        <v>284</v>
      </c>
      <c r="F2434" s="126">
        <v>42494.0</v>
      </c>
      <c r="G2434" s="127">
        <v>5.02E8</v>
      </c>
      <c r="H2434" s="126">
        <v>42528.0</v>
      </c>
      <c r="I2434" s="128">
        <v>2899.0</v>
      </c>
      <c r="J2434" s="128">
        <v>47.45</v>
      </c>
      <c r="K2434" s="128">
        <v>31.79</v>
      </c>
      <c r="L2434" s="128">
        <v>137557.6</v>
      </c>
      <c r="M2434" s="128">
        <v>92159.21</v>
      </c>
      <c r="N2434" s="128">
        <v>45398.34</v>
      </c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</row>
    <row r="2435">
      <c r="A2435" s="125" t="s">
        <v>466</v>
      </c>
      <c r="B2435" s="125" t="s">
        <v>625</v>
      </c>
      <c r="C2435" s="125" t="s">
        <v>514</v>
      </c>
      <c r="D2435" s="125" t="s">
        <v>457</v>
      </c>
      <c r="E2435" s="125" t="s">
        <v>189</v>
      </c>
      <c r="F2435" s="126">
        <v>41231.0</v>
      </c>
      <c r="G2435" s="127">
        <v>7.17E8</v>
      </c>
      <c r="H2435" s="126">
        <v>41273.0</v>
      </c>
      <c r="I2435" s="128">
        <v>5952.0</v>
      </c>
      <c r="J2435" s="128">
        <v>668.27</v>
      </c>
      <c r="K2435" s="128">
        <v>502.54</v>
      </c>
      <c r="L2435" s="128">
        <v>3977543.0</v>
      </c>
      <c r="M2435" s="128">
        <v>2991118.0</v>
      </c>
      <c r="N2435" s="128">
        <v>986425.0</v>
      </c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</row>
    <row r="2436">
      <c r="A2436" s="125" t="s">
        <v>458</v>
      </c>
      <c r="B2436" s="125" t="s">
        <v>653</v>
      </c>
      <c r="C2436" s="125" t="s">
        <v>485</v>
      </c>
      <c r="D2436" s="125" t="s">
        <v>457</v>
      </c>
      <c r="E2436" s="125" t="s">
        <v>284</v>
      </c>
      <c r="F2436" s="126">
        <v>40983.0</v>
      </c>
      <c r="G2436" s="127">
        <v>6.31E8</v>
      </c>
      <c r="H2436" s="126">
        <v>41019.0</v>
      </c>
      <c r="I2436" s="128">
        <v>6711.0</v>
      </c>
      <c r="J2436" s="128">
        <v>421.89</v>
      </c>
      <c r="K2436" s="128">
        <v>364.69</v>
      </c>
      <c r="L2436" s="128">
        <v>2831304.0</v>
      </c>
      <c r="M2436" s="128">
        <v>2447435.0</v>
      </c>
      <c r="N2436" s="128">
        <v>383869.2</v>
      </c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</row>
    <row r="2437">
      <c r="A2437" s="125" t="s">
        <v>458</v>
      </c>
      <c r="B2437" s="125" t="s">
        <v>518</v>
      </c>
      <c r="C2437" s="125" t="s">
        <v>478</v>
      </c>
      <c r="D2437" s="125" t="s">
        <v>457</v>
      </c>
      <c r="E2437" s="125" t="s">
        <v>189</v>
      </c>
      <c r="F2437" s="126">
        <v>42501.0</v>
      </c>
      <c r="G2437" s="127">
        <v>8.6E8</v>
      </c>
      <c r="H2437" s="126">
        <v>42539.0</v>
      </c>
      <c r="I2437" s="128">
        <v>6744.0</v>
      </c>
      <c r="J2437" s="128">
        <v>651.21</v>
      </c>
      <c r="K2437" s="128">
        <v>524.96</v>
      </c>
      <c r="L2437" s="128">
        <v>4391760.0</v>
      </c>
      <c r="M2437" s="128">
        <v>3540330.0</v>
      </c>
      <c r="N2437" s="128">
        <v>851430.0</v>
      </c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</row>
    <row r="2438">
      <c r="A2438" s="125" t="s">
        <v>451</v>
      </c>
      <c r="B2438" s="125" t="s">
        <v>592</v>
      </c>
      <c r="C2438" s="125" t="s">
        <v>460</v>
      </c>
      <c r="D2438" s="125" t="s">
        <v>457</v>
      </c>
      <c r="E2438" s="125" t="s">
        <v>464</v>
      </c>
      <c r="F2438" s="126">
        <v>41395.0</v>
      </c>
      <c r="G2438" s="127">
        <v>7.39E8</v>
      </c>
      <c r="H2438" s="126">
        <v>41428.0</v>
      </c>
      <c r="I2438" s="128">
        <v>9648.0</v>
      </c>
      <c r="J2438" s="128">
        <v>47.45</v>
      </c>
      <c r="K2438" s="128">
        <v>31.79</v>
      </c>
      <c r="L2438" s="128">
        <v>457797.6</v>
      </c>
      <c r="M2438" s="128">
        <v>306709.9</v>
      </c>
      <c r="N2438" s="128">
        <v>151087.7</v>
      </c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</row>
    <row r="2439">
      <c r="A2439" s="125" t="s">
        <v>458</v>
      </c>
      <c r="B2439" s="125" t="s">
        <v>626</v>
      </c>
      <c r="C2439" s="125" t="s">
        <v>456</v>
      </c>
      <c r="D2439" s="125" t="s">
        <v>454</v>
      </c>
      <c r="E2439" s="125" t="s">
        <v>464</v>
      </c>
      <c r="F2439" s="126">
        <v>40578.0</v>
      </c>
      <c r="G2439" s="127">
        <v>5.75E8</v>
      </c>
      <c r="H2439" s="126">
        <v>40624.0</v>
      </c>
      <c r="I2439" s="128">
        <v>6054.0</v>
      </c>
      <c r="J2439" s="128">
        <v>152.58</v>
      </c>
      <c r="K2439" s="128">
        <v>97.44</v>
      </c>
      <c r="L2439" s="128">
        <v>923719.3</v>
      </c>
      <c r="M2439" s="128">
        <v>589901.8</v>
      </c>
      <c r="N2439" s="128">
        <v>333817.6</v>
      </c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</row>
    <row r="2440">
      <c r="A2440" s="125" t="s">
        <v>475</v>
      </c>
      <c r="B2440" s="125" t="s">
        <v>558</v>
      </c>
      <c r="C2440" s="125" t="s">
        <v>468</v>
      </c>
      <c r="D2440" s="125" t="s">
        <v>454</v>
      </c>
      <c r="E2440" s="125" t="s">
        <v>464</v>
      </c>
      <c r="F2440" s="126">
        <v>40587.0</v>
      </c>
      <c r="G2440" s="127">
        <v>2.95E8</v>
      </c>
      <c r="H2440" s="126">
        <v>40599.0</v>
      </c>
      <c r="I2440" s="128">
        <v>8623.0</v>
      </c>
      <c r="J2440" s="128">
        <v>81.73</v>
      </c>
      <c r="K2440" s="128">
        <v>56.67</v>
      </c>
      <c r="L2440" s="128">
        <v>704757.8</v>
      </c>
      <c r="M2440" s="128">
        <v>488665.4</v>
      </c>
      <c r="N2440" s="128">
        <v>216092.4</v>
      </c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</row>
    <row r="2441">
      <c r="A2441" s="125" t="s">
        <v>451</v>
      </c>
      <c r="B2441" s="125" t="s">
        <v>608</v>
      </c>
      <c r="C2441" s="125" t="s">
        <v>471</v>
      </c>
      <c r="D2441" s="125" t="s">
        <v>457</v>
      </c>
      <c r="E2441" s="125" t="s">
        <v>472</v>
      </c>
      <c r="F2441" s="126">
        <v>40963.0</v>
      </c>
      <c r="G2441" s="127">
        <v>7.95E8</v>
      </c>
      <c r="H2441" s="126">
        <v>40972.0</v>
      </c>
      <c r="I2441" s="128">
        <v>7047.0</v>
      </c>
      <c r="J2441" s="128">
        <v>109.28</v>
      </c>
      <c r="K2441" s="128">
        <v>35.84</v>
      </c>
      <c r="L2441" s="128">
        <v>770096.2</v>
      </c>
      <c r="M2441" s="128">
        <v>252564.5</v>
      </c>
      <c r="N2441" s="128">
        <v>517531.7</v>
      </c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</row>
    <row r="2442">
      <c r="A2442" s="125" t="s">
        <v>488</v>
      </c>
      <c r="B2442" s="125" t="s">
        <v>645</v>
      </c>
      <c r="C2442" s="125" t="s">
        <v>468</v>
      </c>
      <c r="D2442" s="125" t="s">
        <v>457</v>
      </c>
      <c r="E2442" s="125" t="s">
        <v>464</v>
      </c>
      <c r="F2442" s="126">
        <v>41637.0</v>
      </c>
      <c r="G2442" s="127">
        <v>7.93E8</v>
      </c>
      <c r="H2442" s="126">
        <v>41663.0</v>
      </c>
      <c r="I2442" s="128">
        <v>3050.0</v>
      </c>
      <c r="J2442" s="128">
        <v>81.73</v>
      </c>
      <c r="K2442" s="128">
        <v>56.67</v>
      </c>
      <c r="L2442" s="128">
        <v>249276.5</v>
      </c>
      <c r="M2442" s="128">
        <v>172843.5</v>
      </c>
      <c r="N2442" s="128">
        <v>76433.0</v>
      </c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</row>
    <row r="2443">
      <c r="A2443" s="125" t="s">
        <v>451</v>
      </c>
      <c r="B2443" s="125" t="s">
        <v>452</v>
      </c>
      <c r="C2443" s="125" t="s">
        <v>468</v>
      </c>
      <c r="D2443" s="125" t="s">
        <v>457</v>
      </c>
      <c r="E2443" s="125" t="s">
        <v>472</v>
      </c>
      <c r="F2443" s="126">
        <v>41547.0</v>
      </c>
      <c r="G2443" s="127">
        <v>8.76E8</v>
      </c>
      <c r="H2443" s="126">
        <v>41585.0</v>
      </c>
      <c r="I2443" s="128">
        <v>5387.0</v>
      </c>
      <c r="J2443" s="128">
        <v>81.73</v>
      </c>
      <c r="K2443" s="128">
        <v>56.67</v>
      </c>
      <c r="L2443" s="128">
        <v>440279.5</v>
      </c>
      <c r="M2443" s="128">
        <v>305281.3</v>
      </c>
      <c r="N2443" s="128">
        <v>134998.2</v>
      </c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</row>
    <row r="2444">
      <c r="A2444" s="125" t="s">
        <v>458</v>
      </c>
      <c r="B2444" s="125" t="s">
        <v>606</v>
      </c>
      <c r="C2444" s="125" t="s">
        <v>456</v>
      </c>
      <c r="D2444" s="125" t="s">
        <v>457</v>
      </c>
      <c r="E2444" s="125" t="s">
        <v>189</v>
      </c>
      <c r="F2444" s="126">
        <v>42785.0</v>
      </c>
      <c r="G2444" s="127">
        <v>3.52E8</v>
      </c>
      <c r="H2444" s="126">
        <v>42821.0</v>
      </c>
      <c r="I2444" s="128">
        <v>4844.0</v>
      </c>
      <c r="J2444" s="128">
        <v>152.58</v>
      </c>
      <c r="K2444" s="128">
        <v>97.44</v>
      </c>
      <c r="L2444" s="128">
        <v>739097.5</v>
      </c>
      <c r="M2444" s="128">
        <v>471999.4</v>
      </c>
      <c r="N2444" s="128">
        <v>267098.2</v>
      </c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</row>
    <row r="2445">
      <c r="A2445" s="125" t="s">
        <v>451</v>
      </c>
      <c r="B2445" s="125" t="s">
        <v>455</v>
      </c>
      <c r="C2445" s="125" t="s">
        <v>514</v>
      </c>
      <c r="D2445" s="125" t="s">
        <v>457</v>
      </c>
      <c r="E2445" s="125" t="s">
        <v>284</v>
      </c>
      <c r="F2445" s="126">
        <v>40916.0</v>
      </c>
      <c r="G2445" s="127">
        <v>4.0E8</v>
      </c>
      <c r="H2445" s="126">
        <v>40966.0</v>
      </c>
      <c r="I2445" s="128">
        <v>9238.0</v>
      </c>
      <c r="J2445" s="128">
        <v>668.27</v>
      </c>
      <c r="K2445" s="128">
        <v>502.54</v>
      </c>
      <c r="L2445" s="128">
        <v>6173478.0</v>
      </c>
      <c r="M2445" s="128">
        <v>4642465.0</v>
      </c>
      <c r="N2445" s="128">
        <v>1531014.0</v>
      </c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</row>
    <row r="2446">
      <c r="A2446" s="125" t="s">
        <v>461</v>
      </c>
      <c r="B2446" s="125" t="s">
        <v>516</v>
      </c>
      <c r="C2446" s="125" t="s">
        <v>453</v>
      </c>
      <c r="D2446" s="125" t="s">
        <v>454</v>
      </c>
      <c r="E2446" s="125" t="s">
        <v>284</v>
      </c>
      <c r="F2446" s="126">
        <v>40194.0</v>
      </c>
      <c r="G2446" s="127">
        <v>9.17E8</v>
      </c>
      <c r="H2446" s="126">
        <v>40213.0</v>
      </c>
      <c r="I2446" s="128">
        <v>8418.0</v>
      </c>
      <c r="J2446" s="128">
        <v>255.28</v>
      </c>
      <c r="K2446" s="128">
        <v>159.42</v>
      </c>
      <c r="L2446" s="128">
        <v>2148947.0</v>
      </c>
      <c r="M2446" s="128">
        <v>1341998.0</v>
      </c>
      <c r="N2446" s="128">
        <v>806949.5</v>
      </c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</row>
    <row r="2447">
      <c r="A2447" s="125" t="s">
        <v>458</v>
      </c>
      <c r="B2447" s="125" t="s">
        <v>554</v>
      </c>
      <c r="C2447" s="125" t="s">
        <v>463</v>
      </c>
      <c r="D2447" s="125" t="s">
        <v>454</v>
      </c>
      <c r="E2447" s="125" t="s">
        <v>472</v>
      </c>
      <c r="F2447" s="126">
        <v>41112.0</v>
      </c>
      <c r="G2447" s="127">
        <v>9.72E8</v>
      </c>
      <c r="H2447" s="126">
        <v>41138.0</v>
      </c>
      <c r="I2447" s="128">
        <v>9264.0</v>
      </c>
      <c r="J2447" s="128">
        <v>205.7</v>
      </c>
      <c r="K2447" s="128">
        <v>117.11</v>
      </c>
      <c r="L2447" s="128">
        <v>1905605.0</v>
      </c>
      <c r="M2447" s="128">
        <v>1084907.0</v>
      </c>
      <c r="N2447" s="128">
        <v>820697.8</v>
      </c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</row>
    <row r="2448">
      <c r="A2448" s="125" t="s">
        <v>466</v>
      </c>
      <c r="B2448" s="125" t="s">
        <v>580</v>
      </c>
      <c r="C2448" s="125" t="s">
        <v>485</v>
      </c>
      <c r="D2448" s="125" t="s">
        <v>454</v>
      </c>
      <c r="E2448" s="125" t="s">
        <v>464</v>
      </c>
      <c r="F2448" s="126">
        <v>41785.0</v>
      </c>
      <c r="G2448" s="127">
        <v>1.56E8</v>
      </c>
      <c r="H2448" s="126">
        <v>41799.0</v>
      </c>
      <c r="I2448" s="128">
        <v>686.0</v>
      </c>
      <c r="J2448" s="128">
        <v>421.89</v>
      </c>
      <c r="K2448" s="128">
        <v>364.69</v>
      </c>
      <c r="L2448" s="128">
        <v>289416.5</v>
      </c>
      <c r="M2448" s="128">
        <v>250177.3</v>
      </c>
      <c r="N2448" s="128">
        <v>39239.2</v>
      </c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</row>
    <row r="2449">
      <c r="A2449" s="125" t="s">
        <v>461</v>
      </c>
      <c r="B2449" s="125" t="s">
        <v>525</v>
      </c>
      <c r="C2449" s="125" t="s">
        <v>485</v>
      </c>
      <c r="D2449" s="125" t="s">
        <v>457</v>
      </c>
      <c r="E2449" s="125" t="s">
        <v>189</v>
      </c>
      <c r="F2449" s="126">
        <v>42102.0</v>
      </c>
      <c r="G2449" s="127">
        <v>8.26E8</v>
      </c>
      <c r="H2449" s="126">
        <v>42116.0</v>
      </c>
      <c r="I2449" s="128">
        <v>8628.0</v>
      </c>
      <c r="J2449" s="128">
        <v>421.89</v>
      </c>
      <c r="K2449" s="128">
        <v>364.69</v>
      </c>
      <c r="L2449" s="128">
        <v>3640067.0</v>
      </c>
      <c r="M2449" s="128">
        <v>3146545.0</v>
      </c>
      <c r="N2449" s="128">
        <v>493521.6</v>
      </c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</row>
    <row r="2450">
      <c r="A2450" s="125" t="s">
        <v>475</v>
      </c>
      <c r="B2450" s="125" t="s">
        <v>649</v>
      </c>
      <c r="C2450" s="125" t="s">
        <v>485</v>
      </c>
      <c r="D2450" s="125" t="s">
        <v>457</v>
      </c>
      <c r="E2450" s="125" t="s">
        <v>189</v>
      </c>
      <c r="F2450" s="126">
        <v>42339.0</v>
      </c>
      <c r="G2450" s="127">
        <v>4.63E8</v>
      </c>
      <c r="H2450" s="126">
        <v>42360.0</v>
      </c>
      <c r="I2450" s="128">
        <v>1063.0</v>
      </c>
      <c r="J2450" s="128">
        <v>421.89</v>
      </c>
      <c r="K2450" s="128">
        <v>364.69</v>
      </c>
      <c r="L2450" s="128">
        <v>448469.1</v>
      </c>
      <c r="M2450" s="128">
        <v>387665.5</v>
      </c>
      <c r="N2450" s="128">
        <v>60803.6</v>
      </c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</row>
    <row r="2451">
      <c r="A2451" s="125" t="s">
        <v>458</v>
      </c>
      <c r="B2451" s="125" t="s">
        <v>606</v>
      </c>
      <c r="C2451" s="125" t="s">
        <v>485</v>
      </c>
      <c r="D2451" s="125" t="s">
        <v>457</v>
      </c>
      <c r="E2451" s="125" t="s">
        <v>189</v>
      </c>
      <c r="F2451" s="126">
        <v>41779.0</v>
      </c>
      <c r="G2451" s="127">
        <v>2.17E8</v>
      </c>
      <c r="H2451" s="126">
        <v>41798.0</v>
      </c>
      <c r="I2451" s="128">
        <v>2996.0</v>
      </c>
      <c r="J2451" s="128">
        <v>421.89</v>
      </c>
      <c r="K2451" s="128">
        <v>364.69</v>
      </c>
      <c r="L2451" s="128">
        <v>1263982.0</v>
      </c>
      <c r="M2451" s="128">
        <v>1092611.0</v>
      </c>
      <c r="N2451" s="128">
        <v>171371.2</v>
      </c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</row>
    <row r="2452">
      <c r="A2452" s="125" t="s">
        <v>466</v>
      </c>
      <c r="B2452" s="125" t="s">
        <v>607</v>
      </c>
      <c r="C2452" s="125" t="s">
        <v>456</v>
      </c>
      <c r="D2452" s="125" t="s">
        <v>454</v>
      </c>
      <c r="E2452" s="125" t="s">
        <v>284</v>
      </c>
      <c r="F2452" s="126">
        <v>42860.0</v>
      </c>
      <c r="G2452" s="127">
        <v>8.58E8</v>
      </c>
      <c r="H2452" s="126">
        <v>42864.0</v>
      </c>
      <c r="I2452" s="128">
        <v>1463.0</v>
      </c>
      <c r="J2452" s="128">
        <v>152.58</v>
      </c>
      <c r="K2452" s="128">
        <v>97.44</v>
      </c>
      <c r="L2452" s="128">
        <v>223224.5</v>
      </c>
      <c r="M2452" s="128">
        <v>142554.7</v>
      </c>
      <c r="N2452" s="128">
        <v>80669.82</v>
      </c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</row>
    <row r="2453">
      <c r="A2453" s="125" t="s">
        <v>466</v>
      </c>
      <c r="B2453" s="125" t="s">
        <v>658</v>
      </c>
      <c r="C2453" s="125" t="s">
        <v>506</v>
      </c>
      <c r="D2453" s="125" t="s">
        <v>454</v>
      </c>
      <c r="E2453" s="125" t="s">
        <v>284</v>
      </c>
      <c r="F2453" s="126">
        <v>41494.0</v>
      </c>
      <c r="G2453" s="127">
        <v>5.27E8</v>
      </c>
      <c r="H2453" s="126">
        <v>41506.0</v>
      </c>
      <c r="I2453" s="128">
        <v>531.0</v>
      </c>
      <c r="J2453" s="128">
        <v>154.06</v>
      </c>
      <c r="K2453" s="128">
        <v>90.93</v>
      </c>
      <c r="L2453" s="128">
        <v>81805.86</v>
      </c>
      <c r="M2453" s="128">
        <v>48283.83</v>
      </c>
      <c r="N2453" s="128">
        <v>33522.03</v>
      </c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</row>
    <row r="2454">
      <c r="A2454" s="125" t="s">
        <v>469</v>
      </c>
      <c r="B2454" s="125" t="s">
        <v>630</v>
      </c>
      <c r="C2454" s="125" t="s">
        <v>480</v>
      </c>
      <c r="D2454" s="125" t="s">
        <v>457</v>
      </c>
      <c r="E2454" s="125" t="s">
        <v>189</v>
      </c>
      <c r="F2454" s="126">
        <v>42280.0</v>
      </c>
      <c r="G2454" s="127">
        <v>5.85E8</v>
      </c>
      <c r="H2454" s="126">
        <v>42321.0</v>
      </c>
      <c r="I2454" s="128">
        <v>6299.0</v>
      </c>
      <c r="J2454" s="128">
        <v>437.2</v>
      </c>
      <c r="K2454" s="128">
        <v>263.33</v>
      </c>
      <c r="L2454" s="128">
        <v>2753923.0</v>
      </c>
      <c r="M2454" s="128">
        <v>1658716.0</v>
      </c>
      <c r="N2454" s="128">
        <v>1095207.0</v>
      </c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</row>
    <row r="2455">
      <c r="A2455" s="125" t="s">
        <v>469</v>
      </c>
      <c r="B2455" s="125" t="s">
        <v>520</v>
      </c>
      <c r="C2455" s="125" t="s">
        <v>453</v>
      </c>
      <c r="D2455" s="125" t="s">
        <v>457</v>
      </c>
      <c r="E2455" s="125" t="s">
        <v>464</v>
      </c>
      <c r="F2455" s="126">
        <v>40524.0</v>
      </c>
      <c r="G2455" s="127">
        <v>6.64E8</v>
      </c>
      <c r="H2455" s="126">
        <v>40549.0</v>
      </c>
      <c r="I2455" s="128">
        <v>1897.0</v>
      </c>
      <c r="J2455" s="128">
        <v>255.28</v>
      </c>
      <c r="K2455" s="128">
        <v>159.42</v>
      </c>
      <c r="L2455" s="128">
        <v>484266.2</v>
      </c>
      <c r="M2455" s="128">
        <v>302419.7</v>
      </c>
      <c r="N2455" s="128">
        <v>181846.4</v>
      </c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</row>
    <row r="2456">
      <c r="A2456" s="125" t="s">
        <v>475</v>
      </c>
      <c r="B2456" s="125" t="s">
        <v>579</v>
      </c>
      <c r="C2456" s="125" t="s">
        <v>453</v>
      </c>
      <c r="D2456" s="125" t="s">
        <v>457</v>
      </c>
      <c r="E2456" s="125" t="s">
        <v>284</v>
      </c>
      <c r="F2456" s="126">
        <v>40220.0</v>
      </c>
      <c r="G2456" s="127">
        <v>9.14E8</v>
      </c>
      <c r="H2456" s="126">
        <v>40236.0</v>
      </c>
      <c r="I2456" s="128">
        <v>2486.0</v>
      </c>
      <c r="J2456" s="128">
        <v>255.28</v>
      </c>
      <c r="K2456" s="128">
        <v>159.42</v>
      </c>
      <c r="L2456" s="128">
        <v>634626.1</v>
      </c>
      <c r="M2456" s="128">
        <v>396318.1</v>
      </c>
      <c r="N2456" s="128">
        <v>238308.0</v>
      </c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</row>
    <row r="2457">
      <c r="A2457" s="125" t="s">
        <v>451</v>
      </c>
      <c r="B2457" s="125" t="s">
        <v>550</v>
      </c>
      <c r="C2457" s="125" t="s">
        <v>478</v>
      </c>
      <c r="D2457" s="125" t="s">
        <v>454</v>
      </c>
      <c r="E2457" s="125" t="s">
        <v>189</v>
      </c>
      <c r="F2457" s="126">
        <v>41601.0</v>
      </c>
      <c r="G2457" s="127">
        <v>6.57E8</v>
      </c>
      <c r="H2457" s="126">
        <v>41602.0</v>
      </c>
      <c r="I2457" s="128">
        <v>258.0</v>
      </c>
      <c r="J2457" s="128">
        <v>651.21</v>
      </c>
      <c r="K2457" s="128">
        <v>524.96</v>
      </c>
      <c r="L2457" s="128">
        <v>168012.2</v>
      </c>
      <c r="M2457" s="128">
        <v>135439.7</v>
      </c>
      <c r="N2457" s="128">
        <v>32572.5</v>
      </c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</row>
    <row r="2458">
      <c r="A2458" s="125" t="s">
        <v>461</v>
      </c>
      <c r="B2458" s="125" t="s">
        <v>615</v>
      </c>
      <c r="C2458" s="125" t="s">
        <v>506</v>
      </c>
      <c r="D2458" s="125" t="s">
        <v>457</v>
      </c>
      <c r="E2458" s="125" t="s">
        <v>464</v>
      </c>
      <c r="F2458" s="126">
        <v>42525.0</v>
      </c>
      <c r="G2458" s="127">
        <v>6.37E8</v>
      </c>
      <c r="H2458" s="126">
        <v>42559.0</v>
      </c>
      <c r="I2458" s="128">
        <v>9438.0</v>
      </c>
      <c r="J2458" s="128">
        <v>154.06</v>
      </c>
      <c r="K2458" s="128">
        <v>90.93</v>
      </c>
      <c r="L2458" s="128">
        <v>1454018.0</v>
      </c>
      <c r="M2458" s="128">
        <v>858197.3</v>
      </c>
      <c r="N2458" s="128">
        <v>595820.9</v>
      </c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</row>
    <row r="2459">
      <c r="A2459" s="125" t="s">
        <v>458</v>
      </c>
      <c r="B2459" s="125" t="s">
        <v>573</v>
      </c>
      <c r="C2459" s="125" t="s">
        <v>453</v>
      </c>
      <c r="D2459" s="125" t="s">
        <v>454</v>
      </c>
      <c r="E2459" s="125" t="s">
        <v>464</v>
      </c>
      <c r="F2459" s="126">
        <v>42619.0</v>
      </c>
      <c r="G2459" s="127">
        <v>7.65E8</v>
      </c>
      <c r="H2459" s="126">
        <v>42619.0</v>
      </c>
      <c r="I2459" s="128">
        <v>1279.0</v>
      </c>
      <c r="J2459" s="128">
        <v>255.28</v>
      </c>
      <c r="K2459" s="128">
        <v>159.42</v>
      </c>
      <c r="L2459" s="128">
        <v>326503.1</v>
      </c>
      <c r="M2459" s="128">
        <v>203898.2</v>
      </c>
      <c r="N2459" s="128">
        <v>122604.9</v>
      </c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</row>
    <row r="2460">
      <c r="A2460" s="125" t="s">
        <v>475</v>
      </c>
      <c r="B2460" s="125" t="s">
        <v>657</v>
      </c>
      <c r="C2460" s="125" t="s">
        <v>494</v>
      </c>
      <c r="D2460" s="125" t="s">
        <v>454</v>
      </c>
      <c r="E2460" s="125" t="s">
        <v>284</v>
      </c>
      <c r="F2460" s="126">
        <v>41902.0</v>
      </c>
      <c r="G2460" s="127">
        <v>5.74E8</v>
      </c>
      <c r="H2460" s="126">
        <v>41907.0</v>
      </c>
      <c r="I2460" s="128">
        <v>9068.0</v>
      </c>
      <c r="J2460" s="128">
        <v>9.33</v>
      </c>
      <c r="K2460" s="128">
        <v>6.92</v>
      </c>
      <c r="L2460" s="128">
        <v>84604.44</v>
      </c>
      <c r="M2460" s="128">
        <v>62750.56</v>
      </c>
      <c r="N2460" s="128">
        <v>21853.88</v>
      </c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</row>
    <row r="2461">
      <c r="A2461" s="125" t="s">
        <v>451</v>
      </c>
      <c r="B2461" s="125" t="s">
        <v>546</v>
      </c>
      <c r="C2461" s="125" t="s">
        <v>463</v>
      </c>
      <c r="D2461" s="125" t="s">
        <v>457</v>
      </c>
      <c r="E2461" s="125" t="s">
        <v>284</v>
      </c>
      <c r="F2461" s="126">
        <v>42162.0</v>
      </c>
      <c r="G2461" s="127">
        <v>5.68E8</v>
      </c>
      <c r="H2461" s="126">
        <v>42202.0</v>
      </c>
      <c r="I2461" s="128">
        <v>3123.0</v>
      </c>
      <c r="J2461" s="128">
        <v>205.7</v>
      </c>
      <c r="K2461" s="128">
        <v>117.11</v>
      </c>
      <c r="L2461" s="128">
        <v>642401.1</v>
      </c>
      <c r="M2461" s="128">
        <v>365734.5</v>
      </c>
      <c r="N2461" s="128">
        <v>276666.6</v>
      </c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</row>
    <row r="2462">
      <c r="A2462" s="125" t="s">
        <v>458</v>
      </c>
      <c r="B2462" s="125" t="s">
        <v>540</v>
      </c>
      <c r="C2462" s="125" t="s">
        <v>494</v>
      </c>
      <c r="D2462" s="125" t="s">
        <v>457</v>
      </c>
      <c r="E2462" s="125" t="s">
        <v>472</v>
      </c>
      <c r="F2462" s="126">
        <v>42813.0</v>
      </c>
      <c r="G2462" s="127">
        <v>8.7E8</v>
      </c>
      <c r="H2462" s="126">
        <v>42821.0</v>
      </c>
      <c r="I2462" s="128">
        <v>5792.0</v>
      </c>
      <c r="J2462" s="128">
        <v>9.33</v>
      </c>
      <c r="K2462" s="128">
        <v>6.92</v>
      </c>
      <c r="L2462" s="128">
        <v>54039.36</v>
      </c>
      <c r="M2462" s="128">
        <v>40080.64</v>
      </c>
      <c r="N2462" s="128">
        <v>13958.72</v>
      </c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</row>
    <row r="2463">
      <c r="A2463" s="125" t="s">
        <v>469</v>
      </c>
      <c r="B2463" s="125" t="s">
        <v>520</v>
      </c>
      <c r="C2463" s="125" t="s">
        <v>468</v>
      </c>
      <c r="D2463" s="125" t="s">
        <v>454</v>
      </c>
      <c r="E2463" s="125" t="s">
        <v>284</v>
      </c>
      <c r="F2463" s="126">
        <v>42273.0</v>
      </c>
      <c r="G2463" s="127">
        <v>7.74E8</v>
      </c>
      <c r="H2463" s="126">
        <v>42276.0</v>
      </c>
      <c r="I2463" s="128">
        <v>6454.0</v>
      </c>
      <c r="J2463" s="128">
        <v>81.73</v>
      </c>
      <c r="K2463" s="128">
        <v>56.67</v>
      </c>
      <c r="L2463" s="128">
        <v>527485.4</v>
      </c>
      <c r="M2463" s="128">
        <v>365748.2</v>
      </c>
      <c r="N2463" s="128">
        <v>161737.2</v>
      </c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</row>
    <row r="2464">
      <c r="A2464" s="125" t="s">
        <v>469</v>
      </c>
      <c r="B2464" s="125" t="s">
        <v>569</v>
      </c>
      <c r="C2464" s="125" t="s">
        <v>471</v>
      </c>
      <c r="D2464" s="125" t="s">
        <v>454</v>
      </c>
      <c r="E2464" s="125" t="s">
        <v>284</v>
      </c>
      <c r="F2464" s="126">
        <v>42115.0</v>
      </c>
      <c r="G2464" s="127">
        <v>9.94E8</v>
      </c>
      <c r="H2464" s="126">
        <v>42146.0</v>
      </c>
      <c r="I2464" s="128">
        <v>6522.0</v>
      </c>
      <c r="J2464" s="128">
        <v>109.28</v>
      </c>
      <c r="K2464" s="128">
        <v>35.84</v>
      </c>
      <c r="L2464" s="128">
        <v>712724.2</v>
      </c>
      <c r="M2464" s="128">
        <v>233748.5</v>
      </c>
      <c r="N2464" s="128">
        <v>478975.7</v>
      </c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</row>
    <row r="2465">
      <c r="A2465" s="125" t="s">
        <v>458</v>
      </c>
      <c r="B2465" s="125" t="s">
        <v>606</v>
      </c>
      <c r="C2465" s="125" t="s">
        <v>478</v>
      </c>
      <c r="D2465" s="125" t="s">
        <v>454</v>
      </c>
      <c r="E2465" s="125" t="s">
        <v>464</v>
      </c>
      <c r="F2465" s="126">
        <v>42918.0</v>
      </c>
      <c r="G2465" s="127">
        <v>5.14E8</v>
      </c>
      <c r="H2465" s="126">
        <v>42954.0</v>
      </c>
      <c r="I2465" s="128">
        <v>4437.0</v>
      </c>
      <c r="J2465" s="128">
        <v>651.21</v>
      </c>
      <c r="K2465" s="128">
        <v>524.96</v>
      </c>
      <c r="L2465" s="128">
        <v>2889419.0</v>
      </c>
      <c r="M2465" s="128">
        <v>2329248.0</v>
      </c>
      <c r="N2465" s="128">
        <v>560171.3</v>
      </c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</row>
    <row r="2466">
      <c r="A2466" s="125" t="s">
        <v>458</v>
      </c>
      <c r="B2466" s="125" t="s">
        <v>633</v>
      </c>
      <c r="C2466" s="125" t="s">
        <v>460</v>
      </c>
      <c r="D2466" s="125" t="s">
        <v>454</v>
      </c>
      <c r="E2466" s="125" t="s">
        <v>189</v>
      </c>
      <c r="F2466" s="126">
        <v>42886.0</v>
      </c>
      <c r="G2466" s="127">
        <v>6.39E8</v>
      </c>
      <c r="H2466" s="126">
        <v>42910.0</v>
      </c>
      <c r="I2466" s="128">
        <v>673.0</v>
      </c>
      <c r="J2466" s="128">
        <v>47.45</v>
      </c>
      <c r="K2466" s="128">
        <v>31.79</v>
      </c>
      <c r="L2466" s="128">
        <v>31933.85</v>
      </c>
      <c r="M2466" s="128">
        <v>21394.67</v>
      </c>
      <c r="N2466" s="128">
        <v>10539.18</v>
      </c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</row>
    <row r="2467">
      <c r="A2467" s="125" t="s">
        <v>458</v>
      </c>
      <c r="B2467" s="125" t="s">
        <v>487</v>
      </c>
      <c r="C2467" s="125" t="s">
        <v>453</v>
      </c>
      <c r="D2467" s="125" t="s">
        <v>454</v>
      </c>
      <c r="E2467" s="125" t="s">
        <v>472</v>
      </c>
      <c r="F2467" s="126">
        <v>41992.0</v>
      </c>
      <c r="G2467" s="127">
        <v>9.44E8</v>
      </c>
      <c r="H2467" s="126">
        <v>42035.0</v>
      </c>
      <c r="I2467" s="128">
        <v>2736.0</v>
      </c>
      <c r="J2467" s="128">
        <v>255.28</v>
      </c>
      <c r="K2467" s="128">
        <v>159.42</v>
      </c>
      <c r="L2467" s="128">
        <v>698446.1</v>
      </c>
      <c r="M2467" s="128">
        <v>436173.1</v>
      </c>
      <c r="N2467" s="128">
        <v>262273.0</v>
      </c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</row>
    <row r="2468">
      <c r="A2468" s="125" t="s">
        <v>466</v>
      </c>
      <c r="B2468" s="125" t="s">
        <v>467</v>
      </c>
      <c r="C2468" s="125" t="s">
        <v>471</v>
      </c>
      <c r="D2468" s="125" t="s">
        <v>454</v>
      </c>
      <c r="E2468" s="125" t="s">
        <v>464</v>
      </c>
      <c r="F2468" s="126">
        <v>40600.0</v>
      </c>
      <c r="G2468" s="127">
        <v>6.25E8</v>
      </c>
      <c r="H2468" s="126">
        <v>40600.0</v>
      </c>
      <c r="I2468" s="128">
        <v>160.0</v>
      </c>
      <c r="J2468" s="128">
        <v>109.28</v>
      </c>
      <c r="K2468" s="128">
        <v>35.84</v>
      </c>
      <c r="L2468" s="128">
        <v>17484.8</v>
      </c>
      <c r="M2468" s="128">
        <v>5734.4</v>
      </c>
      <c r="N2468" s="128">
        <v>11750.4</v>
      </c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</row>
    <row r="2469">
      <c r="A2469" s="125" t="s">
        <v>475</v>
      </c>
      <c r="B2469" s="125" t="s">
        <v>636</v>
      </c>
      <c r="C2469" s="125" t="s">
        <v>514</v>
      </c>
      <c r="D2469" s="125" t="s">
        <v>457</v>
      </c>
      <c r="E2469" s="125" t="s">
        <v>472</v>
      </c>
      <c r="F2469" s="126">
        <v>40845.0</v>
      </c>
      <c r="G2469" s="127">
        <v>7.47E8</v>
      </c>
      <c r="H2469" s="126">
        <v>40890.0</v>
      </c>
      <c r="I2469" s="128">
        <v>9514.0</v>
      </c>
      <c r="J2469" s="128">
        <v>668.27</v>
      </c>
      <c r="K2469" s="128">
        <v>502.54</v>
      </c>
      <c r="L2469" s="128">
        <v>6357921.0</v>
      </c>
      <c r="M2469" s="128">
        <v>4781166.0</v>
      </c>
      <c r="N2469" s="128">
        <v>1576755.0</v>
      </c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</row>
    <row r="2470">
      <c r="A2470" s="125" t="s">
        <v>475</v>
      </c>
      <c r="B2470" s="125" t="s">
        <v>521</v>
      </c>
      <c r="C2470" s="125" t="s">
        <v>456</v>
      </c>
      <c r="D2470" s="125" t="s">
        <v>454</v>
      </c>
      <c r="E2470" s="125" t="s">
        <v>284</v>
      </c>
      <c r="F2470" s="126">
        <v>42484.0</v>
      </c>
      <c r="G2470" s="127">
        <v>1.96E8</v>
      </c>
      <c r="H2470" s="126">
        <v>42521.0</v>
      </c>
      <c r="I2470" s="128">
        <v>9395.0</v>
      </c>
      <c r="J2470" s="128">
        <v>152.58</v>
      </c>
      <c r="K2470" s="128">
        <v>97.44</v>
      </c>
      <c r="L2470" s="128">
        <v>1433489.0</v>
      </c>
      <c r="M2470" s="128">
        <v>915448.8</v>
      </c>
      <c r="N2470" s="128">
        <v>518040.3</v>
      </c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</row>
    <row r="2471">
      <c r="A2471" s="125" t="s">
        <v>475</v>
      </c>
      <c r="B2471" s="125" t="s">
        <v>537</v>
      </c>
      <c r="C2471" s="125" t="s">
        <v>478</v>
      </c>
      <c r="D2471" s="125" t="s">
        <v>454</v>
      </c>
      <c r="E2471" s="125" t="s">
        <v>189</v>
      </c>
      <c r="F2471" s="126">
        <v>41518.0</v>
      </c>
      <c r="G2471" s="127">
        <v>6.29E8</v>
      </c>
      <c r="H2471" s="126">
        <v>41543.0</v>
      </c>
      <c r="I2471" s="128">
        <v>5435.0</v>
      </c>
      <c r="J2471" s="128">
        <v>651.21</v>
      </c>
      <c r="K2471" s="128">
        <v>524.96</v>
      </c>
      <c r="L2471" s="128">
        <v>3539326.0</v>
      </c>
      <c r="M2471" s="128">
        <v>2853158.0</v>
      </c>
      <c r="N2471" s="128">
        <v>686168.8</v>
      </c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</row>
    <row r="2472">
      <c r="A2472" s="125" t="s">
        <v>475</v>
      </c>
      <c r="B2472" s="125" t="s">
        <v>635</v>
      </c>
      <c r="C2472" s="125" t="s">
        <v>485</v>
      </c>
      <c r="D2472" s="125" t="s">
        <v>457</v>
      </c>
      <c r="E2472" s="125" t="s">
        <v>464</v>
      </c>
      <c r="F2472" s="126">
        <v>42630.0</v>
      </c>
      <c r="G2472" s="127">
        <v>6.21E8</v>
      </c>
      <c r="H2472" s="126">
        <v>42651.0</v>
      </c>
      <c r="I2472" s="128">
        <v>5294.0</v>
      </c>
      <c r="J2472" s="128">
        <v>421.89</v>
      </c>
      <c r="K2472" s="128">
        <v>364.69</v>
      </c>
      <c r="L2472" s="128">
        <v>2233486.0</v>
      </c>
      <c r="M2472" s="128">
        <v>1930669.0</v>
      </c>
      <c r="N2472" s="128">
        <v>302816.8</v>
      </c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</row>
    <row r="2473">
      <c r="A2473" s="125" t="s">
        <v>469</v>
      </c>
      <c r="B2473" s="125" t="s">
        <v>647</v>
      </c>
      <c r="C2473" s="125" t="s">
        <v>463</v>
      </c>
      <c r="D2473" s="125" t="s">
        <v>454</v>
      </c>
      <c r="E2473" s="125" t="s">
        <v>472</v>
      </c>
      <c r="F2473" s="126">
        <v>41213.0</v>
      </c>
      <c r="G2473" s="127">
        <v>6.21E8</v>
      </c>
      <c r="H2473" s="126">
        <v>41240.0</v>
      </c>
      <c r="I2473" s="128">
        <v>3665.0</v>
      </c>
      <c r="J2473" s="128">
        <v>205.7</v>
      </c>
      <c r="K2473" s="128">
        <v>117.11</v>
      </c>
      <c r="L2473" s="128">
        <v>753890.5</v>
      </c>
      <c r="M2473" s="128">
        <v>429208.2</v>
      </c>
      <c r="N2473" s="128">
        <v>324682.4</v>
      </c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</row>
    <row r="2474">
      <c r="A2474" s="125" t="s">
        <v>458</v>
      </c>
      <c r="B2474" s="125" t="s">
        <v>529</v>
      </c>
      <c r="C2474" s="125" t="s">
        <v>453</v>
      </c>
      <c r="D2474" s="125" t="s">
        <v>457</v>
      </c>
      <c r="E2474" s="125" t="s">
        <v>472</v>
      </c>
      <c r="F2474" s="126">
        <v>41349.0</v>
      </c>
      <c r="G2474" s="127">
        <v>6.95E8</v>
      </c>
      <c r="H2474" s="126">
        <v>41354.0</v>
      </c>
      <c r="I2474" s="128">
        <v>7270.0</v>
      </c>
      <c r="J2474" s="128">
        <v>255.28</v>
      </c>
      <c r="K2474" s="128">
        <v>159.42</v>
      </c>
      <c r="L2474" s="128">
        <v>1855886.0</v>
      </c>
      <c r="M2474" s="128">
        <v>1158983.0</v>
      </c>
      <c r="N2474" s="128">
        <v>696902.2</v>
      </c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</row>
    <row r="2475">
      <c r="A2475" s="125" t="s">
        <v>475</v>
      </c>
      <c r="B2475" s="125" t="s">
        <v>657</v>
      </c>
      <c r="C2475" s="125" t="s">
        <v>480</v>
      </c>
      <c r="D2475" s="125" t="s">
        <v>454</v>
      </c>
      <c r="E2475" s="125" t="s">
        <v>472</v>
      </c>
      <c r="F2475" s="126">
        <v>40590.0</v>
      </c>
      <c r="G2475" s="127">
        <v>9.8E8</v>
      </c>
      <c r="H2475" s="126">
        <v>40598.0</v>
      </c>
      <c r="I2475" s="128">
        <v>9866.0</v>
      </c>
      <c r="J2475" s="128">
        <v>437.2</v>
      </c>
      <c r="K2475" s="128">
        <v>263.33</v>
      </c>
      <c r="L2475" s="128">
        <v>4313415.0</v>
      </c>
      <c r="M2475" s="128">
        <v>2598014.0</v>
      </c>
      <c r="N2475" s="128">
        <v>1715401.0</v>
      </c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</row>
    <row r="2476">
      <c r="A2476" s="125" t="s">
        <v>461</v>
      </c>
      <c r="B2476" s="125" t="s">
        <v>586</v>
      </c>
      <c r="C2476" s="125" t="s">
        <v>480</v>
      </c>
      <c r="D2476" s="125" t="s">
        <v>454</v>
      </c>
      <c r="E2476" s="125" t="s">
        <v>189</v>
      </c>
      <c r="F2476" s="126">
        <v>42413.0</v>
      </c>
      <c r="G2476" s="127">
        <v>3.36E8</v>
      </c>
      <c r="H2476" s="126">
        <v>42415.0</v>
      </c>
      <c r="I2476" s="128">
        <v>7238.0</v>
      </c>
      <c r="J2476" s="128">
        <v>437.2</v>
      </c>
      <c r="K2476" s="128">
        <v>263.33</v>
      </c>
      <c r="L2476" s="128">
        <v>3164454.0</v>
      </c>
      <c r="M2476" s="128">
        <v>1905983.0</v>
      </c>
      <c r="N2476" s="128">
        <v>1258471.0</v>
      </c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</row>
    <row r="2477">
      <c r="A2477" s="125" t="s">
        <v>458</v>
      </c>
      <c r="B2477" s="125" t="s">
        <v>473</v>
      </c>
      <c r="C2477" s="125" t="s">
        <v>456</v>
      </c>
      <c r="D2477" s="125" t="s">
        <v>457</v>
      </c>
      <c r="E2477" s="125" t="s">
        <v>284</v>
      </c>
      <c r="F2477" s="126">
        <v>40999.0</v>
      </c>
      <c r="G2477" s="127">
        <v>3.89E8</v>
      </c>
      <c r="H2477" s="126">
        <v>41039.0</v>
      </c>
      <c r="I2477" s="128">
        <v>2203.0</v>
      </c>
      <c r="J2477" s="128">
        <v>152.58</v>
      </c>
      <c r="K2477" s="128">
        <v>97.44</v>
      </c>
      <c r="L2477" s="128">
        <v>336133.7</v>
      </c>
      <c r="M2477" s="128">
        <v>214660.3</v>
      </c>
      <c r="N2477" s="128">
        <v>121473.4</v>
      </c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</row>
    <row r="2478">
      <c r="A2478" s="125" t="s">
        <v>461</v>
      </c>
      <c r="B2478" s="125" t="s">
        <v>516</v>
      </c>
      <c r="C2478" s="125" t="s">
        <v>471</v>
      </c>
      <c r="D2478" s="125" t="s">
        <v>454</v>
      </c>
      <c r="E2478" s="125" t="s">
        <v>464</v>
      </c>
      <c r="F2478" s="126">
        <v>41986.0</v>
      </c>
      <c r="G2478" s="127">
        <v>5.88E8</v>
      </c>
      <c r="H2478" s="126">
        <v>42024.0</v>
      </c>
      <c r="I2478" s="128">
        <v>9611.0</v>
      </c>
      <c r="J2478" s="128">
        <v>109.28</v>
      </c>
      <c r="K2478" s="128">
        <v>35.84</v>
      </c>
      <c r="L2478" s="128">
        <v>1050290.0</v>
      </c>
      <c r="M2478" s="128">
        <v>344458.2</v>
      </c>
      <c r="N2478" s="128">
        <v>705831.8</v>
      </c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</row>
    <row r="2479">
      <c r="A2479" s="125" t="s">
        <v>458</v>
      </c>
      <c r="B2479" s="125" t="s">
        <v>641</v>
      </c>
      <c r="C2479" s="125" t="s">
        <v>506</v>
      </c>
      <c r="D2479" s="125" t="s">
        <v>457</v>
      </c>
      <c r="E2479" s="125" t="s">
        <v>464</v>
      </c>
      <c r="F2479" s="126">
        <v>41716.0</v>
      </c>
      <c r="G2479" s="127">
        <v>4.53E8</v>
      </c>
      <c r="H2479" s="126">
        <v>41717.0</v>
      </c>
      <c r="I2479" s="128">
        <v>1340.0</v>
      </c>
      <c r="J2479" s="128">
        <v>154.06</v>
      </c>
      <c r="K2479" s="128">
        <v>90.93</v>
      </c>
      <c r="L2479" s="128">
        <v>206440.4</v>
      </c>
      <c r="M2479" s="128">
        <v>121846.2</v>
      </c>
      <c r="N2479" s="128">
        <v>84594.2</v>
      </c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</row>
    <row r="2480">
      <c r="A2480" s="125" t="s">
        <v>458</v>
      </c>
      <c r="B2480" s="125" t="s">
        <v>545</v>
      </c>
      <c r="C2480" s="125" t="s">
        <v>453</v>
      </c>
      <c r="D2480" s="125" t="s">
        <v>457</v>
      </c>
      <c r="E2480" s="125" t="s">
        <v>189</v>
      </c>
      <c r="F2480" s="126">
        <v>42456.0</v>
      </c>
      <c r="G2480" s="127">
        <v>9.21E8</v>
      </c>
      <c r="H2480" s="126">
        <v>42506.0</v>
      </c>
      <c r="I2480" s="128">
        <v>1303.0</v>
      </c>
      <c r="J2480" s="128">
        <v>255.28</v>
      </c>
      <c r="K2480" s="128">
        <v>159.42</v>
      </c>
      <c r="L2480" s="128">
        <v>332629.8</v>
      </c>
      <c r="M2480" s="128">
        <v>207724.3</v>
      </c>
      <c r="N2480" s="128">
        <v>124905.6</v>
      </c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</row>
    <row r="2481">
      <c r="A2481" s="125" t="s">
        <v>466</v>
      </c>
      <c r="B2481" s="125" t="s">
        <v>502</v>
      </c>
      <c r="C2481" s="125" t="s">
        <v>494</v>
      </c>
      <c r="D2481" s="125" t="s">
        <v>457</v>
      </c>
      <c r="E2481" s="125" t="s">
        <v>472</v>
      </c>
      <c r="F2481" s="126">
        <v>42709.0</v>
      </c>
      <c r="G2481" s="127">
        <v>3.04E8</v>
      </c>
      <c r="H2481" s="126">
        <v>42749.0</v>
      </c>
      <c r="I2481" s="128">
        <v>441.0</v>
      </c>
      <c r="J2481" s="128">
        <v>9.33</v>
      </c>
      <c r="K2481" s="128">
        <v>6.92</v>
      </c>
      <c r="L2481" s="128">
        <v>4114.53</v>
      </c>
      <c r="M2481" s="128">
        <v>3051.72</v>
      </c>
      <c r="N2481" s="128">
        <v>1062.81</v>
      </c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</row>
    <row r="2482">
      <c r="A2482" s="125" t="s">
        <v>461</v>
      </c>
      <c r="B2482" s="125" t="s">
        <v>581</v>
      </c>
      <c r="C2482" s="125" t="s">
        <v>494</v>
      </c>
      <c r="D2482" s="125" t="s">
        <v>457</v>
      </c>
      <c r="E2482" s="125" t="s">
        <v>284</v>
      </c>
      <c r="F2482" s="126">
        <v>41370.0</v>
      </c>
      <c r="G2482" s="127">
        <v>1.29E8</v>
      </c>
      <c r="H2482" s="126">
        <v>41411.0</v>
      </c>
      <c r="I2482" s="128">
        <v>1729.0</v>
      </c>
      <c r="J2482" s="128">
        <v>9.33</v>
      </c>
      <c r="K2482" s="128">
        <v>6.92</v>
      </c>
      <c r="L2482" s="128">
        <v>16131.57</v>
      </c>
      <c r="M2482" s="128">
        <v>11964.68</v>
      </c>
      <c r="N2482" s="128">
        <v>4166.89</v>
      </c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</row>
    <row r="2483">
      <c r="A2483" s="125" t="s">
        <v>475</v>
      </c>
      <c r="B2483" s="125" t="s">
        <v>558</v>
      </c>
      <c r="C2483" s="125" t="s">
        <v>480</v>
      </c>
      <c r="D2483" s="125" t="s">
        <v>454</v>
      </c>
      <c r="E2483" s="125" t="s">
        <v>464</v>
      </c>
      <c r="F2483" s="126">
        <v>41870.0</v>
      </c>
      <c r="G2483" s="127">
        <v>1.98E8</v>
      </c>
      <c r="H2483" s="126">
        <v>41881.0</v>
      </c>
      <c r="I2483" s="128">
        <v>5170.0</v>
      </c>
      <c r="J2483" s="128">
        <v>437.2</v>
      </c>
      <c r="K2483" s="128">
        <v>263.33</v>
      </c>
      <c r="L2483" s="128">
        <v>2260324.0</v>
      </c>
      <c r="M2483" s="128">
        <v>1361416.0</v>
      </c>
      <c r="N2483" s="128">
        <v>898907.9</v>
      </c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</row>
    <row r="2484">
      <c r="A2484" s="125" t="s">
        <v>458</v>
      </c>
      <c r="B2484" s="125" t="s">
        <v>555</v>
      </c>
      <c r="C2484" s="125" t="s">
        <v>494</v>
      </c>
      <c r="D2484" s="125" t="s">
        <v>454</v>
      </c>
      <c r="E2484" s="125" t="s">
        <v>189</v>
      </c>
      <c r="F2484" s="126">
        <v>42499.0</v>
      </c>
      <c r="G2484" s="127">
        <v>8.31E8</v>
      </c>
      <c r="H2484" s="126">
        <v>42522.0</v>
      </c>
      <c r="I2484" s="128">
        <v>2802.0</v>
      </c>
      <c r="J2484" s="128">
        <v>9.33</v>
      </c>
      <c r="K2484" s="128">
        <v>6.92</v>
      </c>
      <c r="L2484" s="128">
        <v>26142.66</v>
      </c>
      <c r="M2484" s="128">
        <v>19389.84</v>
      </c>
      <c r="N2484" s="128">
        <v>6752.82</v>
      </c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</row>
    <row r="2485">
      <c r="A2485" s="125" t="s">
        <v>466</v>
      </c>
      <c r="B2485" s="125" t="s">
        <v>496</v>
      </c>
      <c r="C2485" s="125" t="s">
        <v>478</v>
      </c>
      <c r="D2485" s="125" t="s">
        <v>457</v>
      </c>
      <c r="E2485" s="125" t="s">
        <v>464</v>
      </c>
      <c r="F2485" s="126">
        <v>40551.0</v>
      </c>
      <c r="G2485" s="127">
        <v>6.18E8</v>
      </c>
      <c r="H2485" s="126">
        <v>40587.0</v>
      </c>
      <c r="I2485" s="128">
        <v>3692.0</v>
      </c>
      <c r="J2485" s="128">
        <v>651.21</v>
      </c>
      <c r="K2485" s="128">
        <v>524.96</v>
      </c>
      <c r="L2485" s="128">
        <v>2404267.0</v>
      </c>
      <c r="M2485" s="128">
        <v>1938152.0</v>
      </c>
      <c r="N2485" s="128">
        <v>466115.0</v>
      </c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</row>
    <row r="2486">
      <c r="A2486" s="125" t="s">
        <v>475</v>
      </c>
      <c r="B2486" s="125" t="s">
        <v>571</v>
      </c>
      <c r="C2486" s="125" t="s">
        <v>514</v>
      </c>
      <c r="D2486" s="125" t="s">
        <v>454</v>
      </c>
      <c r="E2486" s="125" t="s">
        <v>464</v>
      </c>
      <c r="F2486" s="126">
        <v>42008.0</v>
      </c>
      <c r="G2486" s="127">
        <v>4.71E8</v>
      </c>
      <c r="H2486" s="126">
        <v>42031.0</v>
      </c>
      <c r="I2486" s="128">
        <v>8937.0</v>
      </c>
      <c r="J2486" s="128">
        <v>668.27</v>
      </c>
      <c r="K2486" s="128">
        <v>502.54</v>
      </c>
      <c r="L2486" s="128">
        <v>5972329.0</v>
      </c>
      <c r="M2486" s="128">
        <v>4491200.0</v>
      </c>
      <c r="N2486" s="128">
        <v>1481129.0</v>
      </c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</row>
    <row r="2487">
      <c r="A2487" s="125" t="s">
        <v>451</v>
      </c>
      <c r="B2487" s="125" t="s">
        <v>608</v>
      </c>
      <c r="C2487" s="125" t="s">
        <v>453</v>
      </c>
      <c r="D2487" s="125" t="s">
        <v>454</v>
      </c>
      <c r="E2487" s="125" t="s">
        <v>464</v>
      </c>
      <c r="F2487" s="126">
        <v>40794.0</v>
      </c>
      <c r="G2487" s="127">
        <v>4.71E8</v>
      </c>
      <c r="H2487" s="126">
        <v>40840.0</v>
      </c>
      <c r="I2487" s="128">
        <v>6669.0</v>
      </c>
      <c r="J2487" s="128">
        <v>255.28</v>
      </c>
      <c r="K2487" s="128">
        <v>159.42</v>
      </c>
      <c r="L2487" s="128">
        <v>1702462.0</v>
      </c>
      <c r="M2487" s="128">
        <v>1063172.0</v>
      </c>
      <c r="N2487" s="128">
        <v>639290.3</v>
      </c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</row>
    <row r="2488">
      <c r="A2488" s="125" t="s">
        <v>458</v>
      </c>
      <c r="B2488" s="125" t="s">
        <v>493</v>
      </c>
      <c r="C2488" s="125" t="s">
        <v>463</v>
      </c>
      <c r="D2488" s="125" t="s">
        <v>454</v>
      </c>
      <c r="E2488" s="125" t="s">
        <v>189</v>
      </c>
      <c r="F2488" s="126">
        <v>42284.0</v>
      </c>
      <c r="G2488" s="127">
        <v>3.19E8</v>
      </c>
      <c r="H2488" s="126">
        <v>42313.0</v>
      </c>
      <c r="I2488" s="128">
        <v>7048.0</v>
      </c>
      <c r="J2488" s="128">
        <v>205.7</v>
      </c>
      <c r="K2488" s="128">
        <v>117.11</v>
      </c>
      <c r="L2488" s="128">
        <v>1449774.0</v>
      </c>
      <c r="M2488" s="128">
        <v>825391.3</v>
      </c>
      <c r="N2488" s="128">
        <v>624382.3</v>
      </c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</row>
    <row r="2489">
      <c r="A2489" s="125" t="s">
        <v>451</v>
      </c>
      <c r="B2489" s="125" t="s">
        <v>455</v>
      </c>
      <c r="C2489" s="125" t="s">
        <v>514</v>
      </c>
      <c r="D2489" s="125" t="s">
        <v>457</v>
      </c>
      <c r="E2489" s="125" t="s">
        <v>472</v>
      </c>
      <c r="F2489" s="126">
        <v>42565.0</v>
      </c>
      <c r="G2489" s="127">
        <v>6.87E8</v>
      </c>
      <c r="H2489" s="126">
        <v>42600.0</v>
      </c>
      <c r="I2489" s="128">
        <v>7267.0</v>
      </c>
      <c r="J2489" s="128">
        <v>668.27</v>
      </c>
      <c r="K2489" s="128">
        <v>502.54</v>
      </c>
      <c r="L2489" s="128">
        <v>4856318.0</v>
      </c>
      <c r="M2489" s="128">
        <v>3651958.0</v>
      </c>
      <c r="N2489" s="128">
        <v>1204360.0</v>
      </c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</row>
    <row r="2490">
      <c r="A2490" s="125" t="s">
        <v>475</v>
      </c>
      <c r="B2490" s="125" t="s">
        <v>570</v>
      </c>
      <c r="C2490" s="125" t="s">
        <v>478</v>
      </c>
      <c r="D2490" s="125" t="s">
        <v>454</v>
      </c>
      <c r="E2490" s="125" t="s">
        <v>472</v>
      </c>
      <c r="F2490" s="126">
        <v>40875.0</v>
      </c>
      <c r="G2490" s="127">
        <v>9.67E8</v>
      </c>
      <c r="H2490" s="126">
        <v>40917.0</v>
      </c>
      <c r="I2490" s="128">
        <v>6548.0</v>
      </c>
      <c r="J2490" s="128">
        <v>651.21</v>
      </c>
      <c r="K2490" s="128">
        <v>524.96</v>
      </c>
      <c r="L2490" s="128">
        <v>4264123.0</v>
      </c>
      <c r="M2490" s="128">
        <v>3437438.0</v>
      </c>
      <c r="N2490" s="128">
        <v>826685.0</v>
      </c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</row>
    <row r="2491">
      <c r="A2491" s="125" t="s">
        <v>451</v>
      </c>
      <c r="B2491" s="125" t="s">
        <v>620</v>
      </c>
      <c r="C2491" s="125" t="s">
        <v>460</v>
      </c>
      <c r="D2491" s="125" t="s">
        <v>457</v>
      </c>
      <c r="E2491" s="125" t="s">
        <v>472</v>
      </c>
      <c r="F2491" s="126">
        <v>40992.0</v>
      </c>
      <c r="G2491" s="127">
        <v>6.23E8</v>
      </c>
      <c r="H2491" s="126">
        <v>41004.0</v>
      </c>
      <c r="I2491" s="128">
        <v>1148.0</v>
      </c>
      <c r="J2491" s="128">
        <v>47.45</v>
      </c>
      <c r="K2491" s="128">
        <v>31.79</v>
      </c>
      <c r="L2491" s="128">
        <v>54472.6</v>
      </c>
      <c r="M2491" s="128">
        <v>36494.92</v>
      </c>
      <c r="N2491" s="128">
        <v>17977.68</v>
      </c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</row>
    <row r="2492">
      <c r="A2492" s="125" t="s">
        <v>451</v>
      </c>
      <c r="B2492" s="125" t="s">
        <v>499</v>
      </c>
      <c r="C2492" s="125" t="s">
        <v>514</v>
      </c>
      <c r="D2492" s="125" t="s">
        <v>457</v>
      </c>
      <c r="E2492" s="125" t="s">
        <v>464</v>
      </c>
      <c r="F2492" s="126">
        <v>41551.0</v>
      </c>
      <c r="G2492" s="127">
        <v>5.36E8</v>
      </c>
      <c r="H2492" s="126">
        <v>41576.0</v>
      </c>
      <c r="I2492" s="128">
        <v>9353.0</v>
      </c>
      <c r="J2492" s="128">
        <v>668.27</v>
      </c>
      <c r="K2492" s="128">
        <v>502.54</v>
      </c>
      <c r="L2492" s="128">
        <v>6250329.0</v>
      </c>
      <c r="M2492" s="128">
        <v>4700257.0</v>
      </c>
      <c r="N2492" s="128">
        <v>1550073.0</v>
      </c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</row>
    <row r="2493">
      <c r="A2493" s="125" t="s">
        <v>475</v>
      </c>
      <c r="B2493" s="125" t="s">
        <v>648</v>
      </c>
      <c r="C2493" s="125" t="s">
        <v>480</v>
      </c>
      <c r="D2493" s="125" t="s">
        <v>454</v>
      </c>
      <c r="E2493" s="125" t="s">
        <v>472</v>
      </c>
      <c r="F2493" s="126">
        <v>40193.0</v>
      </c>
      <c r="G2493" s="127">
        <v>7.61E8</v>
      </c>
      <c r="H2493" s="126">
        <v>40240.0</v>
      </c>
      <c r="I2493" s="128">
        <v>6479.0</v>
      </c>
      <c r="J2493" s="128">
        <v>437.2</v>
      </c>
      <c r="K2493" s="128">
        <v>263.33</v>
      </c>
      <c r="L2493" s="128">
        <v>2832619.0</v>
      </c>
      <c r="M2493" s="128">
        <v>1706115.0</v>
      </c>
      <c r="N2493" s="128">
        <v>1126504.0</v>
      </c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</row>
    <row r="2494">
      <c r="A2494" s="125" t="s">
        <v>458</v>
      </c>
      <c r="B2494" s="125" t="s">
        <v>567</v>
      </c>
      <c r="C2494" s="125" t="s">
        <v>485</v>
      </c>
      <c r="D2494" s="125" t="s">
        <v>457</v>
      </c>
      <c r="E2494" s="125" t="s">
        <v>472</v>
      </c>
      <c r="F2494" s="126">
        <v>40477.0</v>
      </c>
      <c r="G2494" s="127">
        <v>9.7E8</v>
      </c>
      <c r="H2494" s="126">
        <v>40482.0</v>
      </c>
      <c r="I2494" s="128">
        <v>9875.0</v>
      </c>
      <c r="J2494" s="128">
        <v>421.89</v>
      </c>
      <c r="K2494" s="128">
        <v>364.69</v>
      </c>
      <c r="L2494" s="128">
        <v>4166164.0</v>
      </c>
      <c r="M2494" s="128">
        <v>3601314.0</v>
      </c>
      <c r="N2494" s="128">
        <v>564850.0</v>
      </c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</row>
    <row r="2495">
      <c r="A2495" s="125" t="s">
        <v>461</v>
      </c>
      <c r="B2495" s="125" t="s">
        <v>621</v>
      </c>
      <c r="C2495" s="125" t="s">
        <v>494</v>
      </c>
      <c r="D2495" s="125" t="s">
        <v>457</v>
      </c>
      <c r="E2495" s="125" t="s">
        <v>464</v>
      </c>
      <c r="F2495" s="126">
        <v>42208.0</v>
      </c>
      <c r="G2495" s="127">
        <v>9.08E8</v>
      </c>
      <c r="H2495" s="126">
        <v>42227.0</v>
      </c>
      <c r="I2495" s="128">
        <v>3921.0</v>
      </c>
      <c r="J2495" s="128">
        <v>9.33</v>
      </c>
      <c r="K2495" s="128">
        <v>6.92</v>
      </c>
      <c r="L2495" s="128">
        <v>36582.93</v>
      </c>
      <c r="M2495" s="128">
        <v>27133.32</v>
      </c>
      <c r="N2495" s="128">
        <v>9449.61</v>
      </c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</row>
    <row r="2496">
      <c r="A2496" s="125" t="s">
        <v>451</v>
      </c>
      <c r="B2496" s="125" t="s">
        <v>455</v>
      </c>
      <c r="C2496" s="125" t="s">
        <v>506</v>
      </c>
      <c r="D2496" s="125" t="s">
        <v>454</v>
      </c>
      <c r="E2496" s="125" t="s">
        <v>472</v>
      </c>
      <c r="F2496" s="126">
        <v>42807.0</v>
      </c>
      <c r="G2496" s="127">
        <v>8.38E8</v>
      </c>
      <c r="H2496" s="126">
        <v>42827.0</v>
      </c>
      <c r="I2496" s="128">
        <v>5029.0</v>
      </c>
      <c r="J2496" s="128">
        <v>154.06</v>
      </c>
      <c r="K2496" s="128">
        <v>90.93</v>
      </c>
      <c r="L2496" s="128">
        <v>774767.7</v>
      </c>
      <c r="M2496" s="128">
        <v>457287.0</v>
      </c>
      <c r="N2496" s="128">
        <v>317480.8</v>
      </c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</row>
    <row r="2497">
      <c r="A2497" s="125" t="s">
        <v>458</v>
      </c>
      <c r="B2497" s="125" t="s">
        <v>493</v>
      </c>
      <c r="C2497" s="125" t="s">
        <v>463</v>
      </c>
      <c r="D2497" s="125" t="s">
        <v>457</v>
      </c>
      <c r="E2497" s="125" t="s">
        <v>472</v>
      </c>
      <c r="F2497" s="126">
        <v>41473.0</v>
      </c>
      <c r="G2497" s="127">
        <v>1.95E8</v>
      </c>
      <c r="H2497" s="126">
        <v>41500.0</v>
      </c>
      <c r="I2497" s="128">
        <v>6641.0</v>
      </c>
      <c r="J2497" s="128">
        <v>205.7</v>
      </c>
      <c r="K2497" s="128">
        <v>117.11</v>
      </c>
      <c r="L2497" s="128">
        <v>1366054.0</v>
      </c>
      <c r="M2497" s="128">
        <v>777727.5</v>
      </c>
      <c r="N2497" s="128">
        <v>588326.2</v>
      </c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</row>
    <row r="2498">
      <c r="A2498" s="125" t="s">
        <v>475</v>
      </c>
      <c r="B2498" s="125" t="s">
        <v>601</v>
      </c>
      <c r="C2498" s="125" t="s">
        <v>506</v>
      </c>
      <c r="D2498" s="125" t="s">
        <v>454</v>
      </c>
      <c r="E2498" s="125" t="s">
        <v>284</v>
      </c>
      <c r="F2498" s="126">
        <v>40556.0</v>
      </c>
      <c r="G2498" s="127">
        <v>7.34E8</v>
      </c>
      <c r="H2498" s="126">
        <v>40577.0</v>
      </c>
      <c r="I2498" s="128">
        <v>4229.0</v>
      </c>
      <c r="J2498" s="128">
        <v>154.06</v>
      </c>
      <c r="K2498" s="128">
        <v>90.93</v>
      </c>
      <c r="L2498" s="128">
        <v>651519.7</v>
      </c>
      <c r="M2498" s="128">
        <v>384543.0</v>
      </c>
      <c r="N2498" s="128">
        <v>266976.8</v>
      </c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</row>
    <row r="2499">
      <c r="A2499" s="125" t="s">
        <v>451</v>
      </c>
      <c r="B2499" s="125" t="s">
        <v>455</v>
      </c>
      <c r="C2499" s="125" t="s">
        <v>480</v>
      </c>
      <c r="D2499" s="125" t="s">
        <v>454</v>
      </c>
      <c r="E2499" s="125" t="s">
        <v>464</v>
      </c>
      <c r="F2499" s="126">
        <v>41414.0</v>
      </c>
      <c r="G2499" s="127">
        <v>6.79E8</v>
      </c>
      <c r="H2499" s="126">
        <v>41439.0</v>
      </c>
      <c r="I2499" s="128">
        <v>300.0</v>
      </c>
      <c r="J2499" s="128">
        <v>437.2</v>
      </c>
      <c r="K2499" s="128">
        <v>263.33</v>
      </c>
      <c r="L2499" s="128">
        <v>131160.0</v>
      </c>
      <c r="M2499" s="128">
        <v>78999.0</v>
      </c>
      <c r="N2499" s="128">
        <v>52161.0</v>
      </c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</row>
    <row r="2500">
      <c r="A2500" s="125" t="s">
        <v>475</v>
      </c>
      <c r="B2500" s="125" t="s">
        <v>636</v>
      </c>
      <c r="C2500" s="125" t="s">
        <v>494</v>
      </c>
      <c r="D2500" s="125" t="s">
        <v>454</v>
      </c>
      <c r="E2500" s="125" t="s">
        <v>464</v>
      </c>
      <c r="F2500" s="126">
        <v>40260.0</v>
      </c>
      <c r="G2500" s="127">
        <v>5.77E8</v>
      </c>
      <c r="H2500" s="126">
        <v>40282.0</v>
      </c>
      <c r="I2500" s="128">
        <v>9390.0</v>
      </c>
      <c r="J2500" s="128">
        <v>9.33</v>
      </c>
      <c r="K2500" s="128">
        <v>6.92</v>
      </c>
      <c r="L2500" s="128">
        <v>87608.7</v>
      </c>
      <c r="M2500" s="128">
        <v>64978.8</v>
      </c>
      <c r="N2500" s="128">
        <v>22629.9</v>
      </c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</row>
    <row r="2501">
      <c r="A2501" s="125" t="s">
        <v>458</v>
      </c>
      <c r="B2501" s="125" t="s">
        <v>547</v>
      </c>
      <c r="C2501" s="125" t="s">
        <v>514</v>
      </c>
      <c r="D2501" s="125" t="s">
        <v>454</v>
      </c>
      <c r="E2501" s="125" t="s">
        <v>284</v>
      </c>
      <c r="F2501" s="126">
        <v>40615.0</v>
      </c>
      <c r="G2501" s="127">
        <v>1.42E8</v>
      </c>
      <c r="H2501" s="126">
        <v>40649.0</v>
      </c>
      <c r="I2501" s="128">
        <v>3065.0</v>
      </c>
      <c r="J2501" s="128">
        <v>668.27</v>
      </c>
      <c r="K2501" s="128">
        <v>502.54</v>
      </c>
      <c r="L2501" s="128">
        <v>2048248.0</v>
      </c>
      <c r="M2501" s="128">
        <v>1540285.0</v>
      </c>
      <c r="N2501" s="128">
        <v>507962.5</v>
      </c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</row>
    <row r="2502">
      <c r="A2502" s="125" t="s">
        <v>458</v>
      </c>
      <c r="B2502" s="125" t="s">
        <v>641</v>
      </c>
      <c r="C2502" s="125" t="s">
        <v>460</v>
      </c>
      <c r="D2502" s="125" t="s">
        <v>457</v>
      </c>
      <c r="E2502" s="125" t="s">
        <v>464</v>
      </c>
      <c r="F2502" s="126">
        <v>40851.0</v>
      </c>
      <c r="G2502" s="127">
        <v>5.11E8</v>
      </c>
      <c r="H2502" s="126">
        <v>40899.0</v>
      </c>
      <c r="I2502" s="128">
        <v>4924.0</v>
      </c>
      <c r="J2502" s="128">
        <v>47.45</v>
      </c>
      <c r="K2502" s="128">
        <v>31.79</v>
      </c>
      <c r="L2502" s="128">
        <v>233643.8</v>
      </c>
      <c r="M2502" s="128">
        <v>156534.0</v>
      </c>
      <c r="N2502" s="128">
        <v>77109.84</v>
      </c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</row>
    <row r="2503">
      <c r="A2503" s="125" t="s">
        <v>458</v>
      </c>
      <c r="B2503" s="125" t="s">
        <v>533</v>
      </c>
      <c r="C2503" s="125" t="s">
        <v>456</v>
      </c>
      <c r="D2503" s="125" t="s">
        <v>457</v>
      </c>
      <c r="E2503" s="125" t="s">
        <v>472</v>
      </c>
      <c r="F2503" s="126">
        <v>41118.0</v>
      </c>
      <c r="G2503" s="127">
        <v>1.9E8</v>
      </c>
      <c r="H2503" s="126">
        <v>41155.0</v>
      </c>
      <c r="I2503" s="128">
        <v>5598.0</v>
      </c>
      <c r="J2503" s="128">
        <v>152.58</v>
      </c>
      <c r="K2503" s="128">
        <v>97.44</v>
      </c>
      <c r="L2503" s="128">
        <v>854142.8</v>
      </c>
      <c r="M2503" s="128">
        <v>545469.1</v>
      </c>
      <c r="N2503" s="128">
        <v>308673.7</v>
      </c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</row>
    <row r="2504">
      <c r="A2504" s="125" t="s">
        <v>451</v>
      </c>
      <c r="B2504" s="125" t="s">
        <v>543</v>
      </c>
      <c r="C2504" s="125" t="s">
        <v>514</v>
      </c>
      <c r="D2504" s="125" t="s">
        <v>457</v>
      </c>
      <c r="E2504" s="125" t="s">
        <v>464</v>
      </c>
      <c r="F2504" s="126">
        <v>41950.0</v>
      </c>
      <c r="G2504" s="127">
        <v>9.05E8</v>
      </c>
      <c r="H2504" s="126">
        <v>41988.0</v>
      </c>
      <c r="I2504" s="128">
        <v>7747.0</v>
      </c>
      <c r="J2504" s="128">
        <v>668.27</v>
      </c>
      <c r="K2504" s="128">
        <v>502.54</v>
      </c>
      <c r="L2504" s="128">
        <v>5177088.0</v>
      </c>
      <c r="M2504" s="128">
        <v>3893177.0</v>
      </c>
      <c r="N2504" s="128">
        <v>1283910.0</v>
      </c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</row>
    <row r="2505">
      <c r="A2505" s="125" t="s">
        <v>451</v>
      </c>
      <c r="B2505" s="125" t="s">
        <v>609</v>
      </c>
      <c r="C2505" s="125" t="s">
        <v>494</v>
      </c>
      <c r="D2505" s="125" t="s">
        <v>454</v>
      </c>
      <c r="E2505" s="125" t="s">
        <v>464</v>
      </c>
      <c r="F2505" s="126">
        <v>42890.0</v>
      </c>
      <c r="G2505" s="127">
        <v>8.54E8</v>
      </c>
      <c r="H2505" s="126">
        <v>42916.0</v>
      </c>
      <c r="I2505" s="128">
        <v>1064.0</v>
      </c>
      <c r="J2505" s="128">
        <v>9.33</v>
      </c>
      <c r="K2505" s="128">
        <v>6.92</v>
      </c>
      <c r="L2505" s="128">
        <v>9927.12</v>
      </c>
      <c r="M2505" s="128">
        <v>7362.88</v>
      </c>
      <c r="N2505" s="128">
        <v>2564.24</v>
      </c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</row>
    <row r="2506">
      <c r="A2506" s="125" t="s">
        <v>461</v>
      </c>
      <c r="B2506" s="125" t="s">
        <v>516</v>
      </c>
      <c r="C2506" s="125" t="s">
        <v>514</v>
      </c>
      <c r="D2506" s="125" t="s">
        <v>457</v>
      </c>
      <c r="E2506" s="125" t="s">
        <v>284</v>
      </c>
      <c r="F2506" s="126">
        <v>41104.0</v>
      </c>
      <c r="G2506" s="127">
        <v>5.54E8</v>
      </c>
      <c r="H2506" s="126">
        <v>41146.0</v>
      </c>
      <c r="I2506" s="128">
        <v>7272.0</v>
      </c>
      <c r="J2506" s="128">
        <v>668.27</v>
      </c>
      <c r="K2506" s="128">
        <v>502.54</v>
      </c>
      <c r="L2506" s="128">
        <v>4859659.0</v>
      </c>
      <c r="M2506" s="128">
        <v>3654471.0</v>
      </c>
      <c r="N2506" s="128">
        <v>1205189.0</v>
      </c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</row>
    <row r="2507">
      <c r="A2507" s="125" t="s">
        <v>461</v>
      </c>
      <c r="B2507" s="125" t="s">
        <v>510</v>
      </c>
      <c r="C2507" s="125" t="s">
        <v>485</v>
      </c>
      <c r="D2507" s="125" t="s">
        <v>457</v>
      </c>
      <c r="E2507" s="125" t="s">
        <v>284</v>
      </c>
      <c r="F2507" s="126">
        <v>41060.0</v>
      </c>
      <c r="G2507" s="127">
        <v>5.92E8</v>
      </c>
      <c r="H2507" s="126">
        <v>41071.0</v>
      </c>
      <c r="I2507" s="128">
        <v>5126.0</v>
      </c>
      <c r="J2507" s="128">
        <v>421.89</v>
      </c>
      <c r="K2507" s="128">
        <v>364.69</v>
      </c>
      <c r="L2507" s="128">
        <v>2162608.0</v>
      </c>
      <c r="M2507" s="128">
        <v>1869401.0</v>
      </c>
      <c r="N2507" s="128">
        <v>293207.2</v>
      </c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</row>
    <row r="2508">
      <c r="A2508" s="125" t="s">
        <v>458</v>
      </c>
      <c r="B2508" s="125" t="s">
        <v>622</v>
      </c>
      <c r="C2508" s="125" t="s">
        <v>471</v>
      </c>
      <c r="D2508" s="125" t="s">
        <v>454</v>
      </c>
      <c r="E2508" s="125" t="s">
        <v>284</v>
      </c>
      <c r="F2508" s="126">
        <v>42084.0</v>
      </c>
      <c r="G2508" s="127">
        <v>2.77E8</v>
      </c>
      <c r="H2508" s="126">
        <v>42109.0</v>
      </c>
      <c r="I2508" s="128">
        <v>5413.0</v>
      </c>
      <c r="J2508" s="128">
        <v>109.28</v>
      </c>
      <c r="K2508" s="128">
        <v>35.84</v>
      </c>
      <c r="L2508" s="128">
        <v>591532.6</v>
      </c>
      <c r="M2508" s="128">
        <v>194001.9</v>
      </c>
      <c r="N2508" s="128">
        <v>397530.7</v>
      </c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</row>
    <row r="2509">
      <c r="A2509" s="125" t="s">
        <v>466</v>
      </c>
      <c r="B2509" s="125" t="s">
        <v>658</v>
      </c>
      <c r="C2509" s="125" t="s">
        <v>456</v>
      </c>
      <c r="D2509" s="125" t="s">
        <v>454</v>
      </c>
      <c r="E2509" s="125" t="s">
        <v>472</v>
      </c>
      <c r="F2509" s="126">
        <v>42509.0</v>
      </c>
      <c r="G2509" s="127">
        <v>7.86E8</v>
      </c>
      <c r="H2509" s="126">
        <v>42520.0</v>
      </c>
      <c r="I2509" s="128">
        <v>5950.0</v>
      </c>
      <c r="J2509" s="128">
        <v>152.58</v>
      </c>
      <c r="K2509" s="128">
        <v>97.44</v>
      </c>
      <c r="L2509" s="128">
        <v>907851.0</v>
      </c>
      <c r="M2509" s="128">
        <v>579768.0</v>
      </c>
      <c r="N2509" s="128">
        <v>328083.0</v>
      </c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</row>
    <row r="2510">
      <c r="A2510" s="125" t="s">
        <v>475</v>
      </c>
      <c r="B2510" s="125" t="s">
        <v>528</v>
      </c>
      <c r="C2510" s="125" t="s">
        <v>514</v>
      </c>
      <c r="D2510" s="125" t="s">
        <v>457</v>
      </c>
      <c r="E2510" s="125" t="s">
        <v>284</v>
      </c>
      <c r="F2510" s="126">
        <v>41055.0</v>
      </c>
      <c r="G2510" s="127">
        <v>2.17E8</v>
      </c>
      <c r="H2510" s="126">
        <v>41067.0</v>
      </c>
      <c r="I2510" s="128">
        <v>6585.0</v>
      </c>
      <c r="J2510" s="128">
        <v>668.27</v>
      </c>
      <c r="K2510" s="128">
        <v>502.54</v>
      </c>
      <c r="L2510" s="128">
        <v>4400558.0</v>
      </c>
      <c r="M2510" s="128">
        <v>3309226.0</v>
      </c>
      <c r="N2510" s="128">
        <v>1091332.0</v>
      </c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</row>
    <row r="2511">
      <c r="A2511" s="125" t="s">
        <v>475</v>
      </c>
      <c r="B2511" s="125" t="s">
        <v>585</v>
      </c>
      <c r="C2511" s="125" t="s">
        <v>478</v>
      </c>
      <c r="D2511" s="125" t="s">
        <v>454</v>
      </c>
      <c r="E2511" s="125" t="s">
        <v>284</v>
      </c>
      <c r="F2511" s="126">
        <v>40981.0</v>
      </c>
      <c r="G2511" s="127">
        <v>3.41E8</v>
      </c>
      <c r="H2511" s="126">
        <v>40989.0</v>
      </c>
      <c r="I2511" s="128">
        <v>4198.0</v>
      </c>
      <c r="J2511" s="128">
        <v>651.21</v>
      </c>
      <c r="K2511" s="128">
        <v>524.96</v>
      </c>
      <c r="L2511" s="128">
        <v>2733780.0</v>
      </c>
      <c r="M2511" s="128">
        <v>2203782.0</v>
      </c>
      <c r="N2511" s="128">
        <v>529997.5</v>
      </c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</row>
    <row r="2512">
      <c r="A2512" s="125" t="s">
        <v>458</v>
      </c>
      <c r="B2512" s="125" t="s">
        <v>606</v>
      </c>
      <c r="C2512" s="125" t="s">
        <v>471</v>
      </c>
      <c r="D2512" s="125" t="s">
        <v>454</v>
      </c>
      <c r="E2512" s="125" t="s">
        <v>472</v>
      </c>
      <c r="F2512" s="126">
        <v>40404.0</v>
      </c>
      <c r="G2512" s="127">
        <v>7.45E8</v>
      </c>
      <c r="H2512" s="126">
        <v>40447.0</v>
      </c>
      <c r="I2512" s="128">
        <v>7701.0</v>
      </c>
      <c r="J2512" s="128">
        <v>109.28</v>
      </c>
      <c r="K2512" s="128">
        <v>35.84</v>
      </c>
      <c r="L2512" s="128">
        <v>841565.3</v>
      </c>
      <c r="M2512" s="128">
        <v>276003.8</v>
      </c>
      <c r="N2512" s="128">
        <v>565561.4</v>
      </c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</row>
    <row r="2513">
      <c r="A2513" s="125" t="s">
        <v>475</v>
      </c>
      <c r="B2513" s="125" t="s">
        <v>562</v>
      </c>
      <c r="C2513" s="125" t="s">
        <v>456</v>
      </c>
      <c r="D2513" s="125" t="s">
        <v>457</v>
      </c>
      <c r="E2513" s="125" t="s">
        <v>284</v>
      </c>
      <c r="F2513" s="126">
        <v>41976.0</v>
      </c>
      <c r="G2513" s="127">
        <v>1.89E8</v>
      </c>
      <c r="H2513" s="126">
        <v>42023.0</v>
      </c>
      <c r="I2513" s="128">
        <v>3035.0</v>
      </c>
      <c r="J2513" s="128">
        <v>152.58</v>
      </c>
      <c r="K2513" s="128">
        <v>97.44</v>
      </c>
      <c r="L2513" s="128">
        <v>463080.3</v>
      </c>
      <c r="M2513" s="128">
        <v>295730.4</v>
      </c>
      <c r="N2513" s="128">
        <v>167349.9</v>
      </c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</row>
    <row r="2514">
      <c r="A2514" s="125" t="s">
        <v>466</v>
      </c>
      <c r="B2514" s="125" t="s">
        <v>658</v>
      </c>
      <c r="C2514" s="125" t="s">
        <v>494</v>
      </c>
      <c r="D2514" s="125" t="s">
        <v>457</v>
      </c>
      <c r="E2514" s="125" t="s">
        <v>464</v>
      </c>
      <c r="F2514" s="126">
        <v>40444.0</v>
      </c>
      <c r="G2514" s="127">
        <v>6.53E8</v>
      </c>
      <c r="H2514" s="126">
        <v>40460.0</v>
      </c>
      <c r="I2514" s="128">
        <v>8175.0</v>
      </c>
      <c r="J2514" s="128">
        <v>9.33</v>
      </c>
      <c r="K2514" s="128">
        <v>6.92</v>
      </c>
      <c r="L2514" s="128">
        <v>76272.75</v>
      </c>
      <c r="M2514" s="128">
        <v>56571.0</v>
      </c>
      <c r="N2514" s="128">
        <v>19701.75</v>
      </c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</row>
    <row r="2515">
      <c r="A2515" s="125" t="s">
        <v>461</v>
      </c>
      <c r="B2515" s="125" t="s">
        <v>621</v>
      </c>
      <c r="C2515" s="125" t="s">
        <v>471</v>
      </c>
      <c r="D2515" s="125" t="s">
        <v>457</v>
      </c>
      <c r="E2515" s="125" t="s">
        <v>464</v>
      </c>
      <c r="F2515" s="126">
        <v>40622.0</v>
      </c>
      <c r="G2515" s="127">
        <v>5.87E8</v>
      </c>
      <c r="H2515" s="126">
        <v>40657.0</v>
      </c>
      <c r="I2515" s="128">
        <v>8126.0</v>
      </c>
      <c r="J2515" s="128">
        <v>109.28</v>
      </c>
      <c r="K2515" s="128">
        <v>35.84</v>
      </c>
      <c r="L2515" s="128">
        <v>888009.3</v>
      </c>
      <c r="M2515" s="128">
        <v>291235.8</v>
      </c>
      <c r="N2515" s="128">
        <v>596773.4</v>
      </c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</row>
    <row r="2516">
      <c r="A2516" s="125" t="s">
        <v>458</v>
      </c>
      <c r="B2516" s="125" t="s">
        <v>597</v>
      </c>
      <c r="C2516" s="125" t="s">
        <v>460</v>
      </c>
      <c r="D2516" s="125" t="s">
        <v>454</v>
      </c>
      <c r="E2516" s="125" t="s">
        <v>472</v>
      </c>
      <c r="F2516" s="126">
        <v>42181.0</v>
      </c>
      <c r="G2516" s="127">
        <v>7.62E8</v>
      </c>
      <c r="H2516" s="126">
        <v>42229.0</v>
      </c>
      <c r="I2516" s="128">
        <v>9923.0</v>
      </c>
      <c r="J2516" s="128">
        <v>47.45</v>
      </c>
      <c r="K2516" s="128">
        <v>31.79</v>
      </c>
      <c r="L2516" s="128">
        <v>470846.4</v>
      </c>
      <c r="M2516" s="128">
        <v>315452.2</v>
      </c>
      <c r="N2516" s="128">
        <v>155394.2</v>
      </c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</row>
    <row r="2517">
      <c r="A2517" s="125" t="s">
        <v>458</v>
      </c>
      <c r="B2517" s="125" t="s">
        <v>633</v>
      </c>
      <c r="C2517" s="125" t="s">
        <v>478</v>
      </c>
      <c r="D2517" s="125" t="s">
        <v>454</v>
      </c>
      <c r="E2517" s="125" t="s">
        <v>284</v>
      </c>
      <c r="F2517" s="126">
        <v>41034.0</v>
      </c>
      <c r="G2517" s="127">
        <v>2.17E8</v>
      </c>
      <c r="H2517" s="126">
        <v>41075.0</v>
      </c>
      <c r="I2517" s="128">
        <v>7633.0</v>
      </c>
      <c r="J2517" s="128">
        <v>651.21</v>
      </c>
      <c r="K2517" s="128">
        <v>524.96</v>
      </c>
      <c r="L2517" s="128">
        <v>4970686.0</v>
      </c>
      <c r="M2517" s="128">
        <v>4007020.0</v>
      </c>
      <c r="N2517" s="128">
        <v>963666.3</v>
      </c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</row>
    <row r="2518">
      <c r="A2518" s="125" t="s">
        <v>451</v>
      </c>
      <c r="B2518" s="125" t="s">
        <v>543</v>
      </c>
      <c r="C2518" s="125" t="s">
        <v>485</v>
      </c>
      <c r="D2518" s="125" t="s">
        <v>454</v>
      </c>
      <c r="E2518" s="125" t="s">
        <v>189</v>
      </c>
      <c r="F2518" s="126">
        <v>41779.0</v>
      </c>
      <c r="G2518" s="127">
        <v>3.15E8</v>
      </c>
      <c r="H2518" s="126">
        <v>41791.0</v>
      </c>
      <c r="I2518" s="128">
        <v>7357.0</v>
      </c>
      <c r="J2518" s="128">
        <v>421.89</v>
      </c>
      <c r="K2518" s="128">
        <v>364.69</v>
      </c>
      <c r="L2518" s="128">
        <v>3103845.0</v>
      </c>
      <c r="M2518" s="128">
        <v>2683024.0</v>
      </c>
      <c r="N2518" s="128">
        <v>420820.4</v>
      </c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</row>
    <row r="2519">
      <c r="A2519" s="125" t="s">
        <v>458</v>
      </c>
      <c r="B2519" s="125" t="s">
        <v>498</v>
      </c>
      <c r="C2519" s="125" t="s">
        <v>471</v>
      </c>
      <c r="D2519" s="125" t="s">
        <v>454</v>
      </c>
      <c r="E2519" s="125" t="s">
        <v>464</v>
      </c>
      <c r="F2519" s="126">
        <v>42489.0</v>
      </c>
      <c r="G2519" s="127">
        <v>6.86E8</v>
      </c>
      <c r="H2519" s="126">
        <v>42537.0</v>
      </c>
      <c r="I2519" s="128">
        <v>2222.0</v>
      </c>
      <c r="J2519" s="128">
        <v>109.28</v>
      </c>
      <c r="K2519" s="128">
        <v>35.84</v>
      </c>
      <c r="L2519" s="128">
        <v>242820.2</v>
      </c>
      <c r="M2519" s="128">
        <v>79636.48</v>
      </c>
      <c r="N2519" s="128">
        <v>163183.7</v>
      </c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</row>
    <row r="2520">
      <c r="A2520" s="125" t="s">
        <v>451</v>
      </c>
      <c r="B2520" s="125" t="s">
        <v>546</v>
      </c>
      <c r="C2520" s="125" t="s">
        <v>478</v>
      </c>
      <c r="D2520" s="125" t="s">
        <v>454</v>
      </c>
      <c r="E2520" s="125" t="s">
        <v>472</v>
      </c>
      <c r="F2520" s="126">
        <v>41626.0</v>
      </c>
      <c r="G2520" s="127">
        <v>5.81E8</v>
      </c>
      <c r="H2520" s="126">
        <v>41675.0</v>
      </c>
      <c r="I2520" s="128">
        <v>7391.0</v>
      </c>
      <c r="J2520" s="128">
        <v>651.21</v>
      </c>
      <c r="K2520" s="128">
        <v>524.96</v>
      </c>
      <c r="L2520" s="128">
        <v>4813093.0</v>
      </c>
      <c r="M2520" s="128">
        <v>3879979.0</v>
      </c>
      <c r="N2520" s="128">
        <v>933113.8</v>
      </c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</row>
    <row r="2521">
      <c r="A2521" s="125" t="s">
        <v>469</v>
      </c>
      <c r="B2521" s="125" t="s">
        <v>503</v>
      </c>
      <c r="C2521" s="125" t="s">
        <v>514</v>
      </c>
      <c r="D2521" s="125" t="s">
        <v>454</v>
      </c>
      <c r="E2521" s="125" t="s">
        <v>464</v>
      </c>
      <c r="F2521" s="126">
        <v>42189.0</v>
      </c>
      <c r="G2521" s="127">
        <v>2.24E8</v>
      </c>
      <c r="H2521" s="126">
        <v>42189.0</v>
      </c>
      <c r="I2521" s="128">
        <v>5056.0</v>
      </c>
      <c r="J2521" s="128">
        <v>668.27</v>
      </c>
      <c r="K2521" s="128">
        <v>502.54</v>
      </c>
      <c r="L2521" s="128">
        <v>3378773.0</v>
      </c>
      <c r="M2521" s="128">
        <v>2540842.0</v>
      </c>
      <c r="N2521" s="128">
        <v>837930.9</v>
      </c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</row>
    <row r="2522">
      <c r="A2522" s="125" t="s">
        <v>458</v>
      </c>
      <c r="B2522" s="125" t="s">
        <v>614</v>
      </c>
      <c r="C2522" s="125" t="s">
        <v>471</v>
      </c>
      <c r="D2522" s="125" t="s">
        <v>454</v>
      </c>
      <c r="E2522" s="125" t="s">
        <v>472</v>
      </c>
      <c r="F2522" s="126">
        <v>42035.0</v>
      </c>
      <c r="G2522" s="127">
        <v>3.56E8</v>
      </c>
      <c r="H2522" s="126">
        <v>42041.0</v>
      </c>
      <c r="I2522" s="128">
        <v>9440.0</v>
      </c>
      <c r="J2522" s="128">
        <v>109.28</v>
      </c>
      <c r="K2522" s="128">
        <v>35.84</v>
      </c>
      <c r="L2522" s="128">
        <v>1031603.0</v>
      </c>
      <c r="M2522" s="128">
        <v>338329.6</v>
      </c>
      <c r="N2522" s="128">
        <v>693273.6</v>
      </c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</row>
    <row r="2523">
      <c r="A2523" s="125" t="s">
        <v>461</v>
      </c>
      <c r="B2523" s="125" t="s">
        <v>516</v>
      </c>
      <c r="C2523" s="125" t="s">
        <v>514</v>
      </c>
      <c r="D2523" s="125" t="s">
        <v>457</v>
      </c>
      <c r="E2523" s="125" t="s">
        <v>189</v>
      </c>
      <c r="F2523" s="126">
        <v>40792.0</v>
      </c>
      <c r="G2523" s="127">
        <v>8.89E8</v>
      </c>
      <c r="H2523" s="126">
        <v>40798.0</v>
      </c>
      <c r="I2523" s="128">
        <v>1799.0</v>
      </c>
      <c r="J2523" s="128">
        <v>668.27</v>
      </c>
      <c r="K2523" s="128">
        <v>502.54</v>
      </c>
      <c r="L2523" s="128">
        <v>1202218.0</v>
      </c>
      <c r="M2523" s="128">
        <v>904069.5</v>
      </c>
      <c r="N2523" s="128">
        <v>298148.3</v>
      </c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</row>
    <row r="2524">
      <c r="A2524" s="125" t="s">
        <v>458</v>
      </c>
      <c r="B2524" s="125" t="s">
        <v>517</v>
      </c>
      <c r="C2524" s="125" t="s">
        <v>478</v>
      </c>
      <c r="D2524" s="125" t="s">
        <v>457</v>
      </c>
      <c r="E2524" s="125" t="s">
        <v>464</v>
      </c>
      <c r="F2524" s="126">
        <v>41244.0</v>
      </c>
      <c r="G2524" s="127">
        <v>4.57E8</v>
      </c>
      <c r="H2524" s="126">
        <v>41245.0</v>
      </c>
      <c r="I2524" s="128">
        <v>5419.0</v>
      </c>
      <c r="J2524" s="128">
        <v>651.21</v>
      </c>
      <c r="K2524" s="128">
        <v>524.96</v>
      </c>
      <c r="L2524" s="128">
        <v>3528907.0</v>
      </c>
      <c r="M2524" s="128">
        <v>2844758.0</v>
      </c>
      <c r="N2524" s="128">
        <v>684148.8</v>
      </c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</row>
    <row r="2525">
      <c r="A2525" s="125" t="s">
        <v>458</v>
      </c>
      <c r="B2525" s="125" t="s">
        <v>498</v>
      </c>
      <c r="C2525" s="125" t="s">
        <v>453</v>
      </c>
      <c r="D2525" s="125" t="s">
        <v>457</v>
      </c>
      <c r="E2525" s="125" t="s">
        <v>284</v>
      </c>
      <c r="F2525" s="126">
        <v>42415.0</v>
      </c>
      <c r="G2525" s="127">
        <v>4.62E8</v>
      </c>
      <c r="H2525" s="126">
        <v>42450.0</v>
      </c>
      <c r="I2525" s="128">
        <v>616.0</v>
      </c>
      <c r="J2525" s="128">
        <v>255.28</v>
      </c>
      <c r="K2525" s="128">
        <v>159.42</v>
      </c>
      <c r="L2525" s="128">
        <v>157252.5</v>
      </c>
      <c r="M2525" s="128">
        <v>98202.72</v>
      </c>
      <c r="N2525" s="128">
        <v>59049.76</v>
      </c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</row>
    <row r="2526">
      <c r="A2526" s="125" t="s">
        <v>469</v>
      </c>
      <c r="B2526" s="125" t="s">
        <v>650</v>
      </c>
      <c r="C2526" s="125" t="s">
        <v>480</v>
      </c>
      <c r="D2526" s="125" t="s">
        <v>454</v>
      </c>
      <c r="E2526" s="125" t="s">
        <v>464</v>
      </c>
      <c r="F2526" s="126">
        <v>40951.0</v>
      </c>
      <c r="G2526" s="127">
        <v>1.28E8</v>
      </c>
      <c r="H2526" s="126">
        <v>40960.0</v>
      </c>
      <c r="I2526" s="128">
        <v>9740.0</v>
      </c>
      <c r="J2526" s="128">
        <v>437.2</v>
      </c>
      <c r="K2526" s="128">
        <v>263.33</v>
      </c>
      <c r="L2526" s="128">
        <v>4258328.0</v>
      </c>
      <c r="M2526" s="128">
        <v>2564834.0</v>
      </c>
      <c r="N2526" s="128">
        <v>1693494.0</v>
      </c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</row>
    <row r="2527">
      <c r="A2527" s="125" t="s">
        <v>451</v>
      </c>
      <c r="B2527" s="125" t="s">
        <v>655</v>
      </c>
      <c r="C2527" s="125" t="s">
        <v>471</v>
      </c>
      <c r="D2527" s="125" t="s">
        <v>457</v>
      </c>
      <c r="E2527" s="125" t="s">
        <v>189</v>
      </c>
      <c r="F2527" s="126">
        <v>40802.0</v>
      </c>
      <c r="G2527" s="127">
        <v>5.5E8</v>
      </c>
      <c r="H2527" s="126">
        <v>40819.0</v>
      </c>
      <c r="I2527" s="128">
        <v>2170.0</v>
      </c>
      <c r="J2527" s="128">
        <v>109.28</v>
      </c>
      <c r="K2527" s="128">
        <v>35.84</v>
      </c>
      <c r="L2527" s="128">
        <v>237137.6</v>
      </c>
      <c r="M2527" s="128">
        <v>77772.8</v>
      </c>
      <c r="N2527" s="128">
        <v>159364.8</v>
      </c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</row>
    <row r="2528">
      <c r="A2528" s="125" t="s">
        <v>461</v>
      </c>
      <c r="B2528" s="125" t="s">
        <v>462</v>
      </c>
      <c r="C2528" s="125" t="s">
        <v>494</v>
      </c>
      <c r="D2528" s="125" t="s">
        <v>454</v>
      </c>
      <c r="E2528" s="125" t="s">
        <v>464</v>
      </c>
      <c r="F2528" s="126">
        <v>40777.0</v>
      </c>
      <c r="G2528" s="127">
        <v>6.4E8</v>
      </c>
      <c r="H2528" s="126">
        <v>40793.0</v>
      </c>
      <c r="I2528" s="128">
        <v>9318.0</v>
      </c>
      <c r="J2528" s="128">
        <v>9.33</v>
      </c>
      <c r="K2528" s="128">
        <v>6.92</v>
      </c>
      <c r="L2528" s="128">
        <v>86936.94</v>
      </c>
      <c r="M2528" s="128">
        <v>64480.56</v>
      </c>
      <c r="N2528" s="128">
        <v>22456.38</v>
      </c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</row>
    <row r="2529">
      <c r="A2529" s="125" t="s">
        <v>458</v>
      </c>
      <c r="B2529" s="125" t="s">
        <v>498</v>
      </c>
      <c r="C2529" s="125" t="s">
        <v>468</v>
      </c>
      <c r="D2529" s="125" t="s">
        <v>457</v>
      </c>
      <c r="E2529" s="125" t="s">
        <v>284</v>
      </c>
      <c r="F2529" s="126">
        <v>41454.0</v>
      </c>
      <c r="G2529" s="127">
        <v>2.84E8</v>
      </c>
      <c r="H2529" s="126">
        <v>41454.0</v>
      </c>
      <c r="I2529" s="128">
        <v>9625.0</v>
      </c>
      <c r="J2529" s="128">
        <v>81.73</v>
      </c>
      <c r="K2529" s="128">
        <v>56.67</v>
      </c>
      <c r="L2529" s="128">
        <v>786651.3</v>
      </c>
      <c r="M2529" s="128">
        <v>545448.8</v>
      </c>
      <c r="N2529" s="128">
        <v>241202.5</v>
      </c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</row>
    <row r="2530">
      <c r="A2530" s="125" t="s">
        <v>475</v>
      </c>
      <c r="B2530" s="125" t="s">
        <v>601</v>
      </c>
      <c r="C2530" s="125" t="s">
        <v>453</v>
      </c>
      <c r="D2530" s="125" t="s">
        <v>454</v>
      </c>
      <c r="E2530" s="125" t="s">
        <v>284</v>
      </c>
      <c r="F2530" s="126">
        <v>41035.0</v>
      </c>
      <c r="G2530" s="127">
        <v>7.87E8</v>
      </c>
      <c r="H2530" s="126">
        <v>41061.0</v>
      </c>
      <c r="I2530" s="128">
        <v>3567.0</v>
      </c>
      <c r="J2530" s="128">
        <v>255.28</v>
      </c>
      <c r="K2530" s="128">
        <v>159.42</v>
      </c>
      <c r="L2530" s="128">
        <v>910583.8</v>
      </c>
      <c r="M2530" s="128">
        <v>568651.1</v>
      </c>
      <c r="N2530" s="128">
        <v>341932.6</v>
      </c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</row>
    <row r="2531">
      <c r="A2531" s="125" t="s">
        <v>466</v>
      </c>
      <c r="B2531" s="125" t="s">
        <v>584</v>
      </c>
      <c r="C2531" s="125" t="s">
        <v>463</v>
      </c>
      <c r="D2531" s="125" t="s">
        <v>457</v>
      </c>
      <c r="E2531" s="125" t="s">
        <v>472</v>
      </c>
      <c r="F2531" s="126">
        <v>42261.0</v>
      </c>
      <c r="G2531" s="127">
        <v>8.22E8</v>
      </c>
      <c r="H2531" s="126">
        <v>42301.0</v>
      </c>
      <c r="I2531" s="128">
        <v>8647.0</v>
      </c>
      <c r="J2531" s="128">
        <v>205.7</v>
      </c>
      <c r="K2531" s="128">
        <v>117.11</v>
      </c>
      <c r="L2531" s="128">
        <v>1778688.0</v>
      </c>
      <c r="M2531" s="128">
        <v>1012650.0</v>
      </c>
      <c r="N2531" s="128">
        <v>766037.7</v>
      </c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</row>
    <row r="2532">
      <c r="A2532" s="125" t="s">
        <v>466</v>
      </c>
      <c r="B2532" s="125" t="s">
        <v>479</v>
      </c>
      <c r="C2532" s="125" t="s">
        <v>463</v>
      </c>
      <c r="D2532" s="125" t="s">
        <v>457</v>
      </c>
      <c r="E2532" s="125" t="s">
        <v>472</v>
      </c>
      <c r="F2532" s="126">
        <v>42730.0</v>
      </c>
      <c r="G2532" s="127">
        <v>4.86E8</v>
      </c>
      <c r="H2532" s="126">
        <v>42730.0</v>
      </c>
      <c r="I2532" s="128">
        <v>4401.0</v>
      </c>
      <c r="J2532" s="128">
        <v>205.7</v>
      </c>
      <c r="K2532" s="128">
        <v>117.11</v>
      </c>
      <c r="L2532" s="128">
        <v>905285.7</v>
      </c>
      <c r="M2532" s="128">
        <v>515401.1</v>
      </c>
      <c r="N2532" s="128">
        <v>389884.6</v>
      </c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</row>
    <row r="2533">
      <c r="A2533" s="125" t="s">
        <v>458</v>
      </c>
      <c r="B2533" s="125" t="s">
        <v>515</v>
      </c>
      <c r="C2533" s="125" t="s">
        <v>485</v>
      </c>
      <c r="D2533" s="125" t="s">
        <v>454</v>
      </c>
      <c r="E2533" s="125" t="s">
        <v>472</v>
      </c>
      <c r="F2533" s="126">
        <v>41811.0</v>
      </c>
      <c r="G2533" s="127">
        <v>8.45E8</v>
      </c>
      <c r="H2533" s="126">
        <v>41816.0</v>
      </c>
      <c r="I2533" s="128">
        <v>7397.0</v>
      </c>
      <c r="J2533" s="128">
        <v>421.89</v>
      </c>
      <c r="K2533" s="128">
        <v>364.69</v>
      </c>
      <c r="L2533" s="128">
        <v>3120720.0</v>
      </c>
      <c r="M2533" s="128">
        <v>2697612.0</v>
      </c>
      <c r="N2533" s="128">
        <v>423108.4</v>
      </c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</row>
    <row r="2534">
      <c r="A2534" s="125" t="s">
        <v>461</v>
      </c>
      <c r="B2534" s="125" t="s">
        <v>516</v>
      </c>
      <c r="C2534" s="125" t="s">
        <v>478</v>
      </c>
      <c r="D2534" s="125" t="s">
        <v>454</v>
      </c>
      <c r="E2534" s="125" t="s">
        <v>189</v>
      </c>
      <c r="F2534" s="126">
        <v>42027.0</v>
      </c>
      <c r="G2534" s="127">
        <v>7.83E8</v>
      </c>
      <c r="H2534" s="126">
        <v>42042.0</v>
      </c>
      <c r="I2534" s="128">
        <v>6234.0</v>
      </c>
      <c r="J2534" s="128">
        <v>651.21</v>
      </c>
      <c r="K2534" s="128">
        <v>524.96</v>
      </c>
      <c r="L2534" s="128">
        <v>4059643.0</v>
      </c>
      <c r="M2534" s="128">
        <v>3272601.0</v>
      </c>
      <c r="N2534" s="128">
        <v>787042.5</v>
      </c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</row>
    <row r="2535">
      <c r="A2535" s="125" t="s">
        <v>458</v>
      </c>
      <c r="B2535" s="125" t="s">
        <v>533</v>
      </c>
      <c r="C2535" s="125" t="s">
        <v>453</v>
      </c>
      <c r="D2535" s="125" t="s">
        <v>457</v>
      </c>
      <c r="E2535" s="125" t="s">
        <v>464</v>
      </c>
      <c r="F2535" s="126">
        <v>42143.0</v>
      </c>
      <c r="G2535" s="127">
        <v>1.58E8</v>
      </c>
      <c r="H2535" s="126">
        <v>42173.0</v>
      </c>
      <c r="I2535" s="128">
        <v>6542.0</v>
      </c>
      <c r="J2535" s="128">
        <v>255.28</v>
      </c>
      <c r="K2535" s="128">
        <v>159.42</v>
      </c>
      <c r="L2535" s="128">
        <v>1670042.0</v>
      </c>
      <c r="M2535" s="128">
        <v>1042926.0</v>
      </c>
      <c r="N2535" s="128">
        <v>627116.1</v>
      </c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</row>
    <row r="2536">
      <c r="A2536" s="125" t="s">
        <v>466</v>
      </c>
      <c r="B2536" s="125" t="s">
        <v>467</v>
      </c>
      <c r="C2536" s="125" t="s">
        <v>480</v>
      </c>
      <c r="D2536" s="125" t="s">
        <v>454</v>
      </c>
      <c r="E2536" s="125" t="s">
        <v>472</v>
      </c>
      <c r="F2536" s="126">
        <v>41313.0</v>
      </c>
      <c r="G2536" s="127">
        <v>2.47E8</v>
      </c>
      <c r="H2536" s="126">
        <v>41323.0</v>
      </c>
      <c r="I2536" s="128">
        <v>5981.0</v>
      </c>
      <c r="J2536" s="128">
        <v>437.2</v>
      </c>
      <c r="K2536" s="128">
        <v>263.33</v>
      </c>
      <c r="L2536" s="128">
        <v>2614893.0</v>
      </c>
      <c r="M2536" s="128">
        <v>1574977.0</v>
      </c>
      <c r="N2536" s="128">
        <v>1039916.0</v>
      </c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</row>
    <row r="2537">
      <c r="A2537" s="125" t="s">
        <v>488</v>
      </c>
      <c r="B2537" s="125" t="s">
        <v>489</v>
      </c>
      <c r="C2537" s="125" t="s">
        <v>480</v>
      </c>
      <c r="D2537" s="125" t="s">
        <v>454</v>
      </c>
      <c r="E2537" s="125" t="s">
        <v>472</v>
      </c>
      <c r="F2537" s="126">
        <v>40461.0</v>
      </c>
      <c r="G2537" s="127">
        <v>5.95E8</v>
      </c>
      <c r="H2537" s="126">
        <v>40468.0</v>
      </c>
      <c r="I2537" s="128">
        <v>9244.0</v>
      </c>
      <c r="J2537" s="128">
        <v>437.2</v>
      </c>
      <c r="K2537" s="128">
        <v>263.33</v>
      </c>
      <c r="L2537" s="128">
        <v>4041477.0</v>
      </c>
      <c r="M2537" s="128">
        <v>2434223.0</v>
      </c>
      <c r="N2537" s="128">
        <v>1607254.0</v>
      </c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</row>
    <row r="2538">
      <c r="A2538" s="125" t="s">
        <v>488</v>
      </c>
      <c r="B2538" s="125" t="s">
        <v>577</v>
      </c>
      <c r="C2538" s="125" t="s">
        <v>514</v>
      </c>
      <c r="D2538" s="125" t="s">
        <v>457</v>
      </c>
      <c r="E2538" s="125" t="s">
        <v>284</v>
      </c>
      <c r="F2538" s="126">
        <v>40902.0</v>
      </c>
      <c r="G2538" s="127">
        <v>3.71E8</v>
      </c>
      <c r="H2538" s="126">
        <v>40938.0</v>
      </c>
      <c r="I2538" s="128">
        <v>3054.0</v>
      </c>
      <c r="J2538" s="128">
        <v>668.27</v>
      </c>
      <c r="K2538" s="128">
        <v>502.54</v>
      </c>
      <c r="L2538" s="128">
        <v>2040897.0</v>
      </c>
      <c r="M2538" s="128">
        <v>1534757.0</v>
      </c>
      <c r="N2538" s="128">
        <v>506139.4</v>
      </c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</row>
    <row r="2539">
      <c r="A2539" s="125" t="s">
        <v>475</v>
      </c>
      <c r="B2539" s="125" t="s">
        <v>605</v>
      </c>
      <c r="C2539" s="125" t="s">
        <v>468</v>
      </c>
      <c r="D2539" s="125" t="s">
        <v>457</v>
      </c>
      <c r="E2539" s="125" t="s">
        <v>189</v>
      </c>
      <c r="F2539" s="126">
        <v>40189.0</v>
      </c>
      <c r="G2539" s="127">
        <v>6.12E8</v>
      </c>
      <c r="H2539" s="126">
        <v>40236.0</v>
      </c>
      <c r="I2539" s="128">
        <v>1168.0</v>
      </c>
      <c r="J2539" s="128">
        <v>81.73</v>
      </c>
      <c r="K2539" s="128">
        <v>56.67</v>
      </c>
      <c r="L2539" s="128">
        <v>95460.64</v>
      </c>
      <c r="M2539" s="128">
        <v>66190.56</v>
      </c>
      <c r="N2539" s="128">
        <v>29270.08</v>
      </c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</row>
    <row r="2540">
      <c r="A2540" s="125" t="s">
        <v>458</v>
      </c>
      <c r="B2540" s="125" t="s">
        <v>560</v>
      </c>
      <c r="C2540" s="125" t="s">
        <v>514</v>
      </c>
      <c r="D2540" s="125" t="s">
        <v>454</v>
      </c>
      <c r="E2540" s="125" t="s">
        <v>464</v>
      </c>
      <c r="F2540" s="126">
        <v>41799.0</v>
      </c>
      <c r="G2540" s="127">
        <v>1.76E8</v>
      </c>
      <c r="H2540" s="126">
        <v>41804.0</v>
      </c>
      <c r="I2540" s="128">
        <v>9370.0</v>
      </c>
      <c r="J2540" s="128">
        <v>668.27</v>
      </c>
      <c r="K2540" s="128">
        <v>502.54</v>
      </c>
      <c r="L2540" s="128">
        <v>6261690.0</v>
      </c>
      <c r="M2540" s="128">
        <v>4708800.0</v>
      </c>
      <c r="N2540" s="128">
        <v>1552890.0</v>
      </c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</row>
    <row r="2541">
      <c r="A2541" s="125" t="s">
        <v>458</v>
      </c>
      <c r="B2541" s="125" t="s">
        <v>529</v>
      </c>
      <c r="C2541" s="125" t="s">
        <v>514</v>
      </c>
      <c r="D2541" s="125" t="s">
        <v>454</v>
      </c>
      <c r="E2541" s="125" t="s">
        <v>284</v>
      </c>
      <c r="F2541" s="126">
        <v>42678.0</v>
      </c>
      <c r="G2541" s="127">
        <v>6.9E8</v>
      </c>
      <c r="H2541" s="126">
        <v>42693.0</v>
      </c>
      <c r="I2541" s="128">
        <v>477.0</v>
      </c>
      <c r="J2541" s="128">
        <v>668.27</v>
      </c>
      <c r="K2541" s="128">
        <v>502.54</v>
      </c>
      <c r="L2541" s="128">
        <v>318764.8</v>
      </c>
      <c r="M2541" s="128">
        <v>239711.6</v>
      </c>
      <c r="N2541" s="128">
        <v>79053.21</v>
      </c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</row>
    <row r="2542">
      <c r="A2542" s="125" t="s">
        <v>458</v>
      </c>
      <c r="B2542" s="125" t="s">
        <v>613</v>
      </c>
      <c r="C2542" s="125" t="s">
        <v>460</v>
      </c>
      <c r="D2542" s="125" t="s">
        <v>457</v>
      </c>
      <c r="E2542" s="125" t="s">
        <v>189</v>
      </c>
      <c r="F2542" s="126">
        <v>42933.0</v>
      </c>
      <c r="G2542" s="127">
        <v>7.04E8</v>
      </c>
      <c r="H2542" s="126">
        <v>42978.0</v>
      </c>
      <c r="I2542" s="128">
        <v>9340.0</v>
      </c>
      <c r="J2542" s="128">
        <v>47.45</v>
      </c>
      <c r="K2542" s="128">
        <v>31.79</v>
      </c>
      <c r="L2542" s="128">
        <v>443183.0</v>
      </c>
      <c r="M2542" s="128">
        <v>296918.6</v>
      </c>
      <c r="N2542" s="128">
        <v>146264.4</v>
      </c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</row>
    <row r="2543">
      <c r="A2543" s="125" t="s">
        <v>458</v>
      </c>
      <c r="B2543" s="125" t="s">
        <v>616</v>
      </c>
      <c r="C2543" s="125" t="s">
        <v>494</v>
      </c>
      <c r="D2543" s="125" t="s">
        <v>454</v>
      </c>
      <c r="E2543" s="125" t="s">
        <v>472</v>
      </c>
      <c r="F2543" s="126">
        <v>41672.0</v>
      </c>
      <c r="G2543" s="127">
        <v>6.36E8</v>
      </c>
      <c r="H2543" s="126">
        <v>41720.0</v>
      </c>
      <c r="I2543" s="128">
        <v>7837.0</v>
      </c>
      <c r="J2543" s="128">
        <v>9.33</v>
      </c>
      <c r="K2543" s="128">
        <v>6.92</v>
      </c>
      <c r="L2543" s="128">
        <v>73119.21</v>
      </c>
      <c r="M2543" s="128">
        <v>54232.04</v>
      </c>
      <c r="N2543" s="128">
        <v>18887.17</v>
      </c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</row>
    <row r="2544">
      <c r="A2544" s="125" t="s">
        <v>458</v>
      </c>
      <c r="B2544" s="125" t="s">
        <v>642</v>
      </c>
      <c r="C2544" s="125" t="s">
        <v>456</v>
      </c>
      <c r="D2544" s="125" t="s">
        <v>454</v>
      </c>
      <c r="E2544" s="125" t="s">
        <v>464</v>
      </c>
      <c r="F2544" s="126">
        <v>41161.0</v>
      </c>
      <c r="G2544" s="127">
        <v>5.26E8</v>
      </c>
      <c r="H2544" s="126">
        <v>41204.0</v>
      </c>
      <c r="I2544" s="128">
        <v>9880.0</v>
      </c>
      <c r="J2544" s="128">
        <v>152.58</v>
      </c>
      <c r="K2544" s="128">
        <v>97.44</v>
      </c>
      <c r="L2544" s="128">
        <v>1507490.0</v>
      </c>
      <c r="M2544" s="128">
        <v>962707.2</v>
      </c>
      <c r="N2544" s="128">
        <v>544783.2</v>
      </c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</row>
    <row r="2545">
      <c r="A2545" s="125" t="s">
        <v>458</v>
      </c>
      <c r="B2545" s="125" t="s">
        <v>652</v>
      </c>
      <c r="C2545" s="125" t="s">
        <v>494</v>
      </c>
      <c r="D2545" s="125" t="s">
        <v>454</v>
      </c>
      <c r="E2545" s="125" t="s">
        <v>472</v>
      </c>
      <c r="F2545" s="126">
        <v>42670.0</v>
      </c>
      <c r="G2545" s="127">
        <v>4.82E8</v>
      </c>
      <c r="H2545" s="126">
        <v>42707.0</v>
      </c>
      <c r="I2545" s="128">
        <v>6411.0</v>
      </c>
      <c r="J2545" s="128">
        <v>9.33</v>
      </c>
      <c r="K2545" s="128">
        <v>6.92</v>
      </c>
      <c r="L2545" s="128">
        <v>59814.63</v>
      </c>
      <c r="M2545" s="128">
        <v>44364.12</v>
      </c>
      <c r="N2545" s="128">
        <v>15450.51</v>
      </c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</row>
    <row r="2546">
      <c r="A2546" s="125" t="s">
        <v>461</v>
      </c>
      <c r="B2546" s="125" t="s">
        <v>618</v>
      </c>
      <c r="C2546" s="125" t="s">
        <v>485</v>
      </c>
      <c r="D2546" s="125" t="s">
        <v>457</v>
      </c>
      <c r="E2546" s="125" t="s">
        <v>284</v>
      </c>
      <c r="F2546" s="126">
        <v>42328.0</v>
      </c>
      <c r="G2546" s="127">
        <v>2.35E8</v>
      </c>
      <c r="H2546" s="126">
        <v>42378.0</v>
      </c>
      <c r="I2546" s="128">
        <v>403.0</v>
      </c>
      <c r="J2546" s="128">
        <v>421.89</v>
      </c>
      <c r="K2546" s="128">
        <v>364.69</v>
      </c>
      <c r="L2546" s="128">
        <v>170021.7</v>
      </c>
      <c r="M2546" s="128">
        <v>146970.1</v>
      </c>
      <c r="N2546" s="128">
        <v>23051.6</v>
      </c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</row>
    <row r="2547">
      <c r="A2547" s="125" t="s">
        <v>475</v>
      </c>
      <c r="B2547" s="125" t="s">
        <v>648</v>
      </c>
      <c r="C2547" s="125" t="s">
        <v>463</v>
      </c>
      <c r="D2547" s="125" t="s">
        <v>454</v>
      </c>
      <c r="E2547" s="125" t="s">
        <v>189</v>
      </c>
      <c r="F2547" s="126">
        <v>40800.0</v>
      </c>
      <c r="G2547" s="127">
        <v>4.84E8</v>
      </c>
      <c r="H2547" s="126">
        <v>40840.0</v>
      </c>
      <c r="I2547" s="128">
        <v>1863.0</v>
      </c>
      <c r="J2547" s="128">
        <v>205.7</v>
      </c>
      <c r="K2547" s="128">
        <v>117.11</v>
      </c>
      <c r="L2547" s="128">
        <v>383219.1</v>
      </c>
      <c r="M2547" s="128">
        <v>218175.9</v>
      </c>
      <c r="N2547" s="128">
        <v>165043.2</v>
      </c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</row>
    <row r="2548">
      <c r="A2548" s="125" t="s">
        <v>466</v>
      </c>
      <c r="B2548" s="125" t="s">
        <v>484</v>
      </c>
      <c r="C2548" s="125" t="s">
        <v>460</v>
      </c>
      <c r="D2548" s="125" t="s">
        <v>454</v>
      </c>
      <c r="E2548" s="125" t="s">
        <v>472</v>
      </c>
      <c r="F2548" s="126">
        <v>41907.0</v>
      </c>
      <c r="G2548" s="127">
        <v>6.5E8</v>
      </c>
      <c r="H2548" s="126">
        <v>41937.0</v>
      </c>
      <c r="I2548" s="128">
        <v>2824.0</v>
      </c>
      <c r="J2548" s="128">
        <v>47.45</v>
      </c>
      <c r="K2548" s="128">
        <v>31.79</v>
      </c>
      <c r="L2548" s="128">
        <v>133998.8</v>
      </c>
      <c r="M2548" s="128">
        <v>89774.96</v>
      </c>
      <c r="N2548" s="128">
        <v>44223.84</v>
      </c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</row>
    <row r="2549">
      <c r="A2549" s="125" t="s">
        <v>461</v>
      </c>
      <c r="B2549" s="125" t="s">
        <v>556</v>
      </c>
      <c r="C2549" s="125" t="s">
        <v>463</v>
      </c>
      <c r="D2549" s="125" t="s">
        <v>457</v>
      </c>
      <c r="E2549" s="125" t="s">
        <v>189</v>
      </c>
      <c r="F2549" s="126">
        <v>42944.0</v>
      </c>
      <c r="G2549" s="127">
        <v>2.24E8</v>
      </c>
      <c r="H2549" s="126">
        <v>42972.0</v>
      </c>
      <c r="I2549" s="128">
        <v>2356.0</v>
      </c>
      <c r="J2549" s="128">
        <v>205.7</v>
      </c>
      <c r="K2549" s="128">
        <v>117.11</v>
      </c>
      <c r="L2549" s="128">
        <v>484629.2</v>
      </c>
      <c r="M2549" s="128">
        <v>275911.2</v>
      </c>
      <c r="N2549" s="128">
        <v>208718.0</v>
      </c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</row>
    <row r="2550">
      <c r="A2550" s="125" t="s">
        <v>461</v>
      </c>
      <c r="B2550" s="125" t="s">
        <v>639</v>
      </c>
      <c r="C2550" s="125" t="s">
        <v>468</v>
      </c>
      <c r="D2550" s="125" t="s">
        <v>457</v>
      </c>
      <c r="E2550" s="125" t="s">
        <v>189</v>
      </c>
      <c r="F2550" s="126">
        <v>41594.0</v>
      </c>
      <c r="G2550" s="127">
        <v>1.16E8</v>
      </c>
      <c r="H2550" s="126">
        <v>41602.0</v>
      </c>
      <c r="I2550" s="128">
        <v>1557.0</v>
      </c>
      <c r="J2550" s="128">
        <v>81.73</v>
      </c>
      <c r="K2550" s="128">
        <v>56.67</v>
      </c>
      <c r="L2550" s="128">
        <v>127253.6</v>
      </c>
      <c r="M2550" s="128">
        <v>88235.19</v>
      </c>
      <c r="N2550" s="128">
        <v>39018.42</v>
      </c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</row>
    <row r="2551">
      <c r="A2551" s="125" t="s">
        <v>451</v>
      </c>
      <c r="B2551" s="125" t="s">
        <v>655</v>
      </c>
      <c r="C2551" s="125" t="s">
        <v>506</v>
      </c>
      <c r="D2551" s="125" t="s">
        <v>454</v>
      </c>
      <c r="E2551" s="125" t="s">
        <v>464</v>
      </c>
      <c r="F2551" s="126">
        <v>42846.0</v>
      </c>
      <c r="G2551" s="127">
        <v>4.08E8</v>
      </c>
      <c r="H2551" s="126">
        <v>42878.0</v>
      </c>
      <c r="I2551" s="128">
        <v>8556.0</v>
      </c>
      <c r="J2551" s="128">
        <v>154.06</v>
      </c>
      <c r="K2551" s="128">
        <v>90.93</v>
      </c>
      <c r="L2551" s="128">
        <v>1318137.0</v>
      </c>
      <c r="M2551" s="128">
        <v>777997.1</v>
      </c>
      <c r="N2551" s="128">
        <v>540140.3</v>
      </c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</row>
    <row r="2552">
      <c r="A2552" s="125" t="s">
        <v>451</v>
      </c>
      <c r="B2552" s="125" t="s">
        <v>452</v>
      </c>
      <c r="C2552" s="125" t="s">
        <v>453</v>
      </c>
      <c r="D2552" s="125" t="s">
        <v>454</v>
      </c>
      <c r="E2552" s="125" t="s">
        <v>189</v>
      </c>
      <c r="F2552" s="126">
        <v>41011.0</v>
      </c>
      <c r="G2552" s="127">
        <v>8.02E8</v>
      </c>
      <c r="H2552" s="126">
        <v>41036.0</v>
      </c>
      <c r="I2552" s="128">
        <v>3516.0</v>
      </c>
      <c r="J2552" s="128">
        <v>255.28</v>
      </c>
      <c r="K2552" s="128">
        <v>159.42</v>
      </c>
      <c r="L2552" s="128">
        <v>897564.5</v>
      </c>
      <c r="M2552" s="128">
        <v>560520.7</v>
      </c>
      <c r="N2552" s="128">
        <v>337043.8</v>
      </c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</row>
    <row r="2553">
      <c r="A2553" s="125" t="s">
        <v>458</v>
      </c>
      <c r="B2553" s="125" t="s">
        <v>518</v>
      </c>
      <c r="C2553" s="125" t="s">
        <v>485</v>
      </c>
      <c r="D2553" s="125" t="s">
        <v>454</v>
      </c>
      <c r="E2553" s="125" t="s">
        <v>472</v>
      </c>
      <c r="F2553" s="126">
        <v>40473.0</v>
      </c>
      <c r="G2553" s="127">
        <v>1.69E8</v>
      </c>
      <c r="H2553" s="126">
        <v>40522.0</v>
      </c>
      <c r="I2553" s="128">
        <v>3627.0</v>
      </c>
      <c r="J2553" s="128">
        <v>421.89</v>
      </c>
      <c r="K2553" s="128">
        <v>364.69</v>
      </c>
      <c r="L2553" s="128">
        <v>1530195.0</v>
      </c>
      <c r="M2553" s="128">
        <v>1322731.0</v>
      </c>
      <c r="N2553" s="128">
        <v>207464.4</v>
      </c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</row>
    <row r="2554">
      <c r="A2554" s="125" t="s">
        <v>475</v>
      </c>
      <c r="B2554" s="125" t="s">
        <v>549</v>
      </c>
      <c r="C2554" s="125" t="s">
        <v>506</v>
      </c>
      <c r="D2554" s="125" t="s">
        <v>457</v>
      </c>
      <c r="E2554" s="125" t="s">
        <v>472</v>
      </c>
      <c r="F2554" s="126">
        <v>40472.0</v>
      </c>
      <c r="G2554" s="127">
        <v>6.02E8</v>
      </c>
      <c r="H2554" s="126">
        <v>40501.0</v>
      </c>
      <c r="I2554" s="128">
        <v>8114.0</v>
      </c>
      <c r="J2554" s="128">
        <v>154.06</v>
      </c>
      <c r="K2554" s="128">
        <v>90.93</v>
      </c>
      <c r="L2554" s="128">
        <v>1250043.0</v>
      </c>
      <c r="M2554" s="128">
        <v>737806.0</v>
      </c>
      <c r="N2554" s="128">
        <v>512236.8</v>
      </c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</row>
    <row r="2555">
      <c r="A2555" s="125" t="s">
        <v>475</v>
      </c>
      <c r="B2555" s="125" t="s">
        <v>623</v>
      </c>
      <c r="C2555" s="125" t="s">
        <v>494</v>
      </c>
      <c r="D2555" s="125" t="s">
        <v>457</v>
      </c>
      <c r="E2555" s="125" t="s">
        <v>189</v>
      </c>
      <c r="F2555" s="126">
        <v>42018.0</v>
      </c>
      <c r="G2555" s="127">
        <v>6.62E8</v>
      </c>
      <c r="H2555" s="126">
        <v>42050.0</v>
      </c>
      <c r="I2555" s="128">
        <v>3231.0</v>
      </c>
      <c r="J2555" s="128">
        <v>9.33</v>
      </c>
      <c r="K2555" s="128">
        <v>6.92</v>
      </c>
      <c r="L2555" s="128">
        <v>30145.23</v>
      </c>
      <c r="M2555" s="128">
        <v>22358.52</v>
      </c>
      <c r="N2555" s="128">
        <v>7786.71</v>
      </c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</row>
    <row r="2556">
      <c r="A2556" s="125" t="s">
        <v>475</v>
      </c>
      <c r="B2556" s="125" t="s">
        <v>635</v>
      </c>
      <c r="C2556" s="125" t="s">
        <v>485</v>
      </c>
      <c r="D2556" s="125" t="s">
        <v>454</v>
      </c>
      <c r="E2556" s="125" t="s">
        <v>472</v>
      </c>
      <c r="F2556" s="126">
        <v>40981.0</v>
      </c>
      <c r="G2556" s="127">
        <v>3.34E8</v>
      </c>
      <c r="H2556" s="126">
        <v>41017.0</v>
      </c>
      <c r="I2556" s="128">
        <v>7266.0</v>
      </c>
      <c r="J2556" s="128">
        <v>421.89</v>
      </c>
      <c r="K2556" s="128">
        <v>364.69</v>
      </c>
      <c r="L2556" s="128">
        <v>3065453.0</v>
      </c>
      <c r="M2556" s="128">
        <v>2649838.0</v>
      </c>
      <c r="N2556" s="128">
        <v>415615.2</v>
      </c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</row>
    <row r="2557">
      <c r="A2557" s="125" t="s">
        <v>458</v>
      </c>
      <c r="B2557" s="125" t="s">
        <v>594</v>
      </c>
      <c r="C2557" s="125" t="s">
        <v>514</v>
      </c>
      <c r="D2557" s="125" t="s">
        <v>454</v>
      </c>
      <c r="E2557" s="125" t="s">
        <v>464</v>
      </c>
      <c r="F2557" s="126">
        <v>40532.0</v>
      </c>
      <c r="G2557" s="127">
        <v>5.7E8</v>
      </c>
      <c r="H2557" s="126">
        <v>40536.0</v>
      </c>
      <c r="I2557" s="128">
        <v>5534.0</v>
      </c>
      <c r="J2557" s="128">
        <v>668.27</v>
      </c>
      <c r="K2557" s="128">
        <v>502.54</v>
      </c>
      <c r="L2557" s="128">
        <v>3698206.0</v>
      </c>
      <c r="M2557" s="128">
        <v>2781056.0</v>
      </c>
      <c r="N2557" s="128">
        <v>917149.8</v>
      </c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</row>
    <row r="2558">
      <c r="A2558" s="125" t="s">
        <v>458</v>
      </c>
      <c r="B2558" s="125" t="s">
        <v>515</v>
      </c>
      <c r="C2558" s="125" t="s">
        <v>463</v>
      </c>
      <c r="D2558" s="125" t="s">
        <v>454</v>
      </c>
      <c r="E2558" s="125" t="s">
        <v>472</v>
      </c>
      <c r="F2558" s="126">
        <v>41468.0</v>
      </c>
      <c r="G2558" s="127">
        <v>1.44E8</v>
      </c>
      <c r="H2558" s="126">
        <v>41487.0</v>
      </c>
      <c r="I2558" s="128">
        <v>5386.0</v>
      </c>
      <c r="J2558" s="128">
        <v>205.7</v>
      </c>
      <c r="K2558" s="128">
        <v>117.11</v>
      </c>
      <c r="L2558" s="128">
        <v>1107900.0</v>
      </c>
      <c r="M2558" s="128">
        <v>630754.5</v>
      </c>
      <c r="N2558" s="128">
        <v>477145.7</v>
      </c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</row>
    <row r="2559">
      <c r="A2559" s="125" t="s">
        <v>466</v>
      </c>
      <c r="B2559" s="125" t="s">
        <v>612</v>
      </c>
      <c r="C2559" s="125" t="s">
        <v>453</v>
      </c>
      <c r="D2559" s="125" t="s">
        <v>457</v>
      </c>
      <c r="E2559" s="125" t="s">
        <v>284</v>
      </c>
      <c r="F2559" s="126">
        <v>40824.0</v>
      </c>
      <c r="G2559" s="127">
        <v>6.0E8</v>
      </c>
      <c r="H2559" s="126">
        <v>40872.0</v>
      </c>
      <c r="I2559" s="128">
        <v>1200.0</v>
      </c>
      <c r="J2559" s="128">
        <v>255.28</v>
      </c>
      <c r="K2559" s="128">
        <v>159.42</v>
      </c>
      <c r="L2559" s="128">
        <v>306336.0</v>
      </c>
      <c r="M2559" s="128">
        <v>191304.0</v>
      </c>
      <c r="N2559" s="128">
        <v>115032.0</v>
      </c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</row>
    <row r="2560">
      <c r="A2560" s="125" t="s">
        <v>466</v>
      </c>
      <c r="B2560" s="125" t="s">
        <v>496</v>
      </c>
      <c r="C2560" s="125" t="s">
        <v>485</v>
      </c>
      <c r="D2560" s="125" t="s">
        <v>457</v>
      </c>
      <c r="E2560" s="125" t="s">
        <v>464</v>
      </c>
      <c r="F2560" s="126">
        <v>41556.0</v>
      </c>
      <c r="G2560" s="127">
        <v>4.01E8</v>
      </c>
      <c r="H2560" s="126">
        <v>41576.0</v>
      </c>
      <c r="I2560" s="128">
        <v>9387.0</v>
      </c>
      <c r="J2560" s="128">
        <v>421.89</v>
      </c>
      <c r="K2560" s="128">
        <v>364.69</v>
      </c>
      <c r="L2560" s="128">
        <v>3960281.0</v>
      </c>
      <c r="M2560" s="128">
        <v>3423345.0</v>
      </c>
      <c r="N2560" s="128">
        <v>536936.4</v>
      </c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</row>
    <row r="2561">
      <c r="A2561" s="125" t="s">
        <v>475</v>
      </c>
      <c r="B2561" s="125" t="s">
        <v>513</v>
      </c>
      <c r="C2561" s="125" t="s">
        <v>456</v>
      </c>
      <c r="D2561" s="125" t="s">
        <v>454</v>
      </c>
      <c r="E2561" s="125" t="s">
        <v>472</v>
      </c>
      <c r="F2561" s="126">
        <v>42860.0</v>
      </c>
      <c r="G2561" s="127">
        <v>7.81E8</v>
      </c>
      <c r="H2561" s="126">
        <v>42865.0</v>
      </c>
      <c r="I2561" s="128">
        <v>3391.0</v>
      </c>
      <c r="J2561" s="128">
        <v>152.58</v>
      </c>
      <c r="K2561" s="128">
        <v>97.44</v>
      </c>
      <c r="L2561" s="128">
        <v>517398.8</v>
      </c>
      <c r="M2561" s="128">
        <v>330419.0</v>
      </c>
      <c r="N2561" s="128">
        <v>186979.7</v>
      </c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</row>
    <row r="2562">
      <c r="A2562" s="125" t="s">
        <v>458</v>
      </c>
      <c r="B2562" s="125" t="s">
        <v>533</v>
      </c>
      <c r="C2562" s="125" t="s">
        <v>460</v>
      </c>
      <c r="D2562" s="125" t="s">
        <v>454</v>
      </c>
      <c r="E2562" s="125" t="s">
        <v>189</v>
      </c>
      <c r="F2562" s="126">
        <v>41557.0</v>
      </c>
      <c r="G2562" s="127">
        <v>7.97E8</v>
      </c>
      <c r="H2562" s="126">
        <v>41595.0</v>
      </c>
      <c r="I2562" s="128">
        <v>8685.0</v>
      </c>
      <c r="J2562" s="128">
        <v>47.45</v>
      </c>
      <c r="K2562" s="128">
        <v>31.79</v>
      </c>
      <c r="L2562" s="128">
        <v>412103.3</v>
      </c>
      <c r="M2562" s="128">
        <v>276096.2</v>
      </c>
      <c r="N2562" s="128">
        <v>136007.1</v>
      </c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</row>
    <row r="2563">
      <c r="A2563" s="125" t="s">
        <v>461</v>
      </c>
      <c r="B2563" s="125" t="s">
        <v>639</v>
      </c>
      <c r="C2563" s="125" t="s">
        <v>456</v>
      </c>
      <c r="D2563" s="125" t="s">
        <v>454</v>
      </c>
      <c r="E2563" s="125" t="s">
        <v>189</v>
      </c>
      <c r="F2563" s="126">
        <v>41769.0</v>
      </c>
      <c r="G2563" s="127">
        <v>4.73E8</v>
      </c>
      <c r="H2563" s="126">
        <v>41805.0</v>
      </c>
      <c r="I2563" s="128">
        <v>7774.0</v>
      </c>
      <c r="J2563" s="128">
        <v>152.58</v>
      </c>
      <c r="K2563" s="128">
        <v>97.44</v>
      </c>
      <c r="L2563" s="128">
        <v>1186157.0</v>
      </c>
      <c r="M2563" s="128">
        <v>757498.6</v>
      </c>
      <c r="N2563" s="128">
        <v>428658.4</v>
      </c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</row>
    <row r="2564">
      <c r="A2564" s="125" t="s">
        <v>458</v>
      </c>
      <c r="B2564" s="125" t="s">
        <v>583</v>
      </c>
      <c r="C2564" s="125" t="s">
        <v>494</v>
      </c>
      <c r="D2564" s="125" t="s">
        <v>457</v>
      </c>
      <c r="E2564" s="125" t="s">
        <v>284</v>
      </c>
      <c r="F2564" s="126">
        <v>42477.0</v>
      </c>
      <c r="G2564" s="127">
        <v>3.53E8</v>
      </c>
      <c r="H2564" s="126">
        <v>42513.0</v>
      </c>
      <c r="I2564" s="128">
        <v>5193.0</v>
      </c>
      <c r="J2564" s="128">
        <v>9.33</v>
      </c>
      <c r="K2564" s="128">
        <v>6.92</v>
      </c>
      <c r="L2564" s="128">
        <v>48450.69</v>
      </c>
      <c r="M2564" s="128">
        <v>35935.56</v>
      </c>
      <c r="N2564" s="128">
        <v>12515.13</v>
      </c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</row>
    <row r="2565">
      <c r="A2565" s="125" t="s">
        <v>458</v>
      </c>
      <c r="B2565" s="125" t="s">
        <v>554</v>
      </c>
      <c r="C2565" s="125" t="s">
        <v>480</v>
      </c>
      <c r="D2565" s="125" t="s">
        <v>457</v>
      </c>
      <c r="E2565" s="125" t="s">
        <v>189</v>
      </c>
      <c r="F2565" s="126">
        <v>41667.0</v>
      </c>
      <c r="G2565" s="127">
        <v>1.55E8</v>
      </c>
      <c r="H2565" s="126">
        <v>41675.0</v>
      </c>
      <c r="I2565" s="128">
        <v>2511.0</v>
      </c>
      <c r="J2565" s="128">
        <v>437.2</v>
      </c>
      <c r="K2565" s="128">
        <v>263.33</v>
      </c>
      <c r="L2565" s="128">
        <v>1097809.0</v>
      </c>
      <c r="M2565" s="128">
        <v>661221.6</v>
      </c>
      <c r="N2565" s="128">
        <v>436587.6</v>
      </c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</row>
    <row r="2566">
      <c r="A2566" s="125" t="s">
        <v>458</v>
      </c>
      <c r="B2566" s="125" t="s">
        <v>533</v>
      </c>
      <c r="C2566" s="125" t="s">
        <v>480</v>
      </c>
      <c r="D2566" s="125" t="s">
        <v>454</v>
      </c>
      <c r="E2566" s="125" t="s">
        <v>464</v>
      </c>
      <c r="F2566" s="126">
        <v>40480.0</v>
      </c>
      <c r="G2566" s="127">
        <v>1.14E8</v>
      </c>
      <c r="H2566" s="126">
        <v>40521.0</v>
      </c>
      <c r="I2566" s="128">
        <v>3325.0</v>
      </c>
      <c r="J2566" s="128">
        <v>437.2</v>
      </c>
      <c r="K2566" s="128">
        <v>263.33</v>
      </c>
      <c r="L2566" s="128">
        <v>1453690.0</v>
      </c>
      <c r="M2566" s="128">
        <v>875572.3</v>
      </c>
      <c r="N2566" s="128">
        <v>578117.8</v>
      </c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</row>
    <row r="2567">
      <c r="A2567" s="125" t="s">
        <v>475</v>
      </c>
      <c r="B2567" s="125" t="s">
        <v>532</v>
      </c>
      <c r="C2567" s="125" t="s">
        <v>460</v>
      </c>
      <c r="D2567" s="125" t="s">
        <v>454</v>
      </c>
      <c r="E2567" s="125" t="s">
        <v>284</v>
      </c>
      <c r="F2567" s="126">
        <v>41830.0</v>
      </c>
      <c r="G2567" s="127">
        <v>5.35E8</v>
      </c>
      <c r="H2567" s="126">
        <v>41835.0</v>
      </c>
      <c r="I2567" s="128">
        <v>8267.0</v>
      </c>
      <c r="J2567" s="128">
        <v>47.45</v>
      </c>
      <c r="K2567" s="128">
        <v>31.79</v>
      </c>
      <c r="L2567" s="128">
        <v>392269.2</v>
      </c>
      <c r="M2567" s="128">
        <v>262807.9</v>
      </c>
      <c r="N2567" s="128">
        <v>129461.2</v>
      </c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</row>
    <row r="2568">
      <c r="A2568" s="125" t="s">
        <v>451</v>
      </c>
      <c r="B2568" s="125" t="s">
        <v>523</v>
      </c>
      <c r="C2568" s="125" t="s">
        <v>453</v>
      </c>
      <c r="D2568" s="125" t="s">
        <v>454</v>
      </c>
      <c r="E2568" s="125" t="s">
        <v>284</v>
      </c>
      <c r="F2568" s="126">
        <v>40720.0</v>
      </c>
      <c r="G2568" s="127">
        <v>4.46E8</v>
      </c>
      <c r="H2568" s="126">
        <v>40761.0</v>
      </c>
      <c r="I2568" s="128">
        <v>9996.0</v>
      </c>
      <c r="J2568" s="128">
        <v>255.28</v>
      </c>
      <c r="K2568" s="128">
        <v>159.42</v>
      </c>
      <c r="L2568" s="128">
        <v>2551779.0</v>
      </c>
      <c r="M2568" s="128">
        <v>1593562.0</v>
      </c>
      <c r="N2568" s="128">
        <v>958216.6</v>
      </c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</row>
    <row r="2569">
      <c r="A2569" s="125" t="s">
        <v>475</v>
      </c>
      <c r="B2569" s="125" t="s">
        <v>605</v>
      </c>
      <c r="C2569" s="125" t="s">
        <v>460</v>
      </c>
      <c r="D2569" s="125" t="s">
        <v>454</v>
      </c>
      <c r="E2569" s="125" t="s">
        <v>464</v>
      </c>
      <c r="F2569" s="126">
        <v>42225.0</v>
      </c>
      <c r="G2569" s="127">
        <v>7.44E8</v>
      </c>
      <c r="H2569" s="126">
        <v>42246.0</v>
      </c>
      <c r="I2569" s="128">
        <v>8205.0</v>
      </c>
      <c r="J2569" s="128">
        <v>47.45</v>
      </c>
      <c r="K2569" s="128">
        <v>31.79</v>
      </c>
      <c r="L2569" s="128">
        <v>389327.3</v>
      </c>
      <c r="M2569" s="128">
        <v>260837.0</v>
      </c>
      <c r="N2569" s="128">
        <v>128490.3</v>
      </c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</row>
    <row r="2570">
      <c r="A2570" s="125" t="s">
        <v>475</v>
      </c>
      <c r="B2570" s="125" t="s">
        <v>561</v>
      </c>
      <c r="C2570" s="125" t="s">
        <v>460</v>
      </c>
      <c r="D2570" s="125" t="s">
        <v>457</v>
      </c>
      <c r="E2570" s="125" t="s">
        <v>472</v>
      </c>
      <c r="F2570" s="126">
        <v>40744.0</v>
      </c>
      <c r="G2570" s="127">
        <v>1.46E8</v>
      </c>
      <c r="H2570" s="126">
        <v>40781.0</v>
      </c>
      <c r="I2570" s="128">
        <v>4618.0</v>
      </c>
      <c r="J2570" s="128">
        <v>47.45</v>
      </c>
      <c r="K2570" s="128">
        <v>31.79</v>
      </c>
      <c r="L2570" s="128">
        <v>219124.1</v>
      </c>
      <c r="M2570" s="128">
        <v>146806.2</v>
      </c>
      <c r="N2570" s="128">
        <v>72317.88</v>
      </c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</row>
    <row r="2571">
      <c r="A2571" s="125" t="s">
        <v>451</v>
      </c>
      <c r="B2571" s="125" t="s">
        <v>482</v>
      </c>
      <c r="C2571" s="125" t="s">
        <v>468</v>
      </c>
      <c r="D2571" s="125" t="s">
        <v>457</v>
      </c>
      <c r="E2571" s="125" t="s">
        <v>284</v>
      </c>
      <c r="F2571" s="126">
        <v>40745.0</v>
      </c>
      <c r="G2571" s="127">
        <v>1.4E8</v>
      </c>
      <c r="H2571" s="126">
        <v>40758.0</v>
      </c>
      <c r="I2571" s="128">
        <v>7990.0</v>
      </c>
      <c r="J2571" s="128">
        <v>81.73</v>
      </c>
      <c r="K2571" s="128">
        <v>56.67</v>
      </c>
      <c r="L2571" s="128">
        <v>653022.7</v>
      </c>
      <c r="M2571" s="128">
        <v>452793.3</v>
      </c>
      <c r="N2571" s="128">
        <v>200229.4</v>
      </c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</row>
    <row r="2572">
      <c r="A2572" s="125" t="s">
        <v>458</v>
      </c>
      <c r="B2572" s="125" t="s">
        <v>626</v>
      </c>
      <c r="C2572" s="125" t="s">
        <v>460</v>
      </c>
      <c r="D2572" s="125" t="s">
        <v>457</v>
      </c>
      <c r="E2572" s="125" t="s">
        <v>464</v>
      </c>
      <c r="F2572" s="126">
        <v>41556.0</v>
      </c>
      <c r="G2572" s="127">
        <v>9.32E8</v>
      </c>
      <c r="H2572" s="126">
        <v>41599.0</v>
      </c>
      <c r="I2572" s="128">
        <v>9107.0</v>
      </c>
      <c r="J2572" s="128">
        <v>47.45</v>
      </c>
      <c r="K2572" s="128">
        <v>31.79</v>
      </c>
      <c r="L2572" s="128">
        <v>432127.2</v>
      </c>
      <c r="M2572" s="128">
        <v>289511.5</v>
      </c>
      <c r="N2572" s="128">
        <v>142615.6</v>
      </c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</row>
    <row r="2573">
      <c r="A2573" s="125" t="s">
        <v>475</v>
      </c>
      <c r="B2573" s="125" t="s">
        <v>651</v>
      </c>
      <c r="C2573" s="125" t="s">
        <v>494</v>
      </c>
      <c r="D2573" s="125" t="s">
        <v>454</v>
      </c>
      <c r="E2573" s="125" t="s">
        <v>464</v>
      </c>
      <c r="F2573" s="126">
        <v>41508.0</v>
      </c>
      <c r="G2573" s="127">
        <v>1.03E8</v>
      </c>
      <c r="H2573" s="126">
        <v>41509.0</v>
      </c>
      <c r="I2573" s="128">
        <v>5786.0</v>
      </c>
      <c r="J2573" s="128">
        <v>9.33</v>
      </c>
      <c r="K2573" s="128">
        <v>6.92</v>
      </c>
      <c r="L2573" s="128">
        <v>53983.38</v>
      </c>
      <c r="M2573" s="128">
        <v>40039.12</v>
      </c>
      <c r="N2573" s="128">
        <v>13944.26</v>
      </c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</row>
    <row r="2574">
      <c r="A2574" s="125" t="s">
        <v>475</v>
      </c>
      <c r="B2574" s="125" t="s">
        <v>601</v>
      </c>
      <c r="C2574" s="125" t="s">
        <v>485</v>
      </c>
      <c r="D2574" s="125" t="s">
        <v>457</v>
      </c>
      <c r="E2574" s="125" t="s">
        <v>472</v>
      </c>
      <c r="F2574" s="126">
        <v>42088.0</v>
      </c>
      <c r="G2574" s="127">
        <v>2.49E8</v>
      </c>
      <c r="H2574" s="126">
        <v>42122.0</v>
      </c>
      <c r="I2574" s="128">
        <v>7877.0</v>
      </c>
      <c r="J2574" s="128">
        <v>421.89</v>
      </c>
      <c r="K2574" s="128">
        <v>364.69</v>
      </c>
      <c r="L2574" s="128">
        <v>3323228.0</v>
      </c>
      <c r="M2574" s="128">
        <v>2872663.0</v>
      </c>
      <c r="N2574" s="128">
        <v>450564.4</v>
      </c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</row>
    <row r="2575">
      <c r="A2575" s="125" t="s">
        <v>466</v>
      </c>
      <c r="B2575" s="125" t="s">
        <v>479</v>
      </c>
      <c r="C2575" s="125" t="s">
        <v>460</v>
      </c>
      <c r="D2575" s="125" t="s">
        <v>457</v>
      </c>
      <c r="E2575" s="125" t="s">
        <v>472</v>
      </c>
      <c r="F2575" s="126">
        <v>41023.0</v>
      </c>
      <c r="G2575" s="127">
        <v>4.4E8</v>
      </c>
      <c r="H2575" s="126">
        <v>41041.0</v>
      </c>
      <c r="I2575" s="128">
        <v>2257.0</v>
      </c>
      <c r="J2575" s="128">
        <v>47.45</v>
      </c>
      <c r="K2575" s="128">
        <v>31.79</v>
      </c>
      <c r="L2575" s="128">
        <v>107094.7</v>
      </c>
      <c r="M2575" s="128">
        <v>71750.03</v>
      </c>
      <c r="N2575" s="128">
        <v>35344.62</v>
      </c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</row>
    <row r="2576">
      <c r="A2576" s="125" t="s">
        <v>475</v>
      </c>
      <c r="B2576" s="125" t="s">
        <v>574</v>
      </c>
      <c r="C2576" s="125" t="s">
        <v>494</v>
      </c>
      <c r="D2576" s="125" t="s">
        <v>454</v>
      </c>
      <c r="E2576" s="125" t="s">
        <v>472</v>
      </c>
      <c r="F2576" s="126">
        <v>41961.0</v>
      </c>
      <c r="G2576" s="127">
        <v>2.65E8</v>
      </c>
      <c r="H2576" s="126">
        <v>42011.0</v>
      </c>
      <c r="I2576" s="128">
        <v>7840.0</v>
      </c>
      <c r="J2576" s="128">
        <v>9.33</v>
      </c>
      <c r="K2576" s="128">
        <v>6.92</v>
      </c>
      <c r="L2576" s="128">
        <v>73147.2</v>
      </c>
      <c r="M2576" s="128">
        <v>54252.8</v>
      </c>
      <c r="N2576" s="128">
        <v>18894.4</v>
      </c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</row>
    <row r="2577">
      <c r="A2577" s="125" t="s">
        <v>458</v>
      </c>
      <c r="B2577" s="125" t="s">
        <v>533</v>
      </c>
      <c r="C2577" s="125" t="s">
        <v>478</v>
      </c>
      <c r="D2577" s="125" t="s">
        <v>457</v>
      </c>
      <c r="E2577" s="125" t="s">
        <v>464</v>
      </c>
      <c r="F2577" s="126">
        <v>42024.0</v>
      </c>
      <c r="G2577" s="127">
        <v>2.83E8</v>
      </c>
      <c r="H2577" s="126">
        <v>42031.0</v>
      </c>
      <c r="I2577" s="128">
        <v>567.0</v>
      </c>
      <c r="J2577" s="128">
        <v>651.21</v>
      </c>
      <c r="K2577" s="128">
        <v>524.96</v>
      </c>
      <c r="L2577" s="128">
        <v>369236.1</v>
      </c>
      <c r="M2577" s="128">
        <v>297652.3</v>
      </c>
      <c r="N2577" s="128">
        <v>71583.75</v>
      </c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</row>
    <row r="2578">
      <c r="A2578" s="125" t="s">
        <v>475</v>
      </c>
      <c r="B2578" s="125" t="s">
        <v>635</v>
      </c>
      <c r="C2578" s="125" t="s">
        <v>480</v>
      </c>
      <c r="D2578" s="125" t="s">
        <v>457</v>
      </c>
      <c r="E2578" s="125" t="s">
        <v>189</v>
      </c>
      <c r="F2578" s="126">
        <v>41489.0</v>
      </c>
      <c r="G2578" s="127">
        <v>6.74E8</v>
      </c>
      <c r="H2578" s="126">
        <v>41529.0</v>
      </c>
      <c r="I2578" s="128">
        <v>8413.0</v>
      </c>
      <c r="J2578" s="128">
        <v>437.2</v>
      </c>
      <c r="K2578" s="128">
        <v>263.33</v>
      </c>
      <c r="L2578" s="128">
        <v>3678164.0</v>
      </c>
      <c r="M2578" s="128">
        <v>2215395.0</v>
      </c>
      <c r="N2578" s="128">
        <v>1462768.0</v>
      </c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</row>
    <row r="2579">
      <c r="A2579" s="125" t="s">
        <v>475</v>
      </c>
      <c r="B2579" s="125" t="s">
        <v>548</v>
      </c>
      <c r="C2579" s="125" t="s">
        <v>494</v>
      </c>
      <c r="D2579" s="125" t="s">
        <v>454</v>
      </c>
      <c r="E2579" s="125" t="s">
        <v>472</v>
      </c>
      <c r="F2579" s="126">
        <v>42404.0</v>
      </c>
      <c r="G2579" s="127">
        <v>7.89E8</v>
      </c>
      <c r="H2579" s="126">
        <v>42432.0</v>
      </c>
      <c r="I2579" s="128">
        <v>6381.0</v>
      </c>
      <c r="J2579" s="128">
        <v>9.33</v>
      </c>
      <c r="K2579" s="128">
        <v>6.92</v>
      </c>
      <c r="L2579" s="128">
        <v>59534.73</v>
      </c>
      <c r="M2579" s="128">
        <v>44156.52</v>
      </c>
      <c r="N2579" s="128">
        <v>15378.21</v>
      </c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</row>
    <row r="2580">
      <c r="A2580" s="125" t="s">
        <v>475</v>
      </c>
      <c r="B2580" s="125" t="s">
        <v>532</v>
      </c>
      <c r="C2580" s="125" t="s">
        <v>480</v>
      </c>
      <c r="D2580" s="125" t="s">
        <v>454</v>
      </c>
      <c r="E2580" s="125" t="s">
        <v>464</v>
      </c>
      <c r="F2580" s="126">
        <v>41675.0</v>
      </c>
      <c r="G2580" s="127">
        <v>4.96E8</v>
      </c>
      <c r="H2580" s="126">
        <v>41693.0</v>
      </c>
      <c r="I2580" s="128">
        <v>1507.0</v>
      </c>
      <c r="J2580" s="128">
        <v>437.2</v>
      </c>
      <c r="K2580" s="128">
        <v>263.33</v>
      </c>
      <c r="L2580" s="128">
        <v>658860.4</v>
      </c>
      <c r="M2580" s="128">
        <v>396838.3</v>
      </c>
      <c r="N2580" s="128">
        <v>262022.1</v>
      </c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</row>
    <row r="2581">
      <c r="A2581" s="125" t="s">
        <v>475</v>
      </c>
      <c r="B2581" s="125" t="s">
        <v>575</v>
      </c>
      <c r="C2581" s="125" t="s">
        <v>514</v>
      </c>
      <c r="D2581" s="125" t="s">
        <v>454</v>
      </c>
      <c r="E2581" s="125" t="s">
        <v>189</v>
      </c>
      <c r="F2581" s="126">
        <v>40747.0</v>
      </c>
      <c r="G2581" s="127">
        <v>6.38E8</v>
      </c>
      <c r="H2581" s="126">
        <v>40795.0</v>
      </c>
      <c r="I2581" s="128">
        <v>7861.0</v>
      </c>
      <c r="J2581" s="128">
        <v>668.27</v>
      </c>
      <c r="K2581" s="128">
        <v>502.54</v>
      </c>
      <c r="L2581" s="128">
        <v>5253270.0</v>
      </c>
      <c r="M2581" s="128">
        <v>3950467.0</v>
      </c>
      <c r="N2581" s="128">
        <v>1302804.0</v>
      </c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</row>
    <row r="2582">
      <c r="A2582" s="125" t="s">
        <v>458</v>
      </c>
      <c r="B2582" s="125" t="s">
        <v>631</v>
      </c>
      <c r="C2582" s="125" t="s">
        <v>453</v>
      </c>
      <c r="D2582" s="125" t="s">
        <v>457</v>
      </c>
      <c r="E2582" s="125" t="s">
        <v>284</v>
      </c>
      <c r="F2582" s="126">
        <v>41452.0</v>
      </c>
      <c r="G2582" s="127">
        <v>7.75E8</v>
      </c>
      <c r="H2582" s="126">
        <v>41463.0</v>
      </c>
      <c r="I2582" s="128">
        <v>1539.0</v>
      </c>
      <c r="J2582" s="128">
        <v>255.28</v>
      </c>
      <c r="K2582" s="128">
        <v>159.42</v>
      </c>
      <c r="L2582" s="128">
        <v>392875.9</v>
      </c>
      <c r="M2582" s="128">
        <v>245347.4</v>
      </c>
      <c r="N2582" s="128">
        <v>147528.5</v>
      </c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</row>
    <row r="2583">
      <c r="A2583" s="125" t="s">
        <v>469</v>
      </c>
      <c r="B2583" s="125" t="s">
        <v>647</v>
      </c>
      <c r="C2583" s="125" t="s">
        <v>514</v>
      </c>
      <c r="D2583" s="125" t="s">
        <v>457</v>
      </c>
      <c r="E2583" s="125" t="s">
        <v>472</v>
      </c>
      <c r="F2583" s="126">
        <v>41862.0</v>
      </c>
      <c r="G2583" s="127">
        <v>5.39E8</v>
      </c>
      <c r="H2583" s="126">
        <v>41911.0</v>
      </c>
      <c r="I2583" s="128">
        <v>5672.0</v>
      </c>
      <c r="J2583" s="128">
        <v>668.27</v>
      </c>
      <c r="K2583" s="128">
        <v>502.54</v>
      </c>
      <c r="L2583" s="128">
        <v>3790427.0</v>
      </c>
      <c r="M2583" s="128">
        <v>2850407.0</v>
      </c>
      <c r="N2583" s="128">
        <v>940020.6</v>
      </c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</row>
    <row r="2584">
      <c r="A2584" s="125" t="s">
        <v>458</v>
      </c>
      <c r="B2584" s="125" t="s">
        <v>487</v>
      </c>
      <c r="C2584" s="125" t="s">
        <v>453</v>
      </c>
      <c r="D2584" s="125" t="s">
        <v>457</v>
      </c>
      <c r="E2584" s="125" t="s">
        <v>284</v>
      </c>
      <c r="F2584" s="126">
        <v>40439.0</v>
      </c>
      <c r="G2584" s="127">
        <v>9.8E8</v>
      </c>
      <c r="H2584" s="126">
        <v>40447.0</v>
      </c>
      <c r="I2584" s="128">
        <v>5421.0</v>
      </c>
      <c r="J2584" s="128">
        <v>255.28</v>
      </c>
      <c r="K2584" s="128">
        <v>159.42</v>
      </c>
      <c r="L2584" s="128">
        <v>1383873.0</v>
      </c>
      <c r="M2584" s="128">
        <v>864215.8</v>
      </c>
      <c r="N2584" s="128">
        <v>519657.1</v>
      </c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</row>
    <row r="2585">
      <c r="A2585" s="125" t="s">
        <v>458</v>
      </c>
      <c r="B2585" s="125" t="s">
        <v>642</v>
      </c>
      <c r="C2585" s="125" t="s">
        <v>480</v>
      </c>
      <c r="D2585" s="125" t="s">
        <v>457</v>
      </c>
      <c r="E2585" s="125" t="s">
        <v>189</v>
      </c>
      <c r="F2585" s="126">
        <v>40184.0</v>
      </c>
      <c r="G2585" s="127">
        <v>5.22E8</v>
      </c>
      <c r="H2585" s="126">
        <v>40212.0</v>
      </c>
      <c r="I2585" s="128">
        <v>2979.0</v>
      </c>
      <c r="J2585" s="128">
        <v>437.2</v>
      </c>
      <c r="K2585" s="128">
        <v>263.33</v>
      </c>
      <c r="L2585" s="128">
        <v>1302419.0</v>
      </c>
      <c r="M2585" s="128">
        <v>784460.1</v>
      </c>
      <c r="N2585" s="128">
        <v>517958.7</v>
      </c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</row>
    <row r="2586">
      <c r="A2586" s="125" t="s">
        <v>475</v>
      </c>
      <c r="B2586" s="125" t="s">
        <v>635</v>
      </c>
      <c r="C2586" s="125" t="s">
        <v>506</v>
      </c>
      <c r="D2586" s="125" t="s">
        <v>457</v>
      </c>
      <c r="E2586" s="125" t="s">
        <v>284</v>
      </c>
      <c r="F2586" s="126">
        <v>41718.0</v>
      </c>
      <c r="G2586" s="127">
        <v>8.06E8</v>
      </c>
      <c r="H2586" s="126">
        <v>41726.0</v>
      </c>
      <c r="I2586" s="128">
        <v>2568.0</v>
      </c>
      <c r="J2586" s="128">
        <v>154.06</v>
      </c>
      <c r="K2586" s="128">
        <v>90.93</v>
      </c>
      <c r="L2586" s="128">
        <v>395626.1</v>
      </c>
      <c r="M2586" s="128">
        <v>233508.2</v>
      </c>
      <c r="N2586" s="128">
        <v>162117.8</v>
      </c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</row>
    <row r="2587">
      <c r="A2587" s="125" t="s">
        <v>469</v>
      </c>
      <c r="B2587" s="125" t="s">
        <v>630</v>
      </c>
      <c r="C2587" s="125" t="s">
        <v>468</v>
      </c>
      <c r="D2587" s="125" t="s">
        <v>454</v>
      </c>
      <c r="E2587" s="125" t="s">
        <v>189</v>
      </c>
      <c r="F2587" s="126">
        <v>41904.0</v>
      </c>
      <c r="G2587" s="127">
        <v>8.44E8</v>
      </c>
      <c r="H2587" s="126">
        <v>41945.0</v>
      </c>
      <c r="I2587" s="128">
        <v>5445.0</v>
      </c>
      <c r="J2587" s="128">
        <v>81.73</v>
      </c>
      <c r="K2587" s="128">
        <v>56.67</v>
      </c>
      <c r="L2587" s="128">
        <v>445019.9</v>
      </c>
      <c r="M2587" s="128">
        <v>308568.2</v>
      </c>
      <c r="N2587" s="128">
        <v>136451.7</v>
      </c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</row>
    <row r="2588">
      <c r="A2588" s="125" t="s">
        <v>469</v>
      </c>
      <c r="B2588" s="125" t="s">
        <v>569</v>
      </c>
      <c r="C2588" s="125" t="s">
        <v>456</v>
      </c>
      <c r="D2588" s="125" t="s">
        <v>454</v>
      </c>
      <c r="E2588" s="125" t="s">
        <v>284</v>
      </c>
      <c r="F2588" s="126">
        <v>40760.0</v>
      </c>
      <c r="G2588" s="127">
        <v>1.7E8</v>
      </c>
      <c r="H2588" s="126">
        <v>40786.0</v>
      </c>
      <c r="I2588" s="128">
        <v>4894.0</v>
      </c>
      <c r="J2588" s="128">
        <v>152.58</v>
      </c>
      <c r="K2588" s="128">
        <v>97.44</v>
      </c>
      <c r="L2588" s="128">
        <v>746726.5</v>
      </c>
      <c r="M2588" s="128">
        <v>476871.4</v>
      </c>
      <c r="N2588" s="128">
        <v>269855.2</v>
      </c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</row>
    <row r="2589">
      <c r="A2589" s="125" t="s">
        <v>458</v>
      </c>
      <c r="B2589" s="125" t="s">
        <v>627</v>
      </c>
      <c r="C2589" s="125" t="s">
        <v>480</v>
      </c>
      <c r="D2589" s="125" t="s">
        <v>454</v>
      </c>
      <c r="E2589" s="125" t="s">
        <v>189</v>
      </c>
      <c r="F2589" s="126">
        <v>42841.0</v>
      </c>
      <c r="G2589" s="127">
        <v>1.87E8</v>
      </c>
      <c r="H2589" s="126">
        <v>42848.0</v>
      </c>
      <c r="I2589" s="128">
        <v>1234.0</v>
      </c>
      <c r="J2589" s="128">
        <v>437.2</v>
      </c>
      <c r="K2589" s="128">
        <v>263.33</v>
      </c>
      <c r="L2589" s="128">
        <v>539504.8</v>
      </c>
      <c r="M2589" s="128">
        <v>324949.2</v>
      </c>
      <c r="N2589" s="128">
        <v>214555.6</v>
      </c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</row>
    <row r="2590">
      <c r="A2590" s="125" t="s">
        <v>458</v>
      </c>
      <c r="B2590" s="125" t="s">
        <v>641</v>
      </c>
      <c r="C2590" s="125" t="s">
        <v>494</v>
      </c>
      <c r="D2590" s="125" t="s">
        <v>457</v>
      </c>
      <c r="E2590" s="125" t="s">
        <v>472</v>
      </c>
      <c r="F2590" s="126">
        <v>42028.0</v>
      </c>
      <c r="G2590" s="127">
        <v>1.18E8</v>
      </c>
      <c r="H2590" s="126">
        <v>42065.0</v>
      </c>
      <c r="I2590" s="128">
        <v>6813.0</v>
      </c>
      <c r="J2590" s="128">
        <v>9.33</v>
      </c>
      <c r="K2590" s="128">
        <v>6.92</v>
      </c>
      <c r="L2590" s="128">
        <v>63565.29</v>
      </c>
      <c r="M2590" s="128">
        <v>47145.96</v>
      </c>
      <c r="N2590" s="128">
        <v>16419.33</v>
      </c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</row>
    <row r="2591">
      <c r="A2591" s="125" t="s">
        <v>466</v>
      </c>
      <c r="B2591" s="125" t="s">
        <v>524</v>
      </c>
      <c r="C2591" s="125" t="s">
        <v>453</v>
      </c>
      <c r="D2591" s="125" t="s">
        <v>457</v>
      </c>
      <c r="E2591" s="125" t="s">
        <v>189</v>
      </c>
      <c r="F2591" s="126">
        <v>42271.0</v>
      </c>
      <c r="G2591" s="127">
        <v>1.57E8</v>
      </c>
      <c r="H2591" s="126">
        <v>42280.0</v>
      </c>
      <c r="I2591" s="128">
        <v>1011.0</v>
      </c>
      <c r="J2591" s="128">
        <v>255.28</v>
      </c>
      <c r="K2591" s="128">
        <v>159.42</v>
      </c>
      <c r="L2591" s="128">
        <v>258088.1</v>
      </c>
      <c r="M2591" s="128">
        <v>161173.6</v>
      </c>
      <c r="N2591" s="128">
        <v>96914.46</v>
      </c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</row>
    <row r="2592">
      <c r="A2592" s="125" t="s">
        <v>466</v>
      </c>
      <c r="B2592" s="125" t="s">
        <v>535</v>
      </c>
      <c r="C2592" s="125" t="s">
        <v>453</v>
      </c>
      <c r="D2592" s="125" t="s">
        <v>454</v>
      </c>
      <c r="E2592" s="125" t="s">
        <v>284</v>
      </c>
      <c r="F2592" s="126">
        <v>42378.0</v>
      </c>
      <c r="G2592" s="127">
        <v>1.18E8</v>
      </c>
      <c r="H2592" s="126">
        <v>42408.0</v>
      </c>
      <c r="I2592" s="128">
        <v>5238.0</v>
      </c>
      <c r="J2592" s="128">
        <v>255.28</v>
      </c>
      <c r="K2592" s="128">
        <v>159.42</v>
      </c>
      <c r="L2592" s="128">
        <v>1337157.0</v>
      </c>
      <c r="M2592" s="128">
        <v>835042.0</v>
      </c>
      <c r="N2592" s="128">
        <v>502114.7</v>
      </c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</row>
    <row r="2593">
      <c r="A2593" s="125" t="s">
        <v>458</v>
      </c>
      <c r="B2593" s="125" t="s">
        <v>529</v>
      </c>
      <c r="C2593" s="125" t="s">
        <v>460</v>
      </c>
      <c r="D2593" s="125" t="s">
        <v>457</v>
      </c>
      <c r="E2593" s="125" t="s">
        <v>189</v>
      </c>
      <c r="F2593" s="126">
        <v>42927.0</v>
      </c>
      <c r="G2593" s="127">
        <v>7.86E8</v>
      </c>
      <c r="H2593" s="126">
        <v>42970.0</v>
      </c>
      <c r="I2593" s="128">
        <v>7939.0</v>
      </c>
      <c r="J2593" s="128">
        <v>47.45</v>
      </c>
      <c r="K2593" s="128">
        <v>31.79</v>
      </c>
      <c r="L2593" s="128">
        <v>376705.6</v>
      </c>
      <c r="M2593" s="128">
        <v>252380.8</v>
      </c>
      <c r="N2593" s="128">
        <v>124324.7</v>
      </c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</row>
    <row r="2594">
      <c r="A2594" s="125" t="s">
        <v>461</v>
      </c>
      <c r="B2594" s="125" t="s">
        <v>644</v>
      </c>
      <c r="C2594" s="125" t="s">
        <v>480</v>
      </c>
      <c r="D2594" s="125" t="s">
        <v>457</v>
      </c>
      <c r="E2594" s="125" t="s">
        <v>284</v>
      </c>
      <c r="F2594" s="126">
        <v>42123.0</v>
      </c>
      <c r="G2594" s="127">
        <v>7.66E8</v>
      </c>
      <c r="H2594" s="126">
        <v>42128.0</v>
      </c>
      <c r="I2594" s="128">
        <v>9585.0</v>
      </c>
      <c r="J2594" s="128">
        <v>437.2</v>
      </c>
      <c r="K2594" s="128">
        <v>263.33</v>
      </c>
      <c r="L2594" s="128">
        <v>4190562.0</v>
      </c>
      <c r="M2594" s="128">
        <v>2524018.0</v>
      </c>
      <c r="N2594" s="128">
        <v>1666544.0</v>
      </c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</row>
    <row r="2595">
      <c r="A2595" s="125" t="s">
        <v>466</v>
      </c>
      <c r="B2595" s="125" t="s">
        <v>580</v>
      </c>
      <c r="C2595" s="125" t="s">
        <v>506</v>
      </c>
      <c r="D2595" s="125" t="s">
        <v>457</v>
      </c>
      <c r="E2595" s="125" t="s">
        <v>464</v>
      </c>
      <c r="F2595" s="126">
        <v>42703.0</v>
      </c>
      <c r="G2595" s="127">
        <v>5.31E8</v>
      </c>
      <c r="H2595" s="126">
        <v>42717.0</v>
      </c>
      <c r="I2595" s="128">
        <v>7682.0</v>
      </c>
      <c r="J2595" s="128">
        <v>154.06</v>
      </c>
      <c r="K2595" s="128">
        <v>90.93</v>
      </c>
      <c r="L2595" s="128">
        <v>1183489.0</v>
      </c>
      <c r="M2595" s="128">
        <v>698524.3</v>
      </c>
      <c r="N2595" s="128">
        <v>484964.7</v>
      </c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</row>
    <row r="2596">
      <c r="A2596" s="125" t="s">
        <v>458</v>
      </c>
      <c r="B2596" s="125" t="s">
        <v>486</v>
      </c>
      <c r="C2596" s="125" t="s">
        <v>514</v>
      </c>
      <c r="D2596" s="125" t="s">
        <v>454</v>
      </c>
      <c r="E2596" s="125" t="s">
        <v>284</v>
      </c>
      <c r="F2596" s="126">
        <v>42267.0</v>
      </c>
      <c r="G2596" s="127">
        <v>1.79E8</v>
      </c>
      <c r="H2596" s="126">
        <v>42295.0</v>
      </c>
      <c r="I2596" s="128">
        <v>1767.0</v>
      </c>
      <c r="J2596" s="128">
        <v>668.27</v>
      </c>
      <c r="K2596" s="128">
        <v>502.54</v>
      </c>
      <c r="L2596" s="128">
        <v>1180833.0</v>
      </c>
      <c r="M2596" s="128">
        <v>887988.2</v>
      </c>
      <c r="N2596" s="128">
        <v>292844.9</v>
      </c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</row>
    <row r="2597">
      <c r="A2597" s="125" t="s">
        <v>475</v>
      </c>
      <c r="B2597" s="125" t="s">
        <v>552</v>
      </c>
      <c r="C2597" s="125" t="s">
        <v>468</v>
      </c>
      <c r="D2597" s="125" t="s">
        <v>457</v>
      </c>
      <c r="E2597" s="125" t="s">
        <v>189</v>
      </c>
      <c r="F2597" s="126">
        <v>40184.0</v>
      </c>
      <c r="G2597" s="127">
        <v>7.73E8</v>
      </c>
      <c r="H2597" s="126">
        <v>40228.0</v>
      </c>
      <c r="I2597" s="128">
        <v>8406.0</v>
      </c>
      <c r="J2597" s="128">
        <v>81.73</v>
      </c>
      <c r="K2597" s="128">
        <v>56.67</v>
      </c>
      <c r="L2597" s="128">
        <v>687022.4</v>
      </c>
      <c r="M2597" s="128">
        <v>476368.0</v>
      </c>
      <c r="N2597" s="128">
        <v>210654.4</v>
      </c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</row>
    <row r="2598">
      <c r="A2598" s="125" t="s">
        <v>451</v>
      </c>
      <c r="B2598" s="125" t="s">
        <v>646</v>
      </c>
      <c r="C2598" s="125" t="s">
        <v>480</v>
      </c>
      <c r="D2598" s="125" t="s">
        <v>454</v>
      </c>
      <c r="E2598" s="125" t="s">
        <v>472</v>
      </c>
      <c r="F2598" s="126">
        <v>41742.0</v>
      </c>
      <c r="G2598" s="127">
        <v>3.02E8</v>
      </c>
      <c r="H2598" s="126">
        <v>41764.0</v>
      </c>
      <c r="I2598" s="128">
        <v>6198.0</v>
      </c>
      <c r="J2598" s="128">
        <v>437.2</v>
      </c>
      <c r="K2598" s="128">
        <v>263.33</v>
      </c>
      <c r="L2598" s="128">
        <v>2709766.0</v>
      </c>
      <c r="M2598" s="128">
        <v>1632119.0</v>
      </c>
      <c r="N2598" s="128">
        <v>1077646.0</v>
      </c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</row>
    <row r="2599">
      <c r="A2599" s="125" t="s">
        <v>466</v>
      </c>
      <c r="B2599" s="125" t="s">
        <v>502</v>
      </c>
      <c r="C2599" s="125" t="s">
        <v>514</v>
      </c>
      <c r="D2599" s="125" t="s">
        <v>454</v>
      </c>
      <c r="E2599" s="125" t="s">
        <v>284</v>
      </c>
      <c r="F2599" s="126">
        <v>42942.0</v>
      </c>
      <c r="G2599" s="127">
        <v>4.2E8</v>
      </c>
      <c r="H2599" s="126">
        <v>42955.0</v>
      </c>
      <c r="I2599" s="128">
        <v>773.0</v>
      </c>
      <c r="J2599" s="128">
        <v>668.27</v>
      </c>
      <c r="K2599" s="128">
        <v>502.54</v>
      </c>
      <c r="L2599" s="128">
        <v>516572.7</v>
      </c>
      <c r="M2599" s="128">
        <v>388463.4</v>
      </c>
      <c r="N2599" s="128">
        <v>128109.3</v>
      </c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</row>
    <row r="2600">
      <c r="A2600" s="125" t="s">
        <v>475</v>
      </c>
      <c r="B2600" s="125" t="s">
        <v>605</v>
      </c>
      <c r="C2600" s="125" t="s">
        <v>463</v>
      </c>
      <c r="D2600" s="125" t="s">
        <v>457</v>
      </c>
      <c r="E2600" s="125" t="s">
        <v>284</v>
      </c>
      <c r="F2600" s="126">
        <v>42936.0</v>
      </c>
      <c r="G2600" s="127">
        <v>6.04E8</v>
      </c>
      <c r="H2600" s="126">
        <v>42964.0</v>
      </c>
      <c r="I2600" s="128">
        <v>9792.0</v>
      </c>
      <c r="J2600" s="128">
        <v>205.7</v>
      </c>
      <c r="K2600" s="128">
        <v>117.11</v>
      </c>
      <c r="L2600" s="128">
        <v>2014214.0</v>
      </c>
      <c r="M2600" s="128">
        <v>1146741.0</v>
      </c>
      <c r="N2600" s="128">
        <v>867473.3</v>
      </c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</row>
    <row r="2601">
      <c r="A2601" s="125" t="s">
        <v>466</v>
      </c>
      <c r="B2601" s="125" t="s">
        <v>535</v>
      </c>
      <c r="C2601" s="125" t="s">
        <v>478</v>
      </c>
      <c r="D2601" s="125" t="s">
        <v>454</v>
      </c>
      <c r="E2601" s="125" t="s">
        <v>464</v>
      </c>
      <c r="F2601" s="126">
        <v>42648.0</v>
      </c>
      <c r="G2601" s="127">
        <v>4.01E8</v>
      </c>
      <c r="H2601" s="126">
        <v>42665.0</v>
      </c>
      <c r="I2601" s="128">
        <v>7948.0</v>
      </c>
      <c r="J2601" s="128">
        <v>651.21</v>
      </c>
      <c r="K2601" s="128">
        <v>524.96</v>
      </c>
      <c r="L2601" s="128">
        <v>5175817.0</v>
      </c>
      <c r="M2601" s="128">
        <v>4172382.0</v>
      </c>
      <c r="N2601" s="128">
        <v>1003435.0</v>
      </c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</row>
    <row r="2602">
      <c r="A2602" s="125" t="s">
        <v>475</v>
      </c>
      <c r="B2602" s="125" t="s">
        <v>600</v>
      </c>
      <c r="C2602" s="125" t="s">
        <v>485</v>
      </c>
      <c r="D2602" s="125" t="s">
        <v>454</v>
      </c>
      <c r="E2602" s="125" t="s">
        <v>284</v>
      </c>
      <c r="F2602" s="126">
        <v>40628.0</v>
      </c>
      <c r="G2602" s="127">
        <v>7.79E8</v>
      </c>
      <c r="H2602" s="126">
        <v>40673.0</v>
      </c>
      <c r="I2602" s="128">
        <v>1963.0</v>
      </c>
      <c r="J2602" s="128">
        <v>421.89</v>
      </c>
      <c r="K2602" s="128">
        <v>364.69</v>
      </c>
      <c r="L2602" s="128">
        <v>828170.1</v>
      </c>
      <c r="M2602" s="128">
        <v>715886.5</v>
      </c>
      <c r="N2602" s="128">
        <v>112283.6</v>
      </c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</row>
    <row r="2603">
      <c r="A2603" s="125" t="s">
        <v>475</v>
      </c>
      <c r="B2603" s="125" t="s">
        <v>636</v>
      </c>
      <c r="C2603" s="125" t="s">
        <v>494</v>
      </c>
      <c r="D2603" s="125" t="s">
        <v>457</v>
      </c>
      <c r="E2603" s="125" t="s">
        <v>189</v>
      </c>
      <c r="F2603" s="126">
        <v>42728.0</v>
      </c>
      <c r="G2603" s="127">
        <v>9.75E8</v>
      </c>
      <c r="H2603" s="126">
        <v>42740.0</v>
      </c>
      <c r="I2603" s="128">
        <v>5594.0</v>
      </c>
      <c r="J2603" s="128">
        <v>9.33</v>
      </c>
      <c r="K2603" s="128">
        <v>6.92</v>
      </c>
      <c r="L2603" s="128">
        <v>52192.02</v>
      </c>
      <c r="M2603" s="128">
        <v>38710.48</v>
      </c>
      <c r="N2603" s="128">
        <v>13481.54</v>
      </c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</row>
    <row r="2604">
      <c r="A2604" s="125" t="s">
        <v>475</v>
      </c>
      <c r="B2604" s="125" t="s">
        <v>572</v>
      </c>
      <c r="C2604" s="125" t="s">
        <v>478</v>
      </c>
      <c r="D2604" s="125" t="s">
        <v>454</v>
      </c>
      <c r="E2604" s="125" t="s">
        <v>472</v>
      </c>
      <c r="F2604" s="126">
        <v>41357.0</v>
      </c>
      <c r="G2604" s="127">
        <v>7.47E8</v>
      </c>
      <c r="H2604" s="126">
        <v>41394.0</v>
      </c>
      <c r="I2604" s="128">
        <v>4626.0</v>
      </c>
      <c r="J2604" s="128">
        <v>651.21</v>
      </c>
      <c r="K2604" s="128">
        <v>524.96</v>
      </c>
      <c r="L2604" s="128">
        <v>3012497.0</v>
      </c>
      <c r="M2604" s="128">
        <v>2428465.0</v>
      </c>
      <c r="N2604" s="128">
        <v>584032.5</v>
      </c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</row>
    <row r="2605">
      <c r="A2605" s="125" t="s">
        <v>451</v>
      </c>
      <c r="B2605" s="125" t="s">
        <v>483</v>
      </c>
      <c r="C2605" s="125" t="s">
        <v>468</v>
      </c>
      <c r="D2605" s="125" t="s">
        <v>454</v>
      </c>
      <c r="E2605" s="125" t="s">
        <v>472</v>
      </c>
      <c r="F2605" s="126">
        <v>41764.0</v>
      </c>
      <c r="G2605" s="127">
        <v>8.23E8</v>
      </c>
      <c r="H2605" s="126">
        <v>41784.0</v>
      </c>
      <c r="I2605" s="128">
        <v>1877.0</v>
      </c>
      <c r="J2605" s="128">
        <v>81.73</v>
      </c>
      <c r="K2605" s="128">
        <v>56.67</v>
      </c>
      <c r="L2605" s="128">
        <v>153407.2</v>
      </c>
      <c r="M2605" s="128">
        <v>106369.6</v>
      </c>
      <c r="N2605" s="128">
        <v>47037.62</v>
      </c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</row>
    <row r="2606">
      <c r="A2606" s="125" t="s">
        <v>475</v>
      </c>
      <c r="B2606" s="125" t="s">
        <v>624</v>
      </c>
      <c r="C2606" s="125" t="s">
        <v>478</v>
      </c>
      <c r="D2606" s="125" t="s">
        <v>454</v>
      </c>
      <c r="E2606" s="125" t="s">
        <v>189</v>
      </c>
      <c r="F2606" s="126">
        <v>41287.0</v>
      </c>
      <c r="G2606" s="127">
        <v>6.51E8</v>
      </c>
      <c r="H2606" s="126">
        <v>41317.0</v>
      </c>
      <c r="I2606" s="128">
        <v>2194.0</v>
      </c>
      <c r="J2606" s="128">
        <v>651.21</v>
      </c>
      <c r="K2606" s="128">
        <v>524.96</v>
      </c>
      <c r="L2606" s="128">
        <v>1428755.0</v>
      </c>
      <c r="M2606" s="128">
        <v>1151762.0</v>
      </c>
      <c r="N2606" s="128">
        <v>276992.5</v>
      </c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</row>
    <row r="2607">
      <c r="A2607" s="125" t="s">
        <v>458</v>
      </c>
      <c r="B2607" s="125" t="s">
        <v>487</v>
      </c>
      <c r="C2607" s="125" t="s">
        <v>506</v>
      </c>
      <c r="D2607" s="125" t="s">
        <v>457</v>
      </c>
      <c r="E2607" s="125" t="s">
        <v>284</v>
      </c>
      <c r="F2607" s="126">
        <v>41801.0</v>
      </c>
      <c r="G2607" s="127">
        <v>6.51E8</v>
      </c>
      <c r="H2607" s="126">
        <v>41822.0</v>
      </c>
      <c r="I2607" s="128">
        <v>7459.0</v>
      </c>
      <c r="J2607" s="128">
        <v>154.06</v>
      </c>
      <c r="K2607" s="128">
        <v>90.93</v>
      </c>
      <c r="L2607" s="128">
        <v>1149134.0</v>
      </c>
      <c r="M2607" s="128">
        <v>678246.9</v>
      </c>
      <c r="N2607" s="128">
        <v>470886.7</v>
      </c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</row>
    <row r="2608">
      <c r="A2608" s="125" t="s">
        <v>466</v>
      </c>
      <c r="B2608" s="125" t="s">
        <v>568</v>
      </c>
      <c r="C2608" s="125" t="s">
        <v>460</v>
      </c>
      <c r="D2608" s="125" t="s">
        <v>454</v>
      </c>
      <c r="E2608" s="125" t="s">
        <v>472</v>
      </c>
      <c r="F2608" s="126">
        <v>42805.0</v>
      </c>
      <c r="G2608" s="127">
        <v>8.62E8</v>
      </c>
      <c r="H2608" s="126">
        <v>42818.0</v>
      </c>
      <c r="I2608" s="128">
        <v>1582.0</v>
      </c>
      <c r="J2608" s="128">
        <v>47.45</v>
      </c>
      <c r="K2608" s="128">
        <v>31.79</v>
      </c>
      <c r="L2608" s="128">
        <v>75065.9</v>
      </c>
      <c r="M2608" s="128">
        <v>50291.78</v>
      </c>
      <c r="N2608" s="128">
        <v>24774.12</v>
      </c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</row>
    <row r="2609">
      <c r="A2609" s="125" t="s">
        <v>475</v>
      </c>
      <c r="B2609" s="125" t="s">
        <v>532</v>
      </c>
      <c r="C2609" s="125" t="s">
        <v>478</v>
      </c>
      <c r="D2609" s="125" t="s">
        <v>457</v>
      </c>
      <c r="E2609" s="125" t="s">
        <v>464</v>
      </c>
      <c r="F2609" s="126">
        <v>42804.0</v>
      </c>
      <c r="G2609" s="127">
        <v>4.92E8</v>
      </c>
      <c r="H2609" s="126">
        <v>42815.0</v>
      </c>
      <c r="I2609" s="128">
        <v>5505.0</v>
      </c>
      <c r="J2609" s="128">
        <v>651.21</v>
      </c>
      <c r="K2609" s="128">
        <v>524.96</v>
      </c>
      <c r="L2609" s="128">
        <v>3584911.0</v>
      </c>
      <c r="M2609" s="128">
        <v>2889905.0</v>
      </c>
      <c r="N2609" s="128">
        <v>695006.3</v>
      </c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</row>
    <row r="2610">
      <c r="A2610" s="125" t="s">
        <v>466</v>
      </c>
      <c r="B2610" s="125" t="s">
        <v>531</v>
      </c>
      <c r="C2610" s="125" t="s">
        <v>453</v>
      </c>
      <c r="D2610" s="125" t="s">
        <v>454</v>
      </c>
      <c r="E2610" s="125" t="s">
        <v>472</v>
      </c>
      <c r="F2610" s="126">
        <v>40693.0</v>
      </c>
      <c r="G2610" s="127">
        <v>1.71E8</v>
      </c>
      <c r="H2610" s="126">
        <v>40730.0</v>
      </c>
      <c r="I2610" s="128">
        <v>2203.0</v>
      </c>
      <c r="J2610" s="128">
        <v>255.28</v>
      </c>
      <c r="K2610" s="128">
        <v>159.42</v>
      </c>
      <c r="L2610" s="128">
        <v>562381.8</v>
      </c>
      <c r="M2610" s="128">
        <v>351202.3</v>
      </c>
      <c r="N2610" s="128">
        <v>211179.6</v>
      </c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</row>
    <row r="2611">
      <c r="A2611" s="125" t="s">
        <v>461</v>
      </c>
      <c r="B2611" s="125" t="s">
        <v>465</v>
      </c>
      <c r="C2611" s="125" t="s">
        <v>480</v>
      </c>
      <c r="D2611" s="125" t="s">
        <v>454</v>
      </c>
      <c r="E2611" s="125" t="s">
        <v>464</v>
      </c>
      <c r="F2611" s="126">
        <v>42668.0</v>
      </c>
      <c r="G2611" s="127">
        <v>6.01E8</v>
      </c>
      <c r="H2611" s="126">
        <v>42715.0</v>
      </c>
      <c r="I2611" s="128">
        <v>1680.0</v>
      </c>
      <c r="J2611" s="128">
        <v>437.2</v>
      </c>
      <c r="K2611" s="128">
        <v>263.33</v>
      </c>
      <c r="L2611" s="128">
        <v>734496.0</v>
      </c>
      <c r="M2611" s="128">
        <v>442394.4</v>
      </c>
      <c r="N2611" s="128">
        <v>292101.6</v>
      </c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</row>
    <row r="2612">
      <c r="A2612" s="125" t="s">
        <v>461</v>
      </c>
      <c r="B2612" s="125" t="s">
        <v>611</v>
      </c>
      <c r="C2612" s="125" t="s">
        <v>471</v>
      </c>
      <c r="D2612" s="125" t="s">
        <v>454</v>
      </c>
      <c r="E2612" s="125" t="s">
        <v>189</v>
      </c>
      <c r="F2612" s="126">
        <v>41487.0</v>
      </c>
      <c r="G2612" s="127">
        <v>3.0E8</v>
      </c>
      <c r="H2612" s="126">
        <v>41501.0</v>
      </c>
      <c r="I2612" s="128">
        <v>5972.0</v>
      </c>
      <c r="J2612" s="128">
        <v>109.28</v>
      </c>
      <c r="K2612" s="128">
        <v>35.84</v>
      </c>
      <c r="L2612" s="128">
        <v>652620.2</v>
      </c>
      <c r="M2612" s="128">
        <v>214036.5</v>
      </c>
      <c r="N2612" s="128">
        <v>438583.7</v>
      </c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</row>
    <row r="2613">
      <c r="A2613" s="125" t="s">
        <v>475</v>
      </c>
      <c r="B2613" s="125" t="s">
        <v>604</v>
      </c>
      <c r="C2613" s="125" t="s">
        <v>453</v>
      </c>
      <c r="D2613" s="125" t="s">
        <v>457</v>
      </c>
      <c r="E2613" s="125" t="s">
        <v>189</v>
      </c>
      <c r="F2613" s="126">
        <v>42743.0</v>
      </c>
      <c r="G2613" s="127">
        <v>5.61E8</v>
      </c>
      <c r="H2613" s="126">
        <v>42792.0</v>
      </c>
      <c r="I2613" s="128">
        <v>4146.0</v>
      </c>
      <c r="J2613" s="128">
        <v>255.28</v>
      </c>
      <c r="K2613" s="128">
        <v>159.42</v>
      </c>
      <c r="L2613" s="128">
        <v>1058391.0</v>
      </c>
      <c r="M2613" s="128">
        <v>660955.3</v>
      </c>
      <c r="N2613" s="128">
        <v>397435.6</v>
      </c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</row>
    <row r="2614">
      <c r="A2614" s="125" t="s">
        <v>458</v>
      </c>
      <c r="B2614" s="125" t="s">
        <v>559</v>
      </c>
      <c r="C2614" s="125" t="s">
        <v>514</v>
      </c>
      <c r="D2614" s="125" t="s">
        <v>454</v>
      </c>
      <c r="E2614" s="125" t="s">
        <v>464</v>
      </c>
      <c r="F2614" s="126">
        <v>41353.0</v>
      </c>
      <c r="G2614" s="127">
        <v>4.92E8</v>
      </c>
      <c r="H2614" s="126">
        <v>41375.0</v>
      </c>
      <c r="I2614" s="128">
        <v>7302.0</v>
      </c>
      <c r="J2614" s="128">
        <v>668.27</v>
      </c>
      <c r="K2614" s="128">
        <v>502.54</v>
      </c>
      <c r="L2614" s="128">
        <v>4879708.0</v>
      </c>
      <c r="M2614" s="128">
        <v>3669547.0</v>
      </c>
      <c r="N2614" s="128">
        <v>1210160.0</v>
      </c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</row>
    <row r="2615">
      <c r="A2615" s="125" t="s">
        <v>451</v>
      </c>
      <c r="B2615" s="125" t="s">
        <v>587</v>
      </c>
      <c r="C2615" s="125" t="s">
        <v>456</v>
      </c>
      <c r="D2615" s="125" t="s">
        <v>457</v>
      </c>
      <c r="E2615" s="125" t="s">
        <v>464</v>
      </c>
      <c r="F2615" s="126">
        <v>42304.0</v>
      </c>
      <c r="G2615" s="127">
        <v>1.77E8</v>
      </c>
      <c r="H2615" s="126">
        <v>42352.0</v>
      </c>
      <c r="I2615" s="128">
        <v>3569.0</v>
      </c>
      <c r="J2615" s="128">
        <v>152.58</v>
      </c>
      <c r="K2615" s="128">
        <v>97.44</v>
      </c>
      <c r="L2615" s="128">
        <v>544558.0</v>
      </c>
      <c r="M2615" s="128">
        <v>347763.4</v>
      </c>
      <c r="N2615" s="128">
        <v>196794.7</v>
      </c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</row>
    <row r="2616">
      <c r="A2616" s="125" t="s">
        <v>475</v>
      </c>
      <c r="B2616" s="125" t="s">
        <v>544</v>
      </c>
      <c r="C2616" s="125" t="s">
        <v>494</v>
      </c>
      <c r="D2616" s="125" t="s">
        <v>457</v>
      </c>
      <c r="E2616" s="125" t="s">
        <v>464</v>
      </c>
      <c r="F2616" s="126">
        <v>42677.0</v>
      </c>
      <c r="G2616" s="127">
        <v>2.17E8</v>
      </c>
      <c r="H2616" s="126">
        <v>42726.0</v>
      </c>
      <c r="I2616" s="128">
        <v>3108.0</v>
      </c>
      <c r="J2616" s="128">
        <v>9.33</v>
      </c>
      <c r="K2616" s="128">
        <v>6.92</v>
      </c>
      <c r="L2616" s="128">
        <v>28997.64</v>
      </c>
      <c r="M2616" s="128">
        <v>21507.36</v>
      </c>
      <c r="N2616" s="128">
        <v>7490.28</v>
      </c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</row>
    <row r="2617">
      <c r="A2617" s="125" t="s">
        <v>458</v>
      </c>
      <c r="B2617" s="125" t="s">
        <v>643</v>
      </c>
      <c r="C2617" s="125" t="s">
        <v>468</v>
      </c>
      <c r="D2617" s="125" t="s">
        <v>457</v>
      </c>
      <c r="E2617" s="125" t="s">
        <v>189</v>
      </c>
      <c r="F2617" s="126">
        <v>41321.0</v>
      </c>
      <c r="G2617" s="127">
        <v>3.83E8</v>
      </c>
      <c r="H2617" s="126">
        <v>41360.0</v>
      </c>
      <c r="I2617" s="128">
        <v>3112.0</v>
      </c>
      <c r="J2617" s="128">
        <v>81.73</v>
      </c>
      <c r="K2617" s="128">
        <v>56.67</v>
      </c>
      <c r="L2617" s="128">
        <v>254343.8</v>
      </c>
      <c r="M2617" s="128">
        <v>176357.0</v>
      </c>
      <c r="N2617" s="128">
        <v>77986.72</v>
      </c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</row>
    <row r="2618">
      <c r="A2618" s="125" t="s">
        <v>451</v>
      </c>
      <c r="B2618" s="125" t="s">
        <v>609</v>
      </c>
      <c r="C2618" s="125" t="s">
        <v>485</v>
      </c>
      <c r="D2618" s="125" t="s">
        <v>454</v>
      </c>
      <c r="E2618" s="125" t="s">
        <v>464</v>
      </c>
      <c r="F2618" s="126">
        <v>40241.0</v>
      </c>
      <c r="G2618" s="127">
        <v>9.67E8</v>
      </c>
      <c r="H2618" s="126">
        <v>40286.0</v>
      </c>
      <c r="I2618" s="128">
        <v>2804.0</v>
      </c>
      <c r="J2618" s="128">
        <v>421.89</v>
      </c>
      <c r="K2618" s="128">
        <v>364.69</v>
      </c>
      <c r="L2618" s="128">
        <v>1182980.0</v>
      </c>
      <c r="M2618" s="128">
        <v>1022591.0</v>
      </c>
      <c r="N2618" s="128">
        <v>160388.8</v>
      </c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</row>
    <row r="2619">
      <c r="A2619" s="125" t="s">
        <v>458</v>
      </c>
      <c r="B2619" s="125" t="s">
        <v>626</v>
      </c>
      <c r="C2619" s="125" t="s">
        <v>514</v>
      </c>
      <c r="D2619" s="125" t="s">
        <v>454</v>
      </c>
      <c r="E2619" s="125" t="s">
        <v>284</v>
      </c>
      <c r="F2619" s="126">
        <v>40450.0</v>
      </c>
      <c r="G2619" s="127">
        <v>5.33E8</v>
      </c>
      <c r="H2619" s="126">
        <v>40480.0</v>
      </c>
      <c r="I2619" s="128">
        <v>8439.0</v>
      </c>
      <c r="J2619" s="128">
        <v>668.27</v>
      </c>
      <c r="K2619" s="128">
        <v>502.54</v>
      </c>
      <c r="L2619" s="128">
        <v>5639531.0</v>
      </c>
      <c r="M2619" s="128">
        <v>4240935.0</v>
      </c>
      <c r="N2619" s="128">
        <v>1398595.0</v>
      </c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</row>
    <row r="2620">
      <c r="A2620" s="125" t="s">
        <v>469</v>
      </c>
      <c r="B2620" s="125" t="s">
        <v>530</v>
      </c>
      <c r="C2620" s="125" t="s">
        <v>485</v>
      </c>
      <c r="D2620" s="125" t="s">
        <v>454</v>
      </c>
      <c r="E2620" s="125" t="s">
        <v>284</v>
      </c>
      <c r="F2620" s="126">
        <v>40583.0</v>
      </c>
      <c r="G2620" s="127">
        <v>8.64E8</v>
      </c>
      <c r="H2620" s="126">
        <v>40607.0</v>
      </c>
      <c r="I2620" s="128">
        <v>8304.0</v>
      </c>
      <c r="J2620" s="128">
        <v>421.89</v>
      </c>
      <c r="K2620" s="128">
        <v>364.69</v>
      </c>
      <c r="L2620" s="128">
        <v>3503375.0</v>
      </c>
      <c r="M2620" s="128">
        <v>3028386.0</v>
      </c>
      <c r="N2620" s="128">
        <v>474988.8</v>
      </c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</row>
    <row r="2621">
      <c r="A2621" s="125" t="s">
        <v>475</v>
      </c>
      <c r="B2621" s="125" t="s">
        <v>537</v>
      </c>
      <c r="C2621" s="125" t="s">
        <v>478</v>
      </c>
      <c r="D2621" s="125" t="s">
        <v>454</v>
      </c>
      <c r="E2621" s="125" t="s">
        <v>284</v>
      </c>
      <c r="F2621" s="126">
        <v>41044.0</v>
      </c>
      <c r="G2621" s="127">
        <v>2.11E8</v>
      </c>
      <c r="H2621" s="126">
        <v>41085.0</v>
      </c>
      <c r="I2621" s="128">
        <v>7715.0</v>
      </c>
      <c r="J2621" s="128">
        <v>651.21</v>
      </c>
      <c r="K2621" s="128">
        <v>524.96</v>
      </c>
      <c r="L2621" s="128">
        <v>5024085.0</v>
      </c>
      <c r="M2621" s="128">
        <v>4050066.0</v>
      </c>
      <c r="N2621" s="128">
        <v>974018.8</v>
      </c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</row>
    <row r="2622">
      <c r="A2622" s="125" t="s">
        <v>458</v>
      </c>
      <c r="B2622" s="125" t="s">
        <v>533</v>
      </c>
      <c r="C2622" s="125" t="s">
        <v>456</v>
      </c>
      <c r="D2622" s="125" t="s">
        <v>454</v>
      </c>
      <c r="E2622" s="125" t="s">
        <v>189</v>
      </c>
      <c r="F2622" s="126">
        <v>42631.0</v>
      </c>
      <c r="G2622" s="127">
        <v>9.49E8</v>
      </c>
      <c r="H2622" s="126">
        <v>42643.0</v>
      </c>
      <c r="I2622" s="128">
        <v>4021.0</v>
      </c>
      <c r="J2622" s="128">
        <v>152.58</v>
      </c>
      <c r="K2622" s="128">
        <v>97.44</v>
      </c>
      <c r="L2622" s="128">
        <v>613524.2</v>
      </c>
      <c r="M2622" s="128">
        <v>391806.2</v>
      </c>
      <c r="N2622" s="128">
        <v>221717.9</v>
      </c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</row>
    <row r="2623">
      <c r="A2623" s="125" t="s">
        <v>458</v>
      </c>
      <c r="B2623" s="125" t="s">
        <v>545</v>
      </c>
      <c r="C2623" s="125" t="s">
        <v>460</v>
      </c>
      <c r="D2623" s="125" t="s">
        <v>457</v>
      </c>
      <c r="E2623" s="125" t="s">
        <v>464</v>
      </c>
      <c r="F2623" s="126">
        <v>42379.0</v>
      </c>
      <c r="G2623" s="127">
        <v>1.22E8</v>
      </c>
      <c r="H2623" s="126">
        <v>42382.0</v>
      </c>
      <c r="I2623" s="128">
        <v>1603.0</v>
      </c>
      <c r="J2623" s="128">
        <v>47.45</v>
      </c>
      <c r="K2623" s="128">
        <v>31.79</v>
      </c>
      <c r="L2623" s="128">
        <v>76062.35</v>
      </c>
      <c r="M2623" s="128">
        <v>50959.37</v>
      </c>
      <c r="N2623" s="128">
        <v>25102.98</v>
      </c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</row>
    <row r="2624">
      <c r="A2624" s="125" t="s">
        <v>475</v>
      </c>
      <c r="B2624" s="125" t="s">
        <v>571</v>
      </c>
      <c r="C2624" s="125" t="s">
        <v>456</v>
      </c>
      <c r="D2624" s="125" t="s">
        <v>457</v>
      </c>
      <c r="E2624" s="125" t="s">
        <v>464</v>
      </c>
      <c r="F2624" s="126">
        <v>40477.0</v>
      </c>
      <c r="G2624" s="127">
        <v>6.94E8</v>
      </c>
      <c r="H2624" s="126">
        <v>40525.0</v>
      </c>
      <c r="I2624" s="128">
        <v>6871.0</v>
      </c>
      <c r="J2624" s="128">
        <v>152.58</v>
      </c>
      <c r="K2624" s="128">
        <v>97.44</v>
      </c>
      <c r="L2624" s="128">
        <v>1048377.0</v>
      </c>
      <c r="M2624" s="128">
        <v>669510.2</v>
      </c>
      <c r="N2624" s="128">
        <v>378866.9</v>
      </c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</row>
    <row r="2625">
      <c r="A2625" s="125" t="s">
        <v>458</v>
      </c>
      <c r="B2625" s="125" t="s">
        <v>603</v>
      </c>
      <c r="C2625" s="125" t="s">
        <v>471</v>
      </c>
      <c r="D2625" s="125" t="s">
        <v>457</v>
      </c>
      <c r="E2625" s="125" t="s">
        <v>189</v>
      </c>
      <c r="F2625" s="126">
        <v>41655.0</v>
      </c>
      <c r="G2625" s="127">
        <v>2.99E8</v>
      </c>
      <c r="H2625" s="126">
        <v>41667.0</v>
      </c>
      <c r="I2625" s="128">
        <v>3267.0</v>
      </c>
      <c r="J2625" s="128">
        <v>109.28</v>
      </c>
      <c r="K2625" s="128">
        <v>35.84</v>
      </c>
      <c r="L2625" s="128">
        <v>357017.8</v>
      </c>
      <c r="M2625" s="128">
        <v>117089.3</v>
      </c>
      <c r="N2625" s="128">
        <v>239928.5</v>
      </c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</row>
    <row r="2626">
      <c r="A2626" s="125" t="s">
        <v>458</v>
      </c>
      <c r="B2626" s="125" t="s">
        <v>642</v>
      </c>
      <c r="C2626" s="125" t="s">
        <v>471</v>
      </c>
      <c r="D2626" s="125" t="s">
        <v>457</v>
      </c>
      <c r="E2626" s="125" t="s">
        <v>284</v>
      </c>
      <c r="F2626" s="126">
        <v>42731.0</v>
      </c>
      <c r="G2626" s="127">
        <v>6.92E8</v>
      </c>
      <c r="H2626" s="126">
        <v>42763.0</v>
      </c>
      <c r="I2626" s="128">
        <v>6266.0</v>
      </c>
      <c r="J2626" s="128">
        <v>109.28</v>
      </c>
      <c r="K2626" s="128">
        <v>35.84</v>
      </c>
      <c r="L2626" s="128">
        <v>684748.5</v>
      </c>
      <c r="M2626" s="128">
        <v>224573.4</v>
      </c>
      <c r="N2626" s="128">
        <v>460175.0</v>
      </c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</row>
    <row r="2627">
      <c r="A2627" s="125" t="s">
        <v>451</v>
      </c>
      <c r="B2627" s="125" t="s">
        <v>523</v>
      </c>
      <c r="C2627" s="125" t="s">
        <v>514</v>
      </c>
      <c r="D2627" s="125" t="s">
        <v>454</v>
      </c>
      <c r="E2627" s="125" t="s">
        <v>189</v>
      </c>
      <c r="F2627" s="126">
        <v>42298.0</v>
      </c>
      <c r="G2627" s="127">
        <v>9.97E8</v>
      </c>
      <c r="H2627" s="126">
        <v>42323.0</v>
      </c>
      <c r="I2627" s="128">
        <v>8372.0</v>
      </c>
      <c r="J2627" s="128">
        <v>668.27</v>
      </c>
      <c r="K2627" s="128">
        <v>502.54</v>
      </c>
      <c r="L2627" s="128">
        <v>5594756.0</v>
      </c>
      <c r="M2627" s="128">
        <v>4207265.0</v>
      </c>
      <c r="N2627" s="128">
        <v>1387492.0</v>
      </c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</row>
    <row r="2628">
      <c r="A2628" s="125" t="s">
        <v>469</v>
      </c>
      <c r="B2628" s="125" t="s">
        <v>520</v>
      </c>
      <c r="C2628" s="125" t="s">
        <v>478</v>
      </c>
      <c r="D2628" s="125" t="s">
        <v>454</v>
      </c>
      <c r="E2628" s="125" t="s">
        <v>189</v>
      </c>
      <c r="F2628" s="126">
        <v>42101.0</v>
      </c>
      <c r="G2628" s="127">
        <v>8.62E8</v>
      </c>
      <c r="H2628" s="126">
        <v>42128.0</v>
      </c>
      <c r="I2628" s="128">
        <v>4122.0</v>
      </c>
      <c r="J2628" s="128">
        <v>651.21</v>
      </c>
      <c r="K2628" s="128">
        <v>524.96</v>
      </c>
      <c r="L2628" s="128">
        <v>2684288.0</v>
      </c>
      <c r="M2628" s="128">
        <v>2163885.0</v>
      </c>
      <c r="N2628" s="128">
        <v>520402.5</v>
      </c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</row>
    <row r="2629">
      <c r="A2629" s="125" t="s">
        <v>451</v>
      </c>
      <c r="B2629" s="125" t="s">
        <v>646</v>
      </c>
      <c r="C2629" s="125" t="s">
        <v>456</v>
      </c>
      <c r="D2629" s="125" t="s">
        <v>457</v>
      </c>
      <c r="E2629" s="125" t="s">
        <v>189</v>
      </c>
      <c r="F2629" s="126">
        <v>42892.0</v>
      </c>
      <c r="G2629" s="127">
        <v>9.0E8</v>
      </c>
      <c r="H2629" s="126">
        <v>42903.0</v>
      </c>
      <c r="I2629" s="128">
        <v>5082.0</v>
      </c>
      <c r="J2629" s="128">
        <v>152.58</v>
      </c>
      <c r="K2629" s="128">
        <v>97.44</v>
      </c>
      <c r="L2629" s="128">
        <v>775411.6</v>
      </c>
      <c r="M2629" s="128">
        <v>495190.1</v>
      </c>
      <c r="N2629" s="128">
        <v>280221.5</v>
      </c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</row>
    <row r="2630">
      <c r="A2630" s="125" t="s">
        <v>458</v>
      </c>
      <c r="B2630" s="125" t="s">
        <v>541</v>
      </c>
      <c r="C2630" s="125" t="s">
        <v>485</v>
      </c>
      <c r="D2630" s="125" t="s">
        <v>457</v>
      </c>
      <c r="E2630" s="125" t="s">
        <v>472</v>
      </c>
      <c r="F2630" s="126">
        <v>40282.0</v>
      </c>
      <c r="G2630" s="127">
        <v>4.48E8</v>
      </c>
      <c r="H2630" s="126">
        <v>40293.0</v>
      </c>
      <c r="I2630" s="128">
        <v>4852.0</v>
      </c>
      <c r="J2630" s="128">
        <v>421.89</v>
      </c>
      <c r="K2630" s="128">
        <v>364.69</v>
      </c>
      <c r="L2630" s="128">
        <v>2047010.0</v>
      </c>
      <c r="M2630" s="128">
        <v>1769476.0</v>
      </c>
      <c r="N2630" s="128">
        <v>277534.4</v>
      </c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</row>
    <row r="2631">
      <c r="A2631" s="125" t="s">
        <v>461</v>
      </c>
      <c r="B2631" s="125" t="s">
        <v>525</v>
      </c>
      <c r="C2631" s="125" t="s">
        <v>494</v>
      </c>
      <c r="D2631" s="125" t="s">
        <v>454</v>
      </c>
      <c r="E2631" s="125" t="s">
        <v>284</v>
      </c>
      <c r="F2631" s="126">
        <v>42715.0</v>
      </c>
      <c r="G2631" s="127">
        <v>7.12E8</v>
      </c>
      <c r="H2631" s="126">
        <v>42717.0</v>
      </c>
      <c r="I2631" s="128">
        <v>4060.0</v>
      </c>
      <c r="J2631" s="128">
        <v>9.33</v>
      </c>
      <c r="K2631" s="128">
        <v>6.92</v>
      </c>
      <c r="L2631" s="128">
        <v>37879.8</v>
      </c>
      <c r="M2631" s="128">
        <v>28095.2</v>
      </c>
      <c r="N2631" s="128">
        <v>9784.6</v>
      </c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</row>
    <row r="2632">
      <c r="A2632" s="125" t="s">
        <v>451</v>
      </c>
      <c r="B2632" s="125" t="s">
        <v>587</v>
      </c>
      <c r="C2632" s="125" t="s">
        <v>478</v>
      </c>
      <c r="D2632" s="125" t="s">
        <v>457</v>
      </c>
      <c r="E2632" s="125" t="s">
        <v>189</v>
      </c>
      <c r="F2632" s="126">
        <v>42429.0</v>
      </c>
      <c r="G2632" s="127">
        <v>7.19E8</v>
      </c>
      <c r="H2632" s="126">
        <v>42451.0</v>
      </c>
      <c r="I2632" s="128">
        <v>5370.0</v>
      </c>
      <c r="J2632" s="128">
        <v>651.21</v>
      </c>
      <c r="K2632" s="128">
        <v>524.96</v>
      </c>
      <c r="L2632" s="128">
        <v>3496998.0</v>
      </c>
      <c r="M2632" s="128">
        <v>2819035.0</v>
      </c>
      <c r="N2632" s="128">
        <v>677962.5</v>
      </c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</row>
    <row r="2633">
      <c r="A2633" s="125" t="s">
        <v>475</v>
      </c>
      <c r="B2633" s="125" t="s">
        <v>571</v>
      </c>
      <c r="C2633" s="125" t="s">
        <v>471</v>
      </c>
      <c r="D2633" s="125" t="s">
        <v>457</v>
      </c>
      <c r="E2633" s="125" t="s">
        <v>464</v>
      </c>
      <c r="F2633" s="126">
        <v>41732.0</v>
      </c>
      <c r="G2633" s="127">
        <v>4.66E8</v>
      </c>
      <c r="H2633" s="126">
        <v>41777.0</v>
      </c>
      <c r="I2633" s="128">
        <v>8471.0</v>
      </c>
      <c r="J2633" s="128">
        <v>109.28</v>
      </c>
      <c r="K2633" s="128">
        <v>35.84</v>
      </c>
      <c r="L2633" s="128">
        <v>925710.9</v>
      </c>
      <c r="M2633" s="128">
        <v>303600.6</v>
      </c>
      <c r="N2633" s="128">
        <v>622110.2</v>
      </c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</row>
    <row r="2634">
      <c r="A2634" s="125" t="s">
        <v>458</v>
      </c>
      <c r="B2634" s="125" t="s">
        <v>547</v>
      </c>
      <c r="C2634" s="125" t="s">
        <v>506</v>
      </c>
      <c r="D2634" s="125" t="s">
        <v>457</v>
      </c>
      <c r="E2634" s="125" t="s">
        <v>472</v>
      </c>
      <c r="F2634" s="126">
        <v>40556.0</v>
      </c>
      <c r="G2634" s="127">
        <v>4.7E8</v>
      </c>
      <c r="H2634" s="126">
        <v>40565.0</v>
      </c>
      <c r="I2634" s="128">
        <v>5090.0</v>
      </c>
      <c r="J2634" s="128">
        <v>154.06</v>
      </c>
      <c r="K2634" s="128">
        <v>90.93</v>
      </c>
      <c r="L2634" s="128">
        <v>784165.4</v>
      </c>
      <c r="M2634" s="128">
        <v>462833.7</v>
      </c>
      <c r="N2634" s="128">
        <v>321331.7</v>
      </c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</row>
    <row r="2635">
      <c r="A2635" s="125" t="s">
        <v>458</v>
      </c>
      <c r="B2635" s="125" t="s">
        <v>567</v>
      </c>
      <c r="C2635" s="125" t="s">
        <v>456</v>
      </c>
      <c r="D2635" s="125" t="s">
        <v>457</v>
      </c>
      <c r="E2635" s="125" t="s">
        <v>189</v>
      </c>
      <c r="F2635" s="126">
        <v>40604.0</v>
      </c>
      <c r="G2635" s="127">
        <v>4.18E8</v>
      </c>
      <c r="H2635" s="126">
        <v>40648.0</v>
      </c>
      <c r="I2635" s="128">
        <v>3979.0</v>
      </c>
      <c r="J2635" s="128">
        <v>152.58</v>
      </c>
      <c r="K2635" s="128">
        <v>97.44</v>
      </c>
      <c r="L2635" s="128">
        <v>607115.8</v>
      </c>
      <c r="M2635" s="128">
        <v>387713.8</v>
      </c>
      <c r="N2635" s="128">
        <v>219402.1</v>
      </c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</row>
    <row r="2636">
      <c r="A2636" s="125" t="s">
        <v>466</v>
      </c>
      <c r="B2636" s="125" t="s">
        <v>502</v>
      </c>
      <c r="C2636" s="125" t="s">
        <v>480</v>
      </c>
      <c r="D2636" s="125" t="s">
        <v>457</v>
      </c>
      <c r="E2636" s="125" t="s">
        <v>284</v>
      </c>
      <c r="F2636" s="126">
        <v>41202.0</v>
      </c>
      <c r="G2636" s="127">
        <v>5.19E8</v>
      </c>
      <c r="H2636" s="126">
        <v>41240.0</v>
      </c>
      <c r="I2636" s="128">
        <v>5926.0</v>
      </c>
      <c r="J2636" s="128">
        <v>437.2</v>
      </c>
      <c r="K2636" s="128">
        <v>263.33</v>
      </c>
      <c r="L2636" s="128">
        <v>2590847.0</v>
      </c>
      <c r="M2636" s="128">
        <v>1560494.0</v>
      </c>
      <c r="N2636" s="128">
        <v>1030354.0</v>
      </c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</row>
    <row r="2637">
      <c r="A2637" s="125" t="s">
        <v>451</v>
      </c>
      <c r="B2637" s="125" t="s">
        <v>483</v>
      </c>
      <c r="C2637" s="125" t="s">
        <v>471</v>
      </c>
      <c r="D2637" s="125" t="s">
        <v>454</v>
      </c>
      <c r="E2637" s="125" t="s">
        <v>189</v>
      </c>
      <c r="F2637" s="126">
        <v>40681.0</v>
      </c>
      <c r="G2637" s="127">
        <v>1.51E8</v>
      </c>
      <c r="H2637" s="126">
        <v>40701.0</v>
      </c>
      <c r="I2637" s="128">
        <v>8748.0</v>
      </c>
      <c r="J2637" s="128">
        <v>109.28</v>
      </c>
      <c r="K2637" s="128">
        <v>35.84</v>
      </c>
      <c r="L2637" s="128">
        <v>955981.4</v>
      </c>
      <c r="M2637" s="128">
        <v>313528.3</v>
      </c>
      <c r="N2637" s="128">
        <v>642453.1</v>
      </c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</row>
    <row r="2638">
      <c r="A2638" s="125" t="s">
        <v>451</v>
      </c>
      <c r="B2638" s="125" t="s">
        <v>499</v>
      </c>
      <c r="C2638" s="125" t="s">
        <v>485</v>
      </c>
      <c r="D2638" s="125" t="s">
        <v>457</v>
      </c>
      <c r="E2638" s="125" t="s">
        <v>464</v>
      </c>
      <c r="F2638" s="126">
        <v>40529.0</v>
      </c>
      <c r="G2638" s="127">
        <v>1.12E8</v>
      </c>
      <c r="H2638" s="126">
        <v>40562.0</v>
      </c>
      <c r="I2638" s="128">
        <v>2293.0</v>
      </c>
      <c r="J2638" s="128">
        <v>421.89</v>
      </c>
      <c r="K2638" s="128">
        <v>364.69</v>
      </c>
      <c r="L2638" s="128">
        <v>967393.8</v>
      </c>
      <c r="M2638" s="128">
        <v>836234.2</v>
      </c>
      <c r="N2638" s="128">
        <v>131159.6</v>
      </c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</row>
    <row r="2639">
      <c r="A2639" s="125" t="s">
        <v>475</v>
      </c>
      <c r="B2639" s="125" t="s">
        <v>619</v>
      </c>
      <c r="C2639" s="125" t="s">
        <v>468</v>
      </c>
      <c r="D2639" s="125" t="s">
        <v>454</v>
      </c>
      <c r="E2639" s="125" t="s">
        <v>189</v>
      </c>
      <c r="F2639" s="126">
        <v>41238.0</v>
      </c>
      <c r="G2639" s="127">
        <v>3.7E8</v>
      </c>
      <c r="H2639" s="126">
        <v>41244.0</v>
      </c>
      <c r="I2639" s="128">
        <v>3442.0</v>
      </c>
      <c r="J2639" s="128">
        <v>81.73</v>
      </c>
      <c r="K2639" s="128">
        <v>56.67</v>
      </c>
      <c r="L2639" s="128">
        <v>281314.7</v>
      </c>
      <c r="M2639" s="128">
        <v>195058.1</v>
      </c>
      <c r="N2639" s="128">
        <v>86256.52</v>
      </c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</row>
    <row r="2640">
      <c r="A2640" s="125" t="s">
        <v>458</v>
      </c>
      <c r="B2640" s="125" t="s">
        <v>486</v>
      </c>
      <c r="C2640" s="125" t="s">
        <v>456</v>
      </c>
      <c r="D2640" s="125" t="s">
        <v>454</v>
      </c>
      <c r="E2640" s="125" t="s">
        <v>189</v>
      </c>
      <c r="F2640" s="126">
        <v>40926.0</v>
      </c>
      <c r="G2640" s="127">
        <v>5.16E8</v>
      </c>
      <c r="H2640" s="126">
        <v>40960.0</v>
      </c>
      <c r="I2640" s="128">
        <v>1105.0</v>
      </c>
      <c r="J2640" s="128">
        <v>152.58</v>
      </c>
      <c r="K2640" s="128">
        <v>97.44</v>
      </c>
      <c r="L2640" s="128">
        <v>168600.9</v>
      </c>
      <c r="M2640" s="128">
        <v>107671.2</v>
      </c>
      <c r="N2640" s="128">
        <v>60929.7</v>
      </c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</row>
    <row r="2641">
      <c r="A2641" s="125" t="s">
        <v>458</v>
      </c>
      <c r="B2641" s="125" t="s">
        <v>594</v>
      </c>
      <c r="C2641" s="125" t="s">
        <v>480</v>
      </c>
      <c r="D2641" s="125" t="s">
        <v>457</v>
      </c>
      <c r="E2641" s="125" t="s">
        <v>464</v>
      </c>
      <c r="F2641" s="126">
        <v>42245.0</v>
      </c>
      <c r="G2641" s="127">
        <v>2.08E8</v>
      </c>
      <c r="H2641" s="126">
        <v>42292.0</v>
      </c>
      <c r="I2641" s="128">
        <v>1224.0</v>
      </c>
      <c r="J2641" s="128">
        <v>437.2</v>
      </c>
      <c r="K2641" s="128">
        <v>263.33</v>
      </c>
      <c r="L2641" s="128">
        <v>535132.8</v>
      </c>
      <c r="M2641" s="128">
        <v>322315.9</v>
      </c>
      <c r="N2641" s="128">
        <v>212816.9</v>
      </c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</row>
    <row r="2642">
      <c r="A2642" s="125" t="s">
        <v>458</v>
      </c>
      <c r="B2642" s="125" t="s">
        <v>653</v>
      </c>
      <c r="C2642" s="125" t="s">
        <v>494</v>
      </c>
      <c r="D2642" s="125" t="s">
        <v>454</v>
      </c>
      <c r="E2642" s="125" t="s">
        <v>189</v>
      </c>
      <c r="F2642" s="126">
        <v>42706.0</v>
      </c>
      <c r="G2642" s="127">
        <v>5.27E8</v>
      </c>
      <c r="H2642" s="126">
        <v>42747.0</v>
      </c>
      <c r="I2642" s="128">
        <v>1775.0</v>
      </c>
      <c r="J2642" s="128">
        <v>9.33</v>
      </c>
      <c r="K2642" s="128">
        <v>6.92</v>
      </c>
      <c r="L2642" s="128">
        <v>16560.75</v>
      </c>
      <c r="M2642" s="128">
        <v>12283.0</v>
      </c>
      <c r="N2642" s="128">
        <v>4277.75</v>
      </c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</row>
    <row r="2643">
      <c r="A2643" s="125" t="s">
        <v>451</v>
      </c>
      <c r="B2643" s="125" t="s">
        <v>587</v>
      </c>
      <c r="C2643" s="125" t="s">
        <v>460</v>
      </c>
      <c r="D2643" s="125" t="s">
        <v>454</v>
      </c>
      <c r="E2643" s="125" t="s">
        <v>472</v>
      </c>
      <c r="F2643" s="126">
        <v>41593.0</v>
      </c>
      <c r="G2643" s="127">
        <v>8.21E8</v>
      </c>
      <c r="H2643" s="126">
        <v>41642.0</v>
      </c>
      <c r="I2643" s="128">
        <v>7760.0</v>
      </c>
      <c r="J2643" s="128">
        <v>47.45</v>
      </c>
      <c r="K2643" s="128">
        <v>31.79</v>
      </c>
      <c r="L2643" s="128">
        <v>368212.0</v>
      </c>
      <c r="M2643" s="128">
        <v>246690.4</v>
      </c>
      <c r="N2643" s="128">
        <v>121521.6</v>
      </c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</row>
    <row r="2644">
      <c r="A2644" s="125" t="s">
        <v>461</v>
      </c>
      <c r="B2644" s="125" t="s">
        <v>557</v>
      </c>
      <c r="C2644" s="125" t="s">
        <v>468</v>
      </c>
      <c r="D2644" s="125" t="s">
        <v>457</v>
      </c>
      <c r="E2644" s="125" t="s">
        <v>189</v>
      </c>
      <c r="F2644" s="126">
        <v>41342.0</v>
      </c>
      <c r="G2644" s="127">
        <v>9.62E8</v>
      </c>
      <c r="H2644" s="126">
        <v>41359.0</v>
      </c>
      <c r="I2644" s="128">
        <v>6217.0</v>
      </c>
      <c r="J2644" s="128">
        <v>81.73</v>
      </c>
      <c r="K2644" s="128">
        <v>56.67</v>
      </c>
      <c r="L2644" s="128">
        <v>508115.4</v>
      </c>
      <c r="M2644" s="128">
        <v>352317.4</v>
      </c>
      <c r="N2644" s="128">
        <v>155798.0</v>
      </c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</row>
    <row r="2645">
      <c r="A2645" s="125" t="s">
        <v>466</v>
      </c>
      <c r="B2645" s="125" t="s">
        <v>637</v>
      </c>
      <c r="C2645" s="125" t="s">
        <v>463</v>
      </c>
      <c r="D2645" s="125" t="s">
        <v>454</v>
      </c>
      <c r="E2645" s="125" t="s">
        <v>472</v>
      </c>
      <c r="F2645" s="126">
        <v>40633.0</v>
      </c>
      <c r="G2645" s="127">
        <v>8.91E8</v>
      </c>
      <c r="H2645" s="126">
        <v>40665.0</v>
      </c>
      <c r="I2645" s="128">
        <v>1213.0</v>
      </c>
      <c r="J2645" s="128">
        <v>205.7</v>
      </c>
      <c r="K2645" s="128">
        <v>117.11</v>
      </c>
      <c r="L2645" s="128">
        <v>249514.1</v>
      </c>
      <c r="M2645" s="128">
        <v>142054.4</v>
      </c>
      <c r="N2645" s="128">
        <v>107459.7</v>
      </c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</row>
    <row r="2646">
      <c r="A2646" s="125" t="s">
        <v>461</v>
      </c>
      <c r="B2646" s="125" t="s">
        <v>539</v>
      </c>
      <c r="C2646" s="125" t="s">
        <v>514</v>
      </c>
      <c r="D2646" s="125" t="s">
        <v>457</v>
      </c>
      <c r="E2646" s="125" t="s">
        <v>464</v>
      </c>
      <c r="F2646" s="126">
        <v>41297.0</v>
      </c>
      <c r="G2646" s="127">
        <v>1.67E8</v>
      </c>
      <c r="H2646" s="126">
        <v>41337.0</v>
      </c>
      <c r="I2646" s="128">
        <v>8846.0</v>
      </c>
      <c r="J2646" s="128">
        <v>668.27</v>
      </c>
      <c r="K2646" s="128">
        <v>502.54</v>
      </c>
      <c r="L2646" s="128">
        <v>5911516.0</v>
      </c>
      <c r="M2646" s="128">
        <v>4445469.0</v>
      </c>
      <c r="N2646" s="128">
        <v>1466048.0</v>
      </c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</row>
    <row r="2647">
      <c r="A2647" s="125" t="s">
        <v>451</v>
      </c>
      <c r="B2647" s="125" t="s">
        <v>452</v>
      </c>
      <c r="C2647" s="125" t="s">
        <v>456</v>
      </c>
      <c r="D2647" s="125" t="s">
        <v>454</v>
      </c>
      <c r="E2647" s="125" t="s">
        <v>472</v>
      </c>
      <c r="F2647" s="126">
        <v>41407.0</v>
      </c>
      <c r="G2647" s="127">
        <v>2.23E8</v>
      </c>
      <c r="H2647" s="126">
        <v>41435.0</v>
      </c>
      <c r="I2647" s="128">
        <v>2247.0</v>
      </c>
      <c r="J2647" s="128">
        <v>152.58</v>
      </c>
      <c r="K2647" s="128">
        <v>97.44</v>
      </c>
      <c r="L2647" s="128">
        <v>342847.3</v>
      </c>
      <c r="M2647" s="128">
        <v>218947.7</v>
      </c>
      <c r="N2647" s="128">
        <v>123899.6</v>
      </c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</row>
    <row r="2648">
      <c r="A2648" s="125" t="s">
        <v>461</v>
      </c>
      <c r="B2648" s="125" t="s">
        <v>516</v>
      </c>
      <c r="C2648" s="125" t="s">
        <v>471</v>
      </c>
      <c r="D2648" s="125" t="s">
        <v>454</v>
      </c>
      <c r="E2648" s="125" t="s">
        <v>464</v>
      </c>
      <c r="F2648" s="126">
        <v>42192.0</v>
      </c>
      <c r="G2648" s="127">
        <v>3.11E8</v>
      </c>
      <c r="H2648" s="126">
        <v>42239.0</v>
      </c>
      <c r="I2648" s="128">
        <v>6576.0</v>
      </c>
      <c r="J2648" s="128">
        <v>109.28</v>
      </c>
      <c r="K2648" s="128">
        <v>35.84</v>
      </c>
      <c r="L2648" s="128">
        <v>718625.3</v>
      </c>
      <c r="M2648" s="128">
        <v>235683.8</v>
      </c>
      <c r="N2648" s="128">
        <v>482941.4</v>
      </c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</row>
    <row r="2649">
      <c r="A2649" s="125" t="s">
        <v>475</v>
      </c>
      <c r="B2649" s="125" t="s">
        <v>562</v>
      </c>
      <c r="C2649" s="125" t="s">
        <v>456</v>
      </c>
      <c r="D2649" s="125" t="s">
        <v>457</v>
      </c>
      <c r="E2649" s="125" t="s">
        <v>189</v>
      </c>
      <c r="F2649" s="126">
        <v>41118.0</v>
      </c>
      <c r="G2649" s="127">
        <v>6.51E8</v>
      </c>
      <c r="H2649" s="126">
        <v>41151.0</v>
      </c>
      <c r="I2649" s="128">
        <v>4026.0</v>
      </c>
      <c r="J2649" s="128">
        <v>152.58</v>
      </c>
      <c r="K2649" s="128">
        <v>97.44</v>
      </c>
      <c r="L2649" s="128">
        <v>614287.1</v>
      </c>
      <c r="M2649" s="128">
        <v>392293.4</v>
      </c>
      <c r="N2649" s="128">
        <v>221993.6</v>
      </c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</row>
    <row r="2650">
      <c r="A2650" s="125" t="s">
        <v>466</v>
      </c>
      <c r="B2650" s="125" t="s">
        <v>496</v>
      </c>
      <c r="C2650" s="125" t="s">
        <v>453</v>
      </c>
      <c r="D2650" s="125" t="s">
        <v>454</v>
      </c>
      <c r="E2650" s="125" t="s">
        <v>284</v>
      </c>
      <c r="F2650" s="126">
        <v>41574.0</v>
      </c>
      <c r="G2650" s="127">
        <v>1.87E8</v>
      </c>
      <c r="H2650" s="126">
        <v>41612.0</v>
      </c>
      <c r="I2650" s="128">
        <v>8821.0</v>
      </c>
      <c r="J2650" s="128">
        <v>255.28</v>
      </c>
      <c r="K2650" s="128">
        <v>159.42</v>
      </c>
      <c r="L2650" s="128">
        <v>2251825.0</v>
      </c>
      <c r="M2650" s="128">
        <v>1406244.0</v>
      </c>
      <c r="N2650" s="128">
        <v>845581.1</v>
      </c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</row>
    <row r="2651">
      <c r="A2651" s="125" t="s">
        <v>475</v>
      </c>
      <c r="B2651" s="125" t="s">
        <v>574</v>
      </c>
      <c r="C2651" s="125" t="s">
        <v>514</v>
      </c>
      <c r="D2651" s="125" t="s">
        <v>454</v>
      </c>
      <c r="E2651" s="125" t="s">
        <v>464</v>
      </c>
      <c r="F2651" s="126">
        <v>40423.0</v>
      </c>
      <c r="G2651" s="127">
        <v>6.3E8</v>
      </c>
      <c r="H2651" s="126">
        <v>40425.0</v>
      </c>
      <c r="I2651" s="128">
        <v>2215.0</v>
      </c>
      <c r="J2651" s="128">
        <v>668.27</v>
      </c>
      <c r="K2651" s="128">
        <v>502.54</v>
      </c>
      <c r="L2651" s="128">
        <v>1480218.0</v>
      </c>
      <c r="M2651" s="128">
        <v>1113126.0</v>
      </c>
      <c r="N2651" s="128">
        <v>367092.0</v>
      </c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</row>
    <row r="2652">
      <c r="A2652" s="125" t="s">
        <v>475</v>
      </c>
      <c r="B2652" s="125" t="s">
        <v>532</v>
      </c>
      <c r="C2652" s="125" t="s">
        <v>478</v>
      </c>
      <c r="D2652" s="125" t="s">
        <v>457</v>
      </c>
      <c r="E2652" s="125" t="s">
        <v>189</v>
      </c>
      <c r="F2652" s="126">
        <v>40448.0</v>
      </c>
      <c r="G2652" s="127">
        <v>6.15E8</v>
      </c>
      <c r="H2652" s="126">
        <v>40477.0</v>
      </c>
      <c r="I2652" s="128">
        <v>7494.0</v>
      </c>
      <c r="J2652" s="128">
        <v>651.21</v>
      </c>
      <c r="K2652" s="128">
        <v>524.96</v>
      </c>
      <c r="L2652" s="128">
        <v>4880168.0</v>
      </c>
      <c r="M2652" s="128">
        <v>3934050.0</v>
      </c>
      <c r="N2652" s="128">
        <v>946117.5</v>
      </c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</row>
    <row r="2653">
      <c r="A2653" s="125" t="s">
        <v>458</v>
      </c>
      <c r="B2653" s="125" t="s">
        <v>627</v>
      </c>
      <c r="C2653" s="125" t="s">
        <v>485</v>
      </c>
      <c r="D2653" s="125" t="s">
        <v>454</v>
      </c>
      <c r="E2653" s="125" t="s">
        <v>472</v>
      </c>
      <c r="F2653" s="126">
        <v>40674.0</v>
      </c>
      <c r="G2653" s="127">
        <v>6.43E8</v>
      </c>
      <c r="H2653" s="126">
        <v>40681.0</v>
      </c>
      <c r="I2653" s="128">
        <v>4977.0</v>
      </c>
      <c r="J2653" s="128">
        <v>421.89</v>
      </c>
      <c r="K2653" s="128">
        <v>364.69</v>
      </c>
      <c r="L2653" s="128">
        <v>2099747.0</v>
      </c>
      <c r="M2653" s="128">
        <v>1815062.0</v>
      </c>
      <c r="N2653" s="128">
        <v>284684.4</v>
      </c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</row>
    <row r="2654">
      <c r="A2654" s="125" t="s">
        <v>466</v>
      </c>
      <c r="B2654" s="125" t="s">
        <v>607</v>
      </c>
      <c r="C2654" s="125" t="s">
        <v>468</v>
      </c>
      <c r="D2654" s="125" t="s">
        <v>457</v>
      </c>
      <c r="E2654" s="125" t="s">
        <v>472</v>
      </c>
      <c r="F2654" s="126">
        <v>40512.0</v>
      </c>
      <c r="G2654" s="127">
        <v>8.39E8</v>
      </c>
      <c r="H2654" s="126">
        <v>40556.0</v>
      </c>
      <c r="I2654" s="128">
        <v>7011.0</v>
      </c>
      <c r="J2654" s="128">
        <v>81.73</v>
      </c>
      <c r="K2654" s="128">
        <v>56.67</v>
      </c>
      <c r="L2654" s="128">
        <v>573009.0</v>
      </c>
      <c r="M2654" s="128">
        <v>397313.4</v>
      </c>
      <c r="N2654" s="128">
        <v>175695.7</v>
      </c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</row>
    <row r="2655">
      <c r="A2655" s="125" t="s">
        <v>469</v>
      </c>
      <c r="B2655" s="125" t="s">
        <v>630</v>
      </c>
      <c r="C2655" s="125" t="s">
        <v>468</v>
      </c>
      <c r="D2655" s="125" t="s">
        <v>454</v>
      </c>
      <c r="E2655" s="125" t="s">
        <v>464</v>
      </c>
      <c r="F2655" s="126">
        <v>41146.0</v>
      </c>
      <c r="G2655" s="127">
        <v>4.95E8</v>
      </c>
      <c r="H2655" s="126">
        <v>41176.0</v>
      </c>
      <c r="I2655" s="128">
        <v>2976.0</v>
      </c>
      <c r="J2655" s="128">
        <v>81.73</v>
      </c>
      <c r="K2655" s="128">
        <v>56.67</v>
      </c>
      <c r="L2655" s="128">
        <v>243228.5</v>
      </c>
      <c r="M2655" s="128">
        <v>168649.9</v>
      </c>
      <c r="N2655" s="128">
        <v>74578.56</v>
      </c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</row>
    <row r="2656">
      <c r="A2656" s="125" t="s">
        <v>458</v>
      </c>
      <c r="B2656" s="125" t="s">
        <v>583</v>
      </c>
      <c r="C2656" s="125" t="s">
        <v>460</v>
      </c>
      <c r="D2656" s="125" t="s">
        <v>454</v>
      </c>
      <c r="E2656" s="125" t="s">
        <v>464</v>
      </c>
      <c r="F2656" s="126">
        <v>41385.0</v>
      </c>
      <c r="G2656" s="127">
        <v>3.28E8</v>
      </c>
      <c r="H2656" s="126">
        <v>41407.0</v>
      </c>
      <c r="I2656" s="128">
        <v>4284.0</v>
      </c>
      <c r="J2656" s="128">
        <v>47.45</v>
      </c>
      <c r="K2656" s="128">
        <v>31.79</v>
      </c>
      <c r="L2656" s="128">
        <v>203275.8</v>
      </c>
      <c r="M2656" s="128">
        <v>136188.4</v>
      </c>
      <c r="N2656" s="128">
        <v>67087.44</v>
      </c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</row>
    <row r="2657">
      <c r="A2657" s="125" t="s">
        <v>458</v>
      </c>
      <c r="B2657" s="125" t="s">
        <v>538</v>
      </c>
      <c r="C2657" s="125" t="s">
        <v>485</v>
      </c>
      <c r="D2657" s="125" t="s">
        <v>457</v>
      </c>
      <c r="E2657" s="125" t="s">
        <v>189</v>
      </c>
      <c r="F2657" s="126">
        <v>41808.0</v>
      </c>
      <c r="G2657" s="127">
        <v>2.19E8</v>
      </c>
      <c r="H2657" s="126">
        <v>41822.0</v>
      </c>
      <c r="I2657" s="128">
        <v>9377.0</v>
      </c>
      <c r="J2657" s="128">
        <v>421.89</v>
      </c>
      <c r="K2657" s="128">
        <v>364.69</v>
      </c>
      <c r="L2657" s="128">
        <v>3956063.0</v>
      </c>
      <c r="M2657" s="128">
        <v>3419698.0</v>
      </c>
      <c r="N2657" s="128">
        <v>536364.4</v>
      </c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</row>
    <row r="2658">
      <c r="A2658" s="125" t="s">
        <v>458</v>
      </c>
      <c r="B2658" s="125" t="s">
        <v>603</v>
      </c>
      <c r="C2658" s="125" t="s">
        <v>468</v>
      </c>
      <c r="D2658" s="125" t="s">
        <v>454</v>
      </c>
      <c r="E2658" s="125" t="s">
        <v>472</v>
      </c>
      <c r="F2658" s="126">
        <v>40617.0</v>
      </c>
      <c r="G2658" s="127">
        <v>5.76E8</v>
      </c>
      <c r="H2658" s="126">
        <v>40631.0</v>
      </c>
      <c r="I2658" s="128">
        <v>8729.0</v>
      </c>
      <c r="J2658" s="128">
        <v>81.73</v>
      </c>
      <c r="K2658" s="128">
        <v>56.67</v>
      </c>
      <c r="L2658" s="128">
        <v>713421.2</v>
      </c>
      <c r="M2658" s="128">
        <v>494672.4</v>
      </c>
      <c r="N2658" s="128">
        <v>218748.7</v>
      </c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</row>
    <row r="2659">
      <c r="A2659" s="125" t="s">
        <v>466</v>
      </c>
      <c r="B2659" s="125" t="s">
        <v>496</v>
      </c>
      <c r="C2659" s="125" t="s">
        <v>456</v>
      </c>
      <c r="D2659" s="125" t="s">
        <v>454</v>
      </c>
      <c r="E2659" s="125" t="s">
        <v>472</v>
      </c>
      <c r="F2659" s="126">
        <v>40552.0</v>
      </c>
      <c r="G2659" s="127">
        <v>9.72E8</v>
      </c>
      <c r="H2659" s="126">
        <v>40569.0</v>
      </c>
      <c r="I2659" s="128">
        <v>9843.0</v>
      </c>
      <c r="J2659" s="128">
        <v>152.58</v>
      </c>
      <c r="K2659" s="128">
        <v>97.44</v>
      </c>
      <c r="L2659" s="128">
        <v>1501845.0</v>
      </c>
      <c r="M2659" s="128">
        <v>959101.9</v>
      </c>
      <c r="N2659" s="128">
        <v>542743.0</v>
      </c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</row>
    <row r="2660">
      <c r="A2660" s="125" t="s">
        <v>458</v>
      </c>
      <c r="B2660" s="125" t="s">
        <v>555</v>
      </c>
      <c r="C2660" s="125" t="s">
        <v>478</v>
      </c>
      <c r="D2660" s="125" t="s">
        <v>457</v>
      </c>
      <c r="E2660" s="125" t="s">
        <v>472</v>
      </c>
      <c r="F2660" s="126">
        <v>41977.0</v>
      </c>
      <c r="G2660" s="127">
        <v>6.02E8</v>
      </c>
      <c r="H2660" s="126">
        <v>42011.0</v>
      </c>
      <c r="I2660" s="128">
        <v>2258.0</v>
      </c>
      <c r="J2660" s="128">
        <v>651.21</v>
      </c>
      <c r="K2660" s="128">
        <v>524.96</v>
      </c>
      <c r="L2660" s="128">
        <v>1470432.0</v>
      </c>
      <c r="M2660" s="128">
        <v>1185360.0</v>
      </c>
      <c r="N2660" s="128">
        <v>285072.5</v>
      </c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</row>
    <row r="2661">
      <c r="A2661" s="125" t="s">
        <v>488</v>
      </c>
      <c r="B2661" s="125" t="s">
        <v>577</v>
      </c>
      <c r="C2661" s="125" t="s">
        <v>456</v>
      </c>
      <c r="D2661" s="125" t="s">
        <v>454</v>
      </c>
      <c r="E2661" s="125" t="s">
        <v>472</v>
      </c>
      <c r="F2661" s="126">
        <v>41495.0</v>
      </c>
      <c r="G2661" s="127">
        <v>5.33E8</v>
      </c>
      <c r="H2661" s="126">
        <v>41505.0</v>
      </c>
      <c r="I2661" s="128">
        <v>2539.0</v>
      </c>
      <c r="J2661" s="128">
        <v>152.58</v>
      </c>
      <c r="K2661" s="128">
        <v>97.44</v>
      </c>
      <c r="L2661" s="128">
        <v>387400.6</v>
      </c>
      <c r="M2661" s="128">
        <v>247400.2</v>
      </c>
      <c r="N2661" s="128">
        <v>140000.5</v>
      </c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</row>
    <row r="2662">
      <c r="A2662" s="125" t="s">
        <v>461</v>
      </c>
      <c r="B2662" s="125" t="s">
        <v>522</v>
      </c>
      <c r="C2662" s="125" t="s">
        <v>480</v>
      </c>
      <c r="D2662" s="125" t="s">
        <v>454</v>
      </c>
      <c r="E2662" s="125" t="s">
        <v>189</v>
      </c>
      <c r="F2662" s="126">
        <v>41631.0</v>
      </c>
      <c r="G2662" s="127">
        <v>5.51E8</v>
      </c>
      <c r="H2662" s="126">
        <v>41638.0</v>
      </c>
      <c r="I2662" s="128">
        <v>9287.0</v>
      </c>
      <c r="J2662" s="128">
        <v>437.2</v>
      </c>
      <c r="K2662" s="128">
        <v>263.33</v>
      </c>
      <c r="L2662" s="128">
        <v>4060276.0</v>
      </c>
      <c r="M2662" s="128">
        <v>2445546.0</v>
      </c>
      <c r="N2662" s="128">
        <v>1614731.0</v>
      </c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</row>
    <row r="2663">
      <c r="A2663" s="125" t="s">
        <v>461</v>
      </c>
      <c r="B2663" s="125" t="s">
        <v>618</v>
      </c>
      <c r="C2663" s="125" t="s">
        <v>468</v>
      </c>
      <c r="D2663" s="125" t="s">
        <v>457</v>
      </c>
      <c r="E2663" s="125" t="s">
        <v>189</v>
      </c>
      <c r="F2663" s="126">
        <v>41148.0</v>
      </c>
      <c r="G2663" s="127">
        <v>5.12E8</v>
      </c>
      <c r="H2663" s="126">
        <v>41172.0</v>
      </c>
      <c r="I2663" s="128">
        <v>8129.0</v>
      </c>
      <c r="J2663" s="128">
        <v>81.73</v>
      </c>
      <c r="K2663" s="128">
        <v>56.67</v>
      </c>
      <c r="L2663" s="128">
        <v>664383.2</v>
      </c>
      <c r="M2663" s="128">
        <v>460670.4</v>
      </c>
      <c r="N2663" s="128">
        <v>203712.7</v>
      </c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</row>
    <row r="2664">
      <c r="A2664" s="125" t="s">
        <v>458</v>
      </c>
      <c r="B2664" s="125" t="s">
        <v>517</v>
      </c>
      <c r="C2664" s="125" t="s">
        <v>463</v>
      </c>
      <c r="D2664" s="125" t="s">
        <v>457</v>
      </c>
      <c r="E2664" s="125" t="s">
        <v>472</v>
      </c>
      <c r="F2664" s="126">
        <v>41965.0</v>
      </c>
      <c r="G2664" s="127">
        <v>7.92E8</v>
      </c>
      <c r="H2664" s="126">
        <v>41988.0</v>
      </c>
      <c r="I2664" s="128">
        <v>6728.0</v>
      </c>
      <c r="J2664" s="128">
        <v>205.7</v>
      </c>
      <c r="K2664" s="128">
        <v>117.11</v>
      </c>
      <c r="L2664" s="128">
        <v>1383950.0</v>
      </c>
      <c r="M2664" s="128">
        <v>787916.1</v>
      </c>
      <c r="N2664" s="128">
        <v>596033.5</v>
      </c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</row>
    <row r="2665">
      <c r="A2665" s="125" t="s">
        <v>475</v>
      </c>
      <c r="B2665" s="125" t="s">
        <v>579</v>
      </c>
      <c r="C2665" s="125" t="s">
        <v>456</v>
      </c>
      <c r="D2665" s="125" t="s">
        <v>457</v>
      </c>
      <c r="E2665" s="125" t="s">
        <v>464</v>
      </c>
      <c r="F2665" s="126">
        <v>42242.0</v>
      </c>
      <c r="G2665" s="127">
        <v>9.38E8</v>
      </c>
      <c r="H2665" s="126">
        <v>42245.0</v>
      </c>
      <c r="I2665" s="128">
        <v>9777.0</v>
      </c>
      <c r="J2665" s="128">
        <v>152.58</v>
      </c>
      <c r="K2665" s="128">
        <v>97.44</v>
      </c>
      <c r="L2665" s="128">
        <v>1491775.0</v>
      </c>
      <c r="M2665" s="128">
        <v>952670.9</v>
      </c>
      <c r="N2665" s="128">
        <v>539103.8</v>
      </c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</row>
    <row r="2666">
      <c r="A2666" s="125" t="s">
        <v>469</v>
      </c>
      <c r="B2666" s="125" t="s">
        <v>630</v>
      </c>
      <c r="C2666" s="125" t="s">
        <v>485</v>
      </c>
      <c r="D2666" s="125" t="s">
        <v>457</v>
      </c>
      <c r="E2666" s="125" t="s">
        <v>189</v>
      </c>
      <c r="F2666" s="126">
        <v>40527.0</v>
      </c>
      <c r="G2666" s="127">
        <v>1.18E8</v>
      </c>
      <c r="H2666" s="126">
        <v>40558.0</v>
      </c>
      <c r="I2666" s="128">
        <v>3997.0</v>
      </c>
      <c r="J2666" s="128">
        <v>421.89</v>
      </c>
      <c r="K2666" s="128">
        <v>364.69</v>
      </c>
      <c r="L2666" s="128">
        <v>1686294.0</v>
      </c>
      <c r="M2666" s="128">
        <v>1457666.0</v>
      </c>
      <c r="N2666" s="128">
        <v>228628.4</v>
      </c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</row>
    <row r="2667">
      <c r="A2667" s="125" t="s">
        <v>461</v>
      </c>
      <c r="B2667" s="125" t="s">
        <v>644</v>
      </c>
      <c r="C2667" s="125" t="s">
        <v>480</v>
      </c>
      <c r="D2667" s="125" t="s">
        <v>454</v>
      </c>
      <c r="E2667" s="125" t="s">
        <v>189</v>
      </c>
      <c r="F2667" s="126">
        <v>42673.0</v>
      </c>
      <c r="G2667" s="127">
        <v>2.69E8</v>
      </c>
      <c r="H2667" s="126">
        <v>42679.0</v>
      </c>
      <c r="I2667" s="128">
        <v>3146.0</v>
      </c>
      <c r="J2667" s="128">
        <v>437.2</v>
      </c>
      <c r="K2667" s="128">
        <v>263.33</v>
      </c>
      <c r="L2667" s="128">
        <v>1375431.0</v>
      </c>
      <c r="M2667" s="128">
        <v>828436.2</v>
      </c>
      <c r="N2667" s="128">
        <v>546995.0</v>
      </c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</row>
    <row r="2668">
      <c r="A2668" s="125" t="s">
        <v>458</v>
      </c>
      <c r="B2668" s="125" t="s">
        <v>551</v>
      </c>
      <c r="C2668" s="125" t="s">
        <v>494</v>
      </c>
      <c r="D2668" s="125" t="s">
        <v>457</v>
      </c>
      <c r="E2668" s="125" t="s">
        <v>284</v>
      </c>
      <c r="F2668" s="126">
        <v>41089.0</v>
      </c>
      <c r="G2668" s="127">
        <v>2.5E8</v>
      </c>
      <c r="H2668" s="126">
        <v>41135.0</v>
      </c>
      <c r="I2668" s="128">
        <v>3008.0</v>
      </c>
      <c r="J2668" s="128">
        <v>9.33</v>
      </c>
      <c r="K2668" s="128">
        <v>6.92</v>
      </c>
      <c r="L2668" s="128">
        <v>28064.64</v>
      </c>
      <c r="M2668" s="128">
        <v>20815.36</v>
      </c>
      <c r="N2668" s="128">
        <v>7249.28</v>
      </c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</row>
    <row r="2669">
      <c r="A2669" s="125" t="s">
        <v>469</v>
      </c>
      <c r="B2669" s="125" t="s">
        <v>503</v>
      </c>
      <c r="C2669" s="125" t="s">
        <v>471</v>
      </c>
      <c r="D2669" s="125" t="s">
        <v>457</v>
      </c>
      <c r="E2669" s="125" t="s">
        <v>464</v>
      </c>
      <c r="F2669" s="126">
        <v>41023.0</v>
      </c>
      <c r="G2669" s="127">
        <v>7.87E8</v>
      </c>
      <c r="H2669" s="126">
        <v>41025.0</v>
      </c>
      <c r="I2669" s="128">
        <v>6401.0</v>
      </c>
      <c r="J2669" s="128">
        <v>109.28</v>
      </c>
      <c r="K2669" s="128">
        <v>35.84</v>
      </c>
      <c r="L2669" s="128">
        <v>699501.3</v>
      </c>
      <c r="M2669" s="128">
        <v>229411.8</v>
      </c>
      <c r="N2669" s="128">
        <v>470089.4</v>
      </c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</row>
    <row r="2670">
      <c r="A2670" s="125" t="s">
        <v>466</v>
      </c>
      <c r="B2670" s="125" t="s">
        <v>484</v>
      </c>
      <c r="C2670" s="125" t="s">
        <v>453</v>
      </c>
      <c r="D2670" s="125" t="s">
        <v>454</v>
      </c>
      <c r="E2670" s="125" t="s">
        <v>464</v>
      </c>
      <c r="F2670" s="126">
        <v>42580.0</v>
      </c>
      <c r="G2670" s="127">
        <v>4.3E8</v>
      </c>
      <c r="H2670" s="126">
        <v>42624.0</v>
      </c>
      <c r="I2670" s="128">
        <v>8174.0</v>
      </c>
      <c r="J2670" s="128">
        <v>255.28</v>
      </c>
      <c r="K2670" s="128">
        <v>159.42</v>
      </c>
      <c r="L2670" s="128">
        <v>2086659.0</v>
      </c>
      <c r="M2670" s="128">
        <v>1303099.0</v>
      </c>
      <c r="N2670" s="128">
        <v>783559.6</v>
      </c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</row>
    <row r="2671">
      <c r="A2671" s="125" t="s">
        <v>458</v>
      </c>
      <c r="B2671" s="125" t="s">
        <v>517</v>
      </c>
      <c r="C2671" s="125" t="s">
        <v>514</v>
      </c>
      <c r="D2671" s="125" t="s">
        <v>457</v>
      </c>
      <c r="E2671" s="125" t="s">
        <v>284</v>
      </c>
      <c r="F2671" s="126">
        <v>42102.0</v>
      </c>
      <c r="G2671" s="127">
        <v>4.97E8</v>
      </c>
      <c r="H2671" s="126">
        <v>42125.0</v>
      </c>
      <c r="I2671" s="128">
        <v>206.0</v>
      </c>
      <c r="J2671" s="128">
        <v>668.27</v>
      </c>
      <c r="K2671" s="128">
        <v>502.54</v>
      </c>
      <c r="L2671" s="128">
        <v>137663.6</v>
      </c>
      <c r="M2671" s="128">
        <v>103523.2</v>
      </c>
      <c r="N2671" s="128">
        <v>34140.38</v>
      </c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</row>
    <row r="2672">
      <c r="A2672" s="125" t="s">
        <v>466</v>
      </c>
      <c r="B2672" s="125" t="s">
        <v>474</v>
      </c>
      <c r="C2672" s="125" t="s">
        <v>463</v>
      </c>
      <c r="D2672" s="125" t="s">
        <v>454</v>
      </c>
      <c r="E2672" s="125" t="s">
        <v>284</v>
      </c>
      <c r="F2672" s="126">
        <v>41856.0</v>
      </c>
      <c r="G2672" s="127">
        <v>1.29E8</v>
      </c>
      <c r="H2672" s="126">
        <v>41867.0</v>
      </c>
      <c r="I2672" s="128">
        <v>6409.0</v>
      </c>
      <c r="J2672" s="128">
        <v>205.7</v>
      </c>
      <c r="K2672" s="128">
        <v>117.11</v>
      </c>
      <c r="L2672" s="128">
        <v>1318331.0</v>
      </c>
      <c r="M2672" s="128">
        <v>750558.0</v>
      </c>
      <c r="N2672" s="128">
        <v>567773.3</v>
      </c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</row>
    <row r="2673">
      <c r="A2673" s="125" t="s">
        <v>461</v>
      </c>
      <c r="B2673" s="125" t="s">
        <v>481</v>
      </c>
      <c r="C2673" s="125" t="s">
        <v>471</v>
      </c>
      <c r="D2673" s="125" t="s">
        <v>454</v>
      </c>
      <c r="E2673" s="125" t="s">
        <v>189</v>
      </c>
      <c r="F2673" s="126">
        <v>40345.0</v>
      </c>
      <c r="G2673" s="127">
        <v>3.33E8</v>
      </c>
      <c r="H2673" s="126">
        <v>40359.0</v>
      </c>
      <c r="I2673" s="128">
        <v>7725.0</v>
      </c>
      <c r="J2673" s="128">
        <v>109.28</v>
      </c>
      <c r="K2673" s="128">
        <v>35.84</v>
      </c>
      <c r="L2673" s="128">
        <v>844188.0</v>
      </c>
      <c r="M2673" s="128">
        <v>276864.0</v>
      </c>
      <c r="N2673" s="128">
        <v>567324.0</v>
      </c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</row>
    <row r="2674">
      <c r="A2674" s="125" t="s">
        <v>458</v>
      </c>
      <c r="B2674" s="125" t="s">
        <v>642</v>
      </c>
      <c r="C2674" s="125" t="s">
        <v>471</v>
      </c>
      <c r="D2674" s="125" t="s">
        <v>457</v>
      </c>
      <c r="E2674" s="125" t="s">
        <v>464</v>
      </c>
      <c r="F2674" s="126">
        <v>41996.0</v>
      </c>
      <c r="G2674" s="127">
        <v>8.39E8</v>
      </c>
      <c r="H2674" s="126">
        <v>41997.0</v>
      </c>
      <c r="I2674" s="128">
        <v>7128.0</v>
      </c>
      <c r="J2674" s="128">
        <v>109.28</v>
      </c>
      <c r="K2674" s="128">
        <v>35.84</v>
      </c>
      <c r="L2674" s="128">
        <v>778947.8</v>
      </c>
      <c r="M2674" s="128">
        <v>255467.5</v>
      </c>
      <c r="N2674" s="128">
        <v>523480.3</v>
      </c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</row>
    <row r="2675">
      <c r="A2675" s="125" t="s">
        <v>458</v>
      </c>
      <c r="B2675" s="125" t="s">
        <v>505</v>
      </c>
      <c r="C2675" s="125" t="s">
        <v>478</v>
      </c>
      <c r="D2675" s="125" t="s">
        <v>454</v>
      </c>
      <c r="E2675" s="125" t="s">
        <v>472</v>
      </c>
      <c r="F2675" s="126">
        <v>41943.0</v>
      </c>
      <c r="G2675" s="127">
        <v>5.49E8</v>
      </c>
      <c r="H2675" s="126">
        <v>41975.0</v>
      </c>
      <c r="I2675" s="128">
        <v>4622.0</v>
      </c>
      <c r="J2675" s="128">
        <v>651.21</v>
      </c>
      <c r="K2675" s="128">
        <v>524.96</v>
      </c>
      <c r="L2675" s="128">
        <v>3009893.0</v>
      </c>
      <c r="M2675" s="128">
        <v>2426365.0</v>
      </c>
      <c r="N2675" s="128">
        <v>583527.5</v>
      </c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</row>
    <row r="2676">
      <c r="A2676" s="125" t="s">
        <v>469</v>
      </c>
      <c r="B2676" s="125" t="s">
        <v>650</v>
      </c>
      <c r="C2676" s="125" t="s">
        <v>471</v>
      </c>
      <c r="D2676" s="125" t="s">
        <v>454</v>
      </c>
      <c r="E2676" s="125" t="s">
        <v>464</v>
      </c>
      <c r="F2676" s="126">
        <v>41240.0</v>
      </c>
      <c r="G2676" s="127">
        <v>6.82E8</v>
      </c>
      <c r="H2676" s="126">
        <v>41267.0</v>
      </c>
      <c r="I2676" s="128">
        <v>2244.0</v>
      </c>
      <c r="J2676" s="128">
        <v>109.28</v>
      </c>
      <c r="K2676" s="128">
        <v>35.84</v>
      </c>
      <c r="L2676" s="128">
        <v>245224.3</v>
      </c>
      <c r="M2676" s="128">
        <v>80424.96</v>
      </c>
      <c r="N2676" s="128">
        <v>164799.4</v>
      </c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</row>
    <row r="2677">
      <c r="A2677" s="125" t="s">
        <v>475</v>
      </c>
      <c r="B2677" s="125" t="s">
        <v>476</v>
      </c>
      <c r="C2677" s="125" t="s">
        <v>453</v>
      </c>
      <c r="D2677" s="125" t="s">
        <v>457</v>
      </c>
      <c r="E2677" s="125" t="s">
        <v>284</v>
      </c>
      <c r="F2677" s="126">
        <v>42715.0</v>
      </c>
      <c r="G2677" s="127">
        <v>7.28E8</v>
      </c>
      <c r="H2677" s="126">
        <v>42762.0</v>
      </c>
      <c r="I2677" s="128">
        <v>9061.0</v>
      </c>
      <c r="J2677" s="128">
        <v>255.28</v>
      </c>
      <c r="K2677" s="128">
        <v>159.42</v>
      </c>
      <c r="L2677" s="128">
        <v>2313092.0</v>
      </c>
      <c r="M2677" s="128">
        <v>1444505.0</v>
      </c>
      <c r="N2677" s="128">
        <v>868587.5</v>
      </c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</row>
    <row r="2678">
      <c r="A2678" s="125" t="s">
        <v>451</v>
      </c>
      <c r="B2678" s="125" t="s">
        <v>587</v>
      </c>
      <c r="C2678" s="125" t="s">
        <v>460</v>
      </c>
      <c r="D2678" s="125" t="s">
        <v>457</v>
      </c>
      <c r="E2678" s="125" t="s">
        <v>472</v>
      </c>
      <c r="F2678" s="126">
        <v>41284.0</v>
      </c>
      <c r="G2678" s="127">
        <v>7.0E8</v>
      </c>
      <c r="H2678" s="126">
        <v>41298.0</v>
      </c>
      <c r="I2678" s="128">
        <v>6172.0</v>
      </c>
      <c r="J2678" s="128">
        <v>47.45</v>
      </c>
      <c r="K2678" s="128">
        <v>31.79</v>
      </c>
      <c r="L2678" s="128">
        <v>292861.4</v>
      </c>
      <c r="M2678" s="128">
        <v>196207.9</v>
      </c>
      <c r="N2678" s="128">
        <v>96653.52</v>
      </c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</row>
    <row r="2679">
      <c r="A2679" s="125" t="s">
        <v>475</v>
      </c>
      <c r="B2679" s="125" t="s">
        <v>476</v>
      </c>
      <c r="C2679" s="125" t="s">
        <v>468</v>
      </c>
      <c r="D2679" s="125" t="s">
        <v>454</v>
      </c>
      <c r="E2679" s="125" t="s">
        <v>472</v>
      </c>
      <c r="F2679" s="126">
        <v>41936.0</v>
      </c>
      <c r="G2679" s="127">
        <v>6.77E8</v>
      </c>
      <c r="H2679" s="126">
        <v>41977.0</v>
      </c>
      <c r="I2679" s="128">
        <v>1706.0</v>
      </c>
      <c r="J2679" s="128">
        <v>81.73</v>
      </c>
      <c r="K2679" s="128">
        <v>56.67</v>
      </c>
      <c r="L2679" s="128">
        <v>139431.4</v>
      </c>
      <c r="M2679" s="128">
        <v>96679.02</v>
      </c>
      <c r="N2679" s="128">
        <v>42752.36</v>
      </c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</row>
    <row r="2680">
      <c r="A2680" s="125" t="s">
        <v>466</v>
      </c>
      <c r="B2680" s="125" t="s">
        <v>598</v>
      </c>
      <c r="C2680" s="125" t="s">
        <v>468</v>
      </c>
      <c r="D2680" s="125" t="s">
        <v>457</v>
      </c>
      <c r="E2680" s="125" t="s">
        <v>472</v>
      </c>
      <c r="F2680" s="126">
        <v>41749.0</v>
      </c>
      <c r="G2680" s="127">
        <v>3.63E8</v>
      </c>
      <c r="H2680" s="126">
        <v>41749.0</v>
      </c>
      <c r="I2680" s="128">
        <v>5826.0</v>
      </c>
      <c r="J2680" s="128">
        <v>81.73</v>
      </c>
      <c r="K2680" s="128">
        <v>56.67</v>
      </c>
      <c r="L2680" s="128">
        <v>476159.0</v>
      </c>
      <c r="M2680" s="128">
        <v>330159.4</v>
      </c>
      <c r="N2680" s="128">
        <v>145999.6</v>
      </c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</row>
    <row r="2681">
      <c r="A2681" s="125" t="s">
        <v>458</v>
      </c>
      <c r="B2681" s="125" t="s">
        <v>515</v>
      </c>
      <c r="C2681" s="125" t="s">
        <v>456</v>
      </c>
      <c r="D2681" s="125" t="s">
        <v>454</v>
      </c>
      <c r="E2681" s="125" t="s">
        <v>472</v>
      </c>
      <c r="F2681" s="126">
        <v>42341.0</v>
      </c>
      <c r="G2681" s="127">
        <v>4.27E8</v>
      </c>
      <c r="H2681" s="126">
        <v>42349.0</v>
      </c>
      <c r="I2681" s="128">
        <v>5722.0</v>
      </c>
      <c r="J2681" s="128">
        <v>152.58</v>
      </c>
      <c r="K2681" s="128">
        <v>97.44</v>
      </c>
      <c r="L2681" s="128">
        <v>873062.8</v>
      </c>
      <c r="M2681" s="128">
        <v>557551.7</v>
      </c>
      <c r="N2681" s="128">
        <v>315511.1</v>
      </c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</row>
    <row r="2682">
      <c r="A2682" s="125" t="s">
        <v>451</v>
      </c>
      <c r="B2682" s="125" t="s">
        <v>550</v>
      </c>
      <c r="C2682" s="125" t="s">
        <v>456</v>
      </c>
      <c r="D2682" s="125" t="s">
        <v>454</v>
      </c>
      <c r="E2682" s="125" t="s">
        <v>189</v>
      </c>
      <c r="F2682" s="126">
        <v>40184.0</v>
      </c>
      <c r="G2682" s="127">
        <v>2.64E8</v>
      </c>
      <c r="H2682" s="126">
        <v>40223.0</v>
      </c>
      <c r="I2682" s="128">
        <v>619.0</v>
      </c>
      <c r="J2682" s="128">
        <v>152.58</v>
      </c>
      <c r="K2682" s="128">
        <v>97.44</v>
      </c>
      <c r="L2682" s="128">
        <v>94447.02</v>
      </c>
      <c r="M2682" s="128">
        <v>60315.36</v>
      </c>
      <c r="N2682" s="128">
        <v>34131.66</v>
      </c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</row>
    <row r="2683">
      <c r="A2683" s="125" t="s">
        <v>475</v>
      </c>
      <c r="B2683" s="125" t="s">
        <v>602</v>
      </c>
      <c r="C2683" s="125" t="s">
        <v>506</v>
      </c>
      <c r="D2683" s="125" t="s">
        <v>454</v>
      </c>
      <c r="E2683" s="125" t="s">
        <v>284</v>
      </c>
      <c r="F2683" s="126">
        <v>41822.0</v>
      </c>
      <c r="G2683" s="127">
        <v>2.35E8</v>
      </c>
      <c r="H2683" s="126">
        <v>41828.0</v>
      </c>
      <c r="I2683" s="128">
        <v>6772.0</v>
      </c>
      <c r="J2683" s="128">
        <v>154.06</v>
      </c>
      <c r="K2683" s="128">
        <v>90.93</v>
      </c>
      <c r="L2683" s="128">
        <v>1043294.0</v>
      </c>
      <c r="M2683" s="128">
        <v>615778.0</v>
      </c>
      <c r="N2683" s="128">
        <v>427516.4</v>
      </c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</row>
    <row r="2684">
      <c r="A2684" s="125" t="s">
        <v>466</v>
      </c>
      <c r="B2684" s="125" t="s">
        <v>502</v>
      </c>
      <c r="C2684" s="125" t="s">
        <v>514</v>
      </c>
      <c r="D2684" s="125" t="s">
        <v>457</v>
      </c>
      <c r="E2684" s="125" t="s">
        <v>472</v>
      </c>
      <c r="F2684" s="126">
        <v>40357.0</v>
      </c>
      <c r="G2684" s="127">
        <v>3.24E8</v>
      </c>
      <c r="H2684" s="126">
        <v>40398.0</v>
      </c>
      <c r="I2684" s="128">
        <v>2467.0</v>
      </c>
      <c r="J2684" s="128">
        <v>668.27</v>
      </c>
      <c r="K2684" s="128">
        <v>502.54</v>
      </c>
      <c r="L2684" s="128">
        <v>1648622.0</v>
      </c>
      <c r="M2684" s="128">
        <v>1239766.0</v>
      </c>
      <c r="N2684" s="128">
        <v>408855.9</v>
      </c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</row>
    <row r="2685">
      <c r="A2685" s="125" t="s">
        <v>458</v>
      </c>
      <c r="B2685" s="125" t="s">
        <v>626</v>
      </c>
      <c r="C2685" s="125" t="s">
        <v>478</v>
      </c>
      <c r="D2685" s="125" t="s">
        <v>454</v>
      </c>
      <c r="E2685" s="125" t="s">
        <v>472</v>
      </c>
      <c r="F2685" s="126">
        <v>41729.0</v>
      </c>
      <c r="G2685" s="127">
        <v>5.83E8</v>
      </c>
      <c r="H2685" s="126">
        <v>41734.0</v>
      </c>
      <c r="I2685" s="128">
        <v>3020.0</v>
      </c>
      <c r="J2685" s="128">
        <v>651.21</v>
      </c>
      <c r="K2685" s="128">
        <v>524.96</v>
      </c>
      <c r="L2685" s="128">
        <v>1966654.0</v>
      </c>
      <c r="M2685" s="128">
        <v>1585379.0</v>
      </c>
      <c r="N2685" s="128">
        <v>381275.0</v>
      </c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</row>
    <row r="2686">
      <c r="A2686" s="125" t="s">
        <v>475</v>
      </c>
      <c r="B2686" s="125" t="s">
        <v>512</v>
      </c>
      <c r="C2686" s="125" t="s">
        <v>514</v>
      </c>
      <c r="D2686" s="125" t="s">
        <v>454</v>
      </c>
      <c r="E2686" s="125" t="s">
        <v>472</v>
      </c>
      <c r="F2686" s="126">
        <v>41201.0</v>
      </c>
      <c r="G2686" s="127">
        <v>6.86E8</v>
      </c>
      <c r="H2686" s="126">
        <v>41233.0</v>
      </c>
      <c r="I2686" s="128">
        <v>5782.0</v>
      </c>
      <c r="J2686" s="128">
        <v>668.27</v>
      </c>
      <c r="K2686" s="128">
        <v>502.54</v>
      </c>
      <c r="L2686" s="128">
        <v>3863937.0</v>
      </c>
      <c r="M2686" s="128">
        <v>2905686.0</v>
      </c>
      <c r="N2686" s="128">
        <v>958250.9</v>
      </c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</row>
    <row r="2687">
      <c r="A2687" s="125" t="s">
        <v>475</v>
      </c>
      <c r="B2687" s="125" t="s">
        <v>602</v>
      </c>
      <c r="C2687" s="125" t="s">
        <v>453</v>
      </c>
      <c r="D2687" s="125" t="s">
        <v>457</v>
      </c>
      <c r="E2687" s="125" t="s">
        <v>189</v>
      </c>
      <c r="F2687" s="126">
        <v>41340.0</v>
      </c>
      <c r="G2687" s="127">
        <v>3.76E8</v>
      </c>
      <c r="H2687" s="126">
        <v>41378.0</v>
      </c>
      <c r="I2687" s="128">
        <v>5131.0</v>
      </c>
      <c r="J2687" s="128">
        <v>255.28</v>
      </c>
      <c r="K2687" s="128">
        <v>159.42</v>
      </c>
      <c r="L2687" s="128">
        <v>1309842.0</v>
      </c>
      <c r="M2687" s="128">
        <v>817984.0</v>
      </c>
      <c r="N2687" s="128">
        <v>491857.7</v>
      </c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</row>
    <row r="2688">
      <c r="A2688" s="125" t="s">
        <v>451</v>
      </c>
      <c r="B2688" s="125" t="s">
        <v>550</v>
      </c>
      <c r="C2688" s="125" t="s">
        <v>506</v>
      </c>
      <c r="D2688" s="125" t="s">
        <v>454</v>
      </c>
      <c r="E2688" s="125" t="s">
        <v>284</v>
      </c>
      <c r="F2688" s="126">
        <v>42337.0</v>
      </c>
      <c r="G2688" s="127">
        <v>8.19E8</v>
      </c>
      <c r="H2688" s="126">
        <v>42340.0</v>
      </c>
      <c r="I2688" s="128">
        <v>7479.0</v>
      </c>
      <c r="J2688" s="128">
        <v>154.06</v>
      </c>
      <c r="K2688" s="128">
        <v>90.93</v>
      </c>
      <c r="L2688" s="128">
        <v>1152215.0</v>
      </c>
      <c r="M2688" s="128">
        <v>680065.5</v>
      </c>
      <c r="N2688" s="128">
        <v>472149.3</v>
      </c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</row>
    <row r="2689">
      <c r="A2689" s="125" t="s">
        <v>469</v>
      </c>
      <c r="B2689" s="125" t="s">
        <v>470</v>
      </c>
      <c r="C2689" s="125" t="s">
        <v>460</v>
      </c>
      <c r="D2689" s="125" t="s">
        <v>454</v>
      </c>
      <c r="E2689" s="125" t="s">
        <v>284</v>
      </c>
      <c r="F2689" s="126">
        <v>40622.0</v>
      </c>
      <c r="G2689" s="127">
        <v>5.48E8</v>
      </c>
      <c r="H2689" s="126">
        <v>40670.0</v>
      </c>
      <c r="I2689" s="128">
        <v>6268.0</v>
      </c>
      <c r="J2689" s="128">
        <v>47.45</v>
      </c>
      <c r="K2689" s="128">
        <v>31.79</v>
      </c>
      <c r="L2689" s="128">
        <v>297416.6</v>
      </c>
      <c r="M2689" s="128">
        <v>199259.7</v>
      </c>
      <c r="N2689" s="128">
        <v>98156.88</v>
      </c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</row>
    <row r="2690">
      <c r="A2690" s="125" t="s">
        <v>466</v>
      </c>
      <c r="B2690" s="125" t="s">
        <v>531</v>
      </c>
      <c r="C2690" s="125" t="s">
        <v>514</v>
      </c>
      <c r="D2690" s="125" t="s">
        <v>457</v>
      </c>
      <c r="E2690" s="125" t="s">
        <v>284</v>
      </c>
      <c r="F2690" s="126">
        <v>41312.0</v>
      </c>
      <c r="G2690" s="127">
        <v>4.18E8</v>
      </c>
      <c r="H2690" s="126">
        <v>41315.0</v>
      </c>
      <c r="I2690" s="128">
        <v>6972.0</v>
      </c>
      <c r="J2690" s="128">
        <v>668.27</v>
      </c>
      <c r="K2690" s="128">
        <v>502.54</v>
      </c>
      <c r="L2690" s="128">
        <v>4659178.0</v>
      </c>
      <c r="M2690" s="128">
        <v>3503709.0</v>
      </c>
      <c r="N2690" s="128">
        <v>1155470.0</v>
      </c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</row>
    <row r="2691">
      <c r="A2691" s="125" t="s">
        <v>466</v>
      </c>
      <c r="B2691" s="125" t="s">
        <v>492</v>
      </c>
      <c r="C2691" s="125" t="s">
        <v>471</v>
      </c>
      <c r="D2691" s="125" t="s">
        <v>454</v>
      </c>
      <c r="E2691" s="125" t="s">
        <v>284</v>
      </c>
      <c r="F2691" s="126">
        <v>40233.0</v>
      </c>
      <c r="G2691" s="127">
        <v>4.53E8</v>
      </c>
      <c r="H2691" s="126">
        <v>40276.0</v>
      </c>
      <c r="I2691" s="128">
        <v>2096.0</v>
      </c>
      <c r="J2691" s="128">
        <v>109.28</v>
      </c>
      <c r="K2691" s="128">
        <v>35.84</v>
      </c>
      <c r="L2691" s="128">
        <v>229050.9</v>
      </c>
      <c r="M2691" s="128">
        <v>75120.64</v>
      </c>
      <c r="N2691" s="128">
        <v>153930.2</v>
      </c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</row>
    <row r="2692">
      <c r="A2692" s="125" t="s">
        <v>451</v>
      </c>
      <c r="B2692" s="125" t="s">
        <v>592</v>
      </c>
      <c r="C2692" s="125" t="s">
        <v>471</v>
      </c>
      <c r="D2692" s="125" t="s">
        <v>457</v>
      </c>
      <c r="E2692" s="125" t="s">
        <v>472</v>
      </c>
      <c r="F2692" s="126">
        <v>41897.0</v>
      </c>
      <c r="G2692" s="127">
        <v>3.01E8</v>
      </c>
      <c r="H2692" s="126">
        <v>41945.0</v>
      </c>
      <c r="I2692" s="128">
        <v>6175.0</v>
      </c>
      <c r="J2692" s="128">
        <v>109.28</v>
      </c>
      <c r="K2692" s="128">
        <v>35.84</v>
      </c>
      <c r="L2692" s="128">
        <v>674804.0</v>
      </c>
      <c r="M2692" s="128">
        <v>221312.0</v>
      </c>
      <c r="N2692" s="128">
        <v>453492.0</v>
      </c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</row>
    <row r="2693">
      <c r="A2693" s="125" t="s">
        <v>475</v>
      </c>
      <c r="B2693" s="125" t="s">
        <v>635</v>
      </c>
      <c r="C2693" s="125" t="s">
        <v>514</v>
      </c>
      <c r="D2693" s="125" t="s">
        <v>454</v>
      </c>
      <c r="E2693" s="125" t="s">
        <v>464</v>
      </c>
      <c r="F2693" s="126">
        <v>41525.0</v>
      </c>
      <c r="G2693" s="127">
        <v>5.75E8</v>
      </c>
      <c r="H2693" s="126">
        <v>41567.0</v>
      </c>
      <c r="I2693" s="128">
        <v>778.0</v>
      </c>
      <c r="J2693" s="128">
        <v>668.27</v>
      </c>
      <c r="K2693" s="128">
        <v>502.54</v>
      </c>
      <c r="L2693" s="128">
        <v>519914.1</v>
      </c>
      <c r="M2693" s="128">
        <v>390976.1</v>
      </c>
      <c r="N2693" s="128">
        <v>128937.9</v>
      </c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</row>
    <row r="2694">
      <c r="A2694" s="125" t="s">
        <v>451</v>
      </c>
      <c r="B2694" s="125" t="s">
        <v>596</v>
      </c>
      <c r="C2694" s="125" t="s">
        <v>463</v>
      </c>
      <c r="D2694" s="125" t="s">
        <v>454</v>
      </c>
      <c r="E2694" s="125" t="s">
        <v>284</v>
      </c>
      <c r="F2694" s="126">
        <v>40257.0</v>
      </c>
      <c r="G2694" s="127">
        <v>6.13E8</v>
      </c>
      <c r="H2694" s="126">
        <v>40267.0</v>
      </c>
      <c r="I2694" s="128">
        <v>9503.0</v>
      </c>
      <c r="J2694" s="128">
        <v>205.7</v>
      </c>
      <c r="K2694" s="128">
        <v>117.11</v>
      </c>
      <c r="L2694" s="128">
        <v>1954767.0</v>
      </c>
      <c r="M2694" s="128">
        <v>1112896.0</v>
      </c>
      <c r="N2694" s="128">
        <v>841870.8</v>
      </c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</row>
    <row r="2695">
      <c r="A2695" s="125" t="s">
        <v>458</v>
      </c>
      <c r="B2695" s="125" t="s">
        <v>529</v>
      </c>
      <c r="C2695" s="125" t="s">
        <v>471</v>
      </c>
      <c r="D2695" s="125" t="s">
        <v>457</v>
      </c>
      <c r="E2695" s="125" t="s">
        <v>472</v>
      </c>
      <c r="F2695" s="126">
        <v>41007.0</v>
      </c>
      <c r="G2695" s="127">
        <v>7.2E8</v>
      </c>
      <c r="H2695" s="126">
        <v>41035.0</v>
      </c>
      <c r="I2695" s="128">
        <v>2979.0</v>
      </c>
      <c r="J2695" s="128">
        <v>109.28</v>
      </c>
      <c r="K2695" s="128">
        <v>35.84</v>
      </c>
      <c r="L2695" s="128">
        <v>325545.1</v>
      </c>
      <c r="M2695" s="128">
        <v>106767.4</v>
      </c>
      <c r="N2695" s="128">
        <v>218777.8</v>
      </c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</row>
    <row r="2696">
      <c r="A2696" s="125" t="s">
        <v>475</v>
      </c>
      <c r="B2696" s="125" t="s">
        <v>562</v>
      </c>
      <c r="C2696" s="125" t="s">
        <v>463</v>
      </c>
      <c r="D2696" s="125" t="s">
        <v>457</v>
      </c>
      <c r="E2696" s="125" t="s">
        <v>189</v>
      </c>
      <c r="F2696" s="126">
        <v>41545.0</v>
      </c>
      <c r="G2696" s="127">
        <v>8.23E8</v>
      </c>
      <c r="H2696" s="126">
        <v>41576.0</v>
      </c>
      <c r="I2696" s="128">
        <v>3868.0</v>
      </c>
      <c r="J2696" s="128">
        <v>205.7</v>
      </c>
      <c r="K2696" s="128">
        <v>117.11</v>
      </c>
      <c r="L2696" s="128">
        <v>795647.6</v>
      </c>
      <c r="M2696" s="128">
        <v>452981.5</v>
      </c>
      <c r="N2696" s="128">
        <v>342666.1</v>
      </c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</row>
    <row r="2697">
      <c r="A2697" s="125" t="s">
        <v>461</v>
      </c>
      <c r="B2697" s="125" t="s">
        <v>564</v>
      </c>
      <c r="C2697" s="125" t="s">
        <v>471</v>
      </c>
      <c r="D2697" s="125" t="s">
        <v>457</v>
      </c>
      <c r="E2697" s="125" t="s">
        <v>472</v>
      </c>
      <c r="F2697" s="126">
        <v>41413.0</v>
      </c>
      <c r="G2697" s="127">
        <v>9.19E8</v>
      </c>
      <c r="H2697" s="126">
        <v>41459.0</v>
      </c>
      <c r="I2697" s="128">
        <v>1863.0</v>
      </c>
      <c r="J2697" s="128">
        <v>109.28</v>
      </c>
      <c r="K2697" s="128">
        <v>35.84</v>
      </c>
      <c r="L2697" s="128">
        <v>203588.6</v>
      </c>
      <c r="M2697" s="128">
        <v>66769.92</v>
      </c>
      <c r="N2697" s="128">
        <v>136818.7</v>
      </c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</row>
    <row r="2698">
      <c r="A2698" s="125" t="s">
        <v>466</v>
      </c>
      <c r="B2698" s="125" t="s">
        <v>479</v>
      </c>
      <c r="C2698" s="125" t="s">
        <v>453</v>
      </c>
      <c r="D2698" s="125" t="s">
        <v>457</v>
      </c>
      <c r="E2698" s="125" t="s">
        <v>472</v>
      </c>
      <c r="F2698" s="126">
        <v>40542.0</v>
      </c>
      <c r="G2698" s="127">
        <v>6.25E8</v>
      </c>
      <c r="H2698" s="126">
        <v>40552.0</v>
      </c>
      <c r="I2698" s="128">
        <v>8686.0</v>
      </c>
      <c r="J2698" s="128">
        <v>255.28</v>
      </c>
      <c r="K2698" s="128">
        <v>159.42</v>
      </c>
      <c r="L2698" s="128">
        <v>2217362.0</v>
      </c>
      <c r="M2698" s="128">
        <v>1384722.0</v>
      </c>
      <c r="N2698" s="128">
        <v>832640.0</v>
      </c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</row>
    <row r="2699">
      <c r="A2699" s="125" t="s">
        <v>469</v>
      </c>
      <c r="B2699" s="125" t="s">
        <v>569</v>
      </c>
      <c r="C2699" s="125" t="s">
        <v>494</v>
      </c>
      <c r="D2699" s="125" t="s">
        <v>454</v>
      </c>
      <c r="E2699" s="125" t="s">
        <v>472</v>
      </c>
      <c r="F2699" s="126">
        <v>40636.0</v>
      </c>
      <c r="G2699" s="127">
        <v>5.28E8</v>
      </c>
      <c r="H2699" s="126">
        <v>40637.0</v>
      </c>
      <c r="I2699" s="128">
        <v>3093.0</v>
      </c>
      <c r="J2699" s="128">
        <v>9.33</v>
      </c>
      <c r="K2699" s="128">
        <v>6.92</v>
      </c>
      <c r="L2699" s="128">
        <v>28857.69</v>
      </c>
      <c r="M2699" s="128">
        <v>21403.56</v>
      </c>
      <c r="N2699" s="128">
        <v>7454.13</v>
      </c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</row>
    <row r="2700">
      <c r="A2700" s="125" t="s">
        <v>458</v>
      </c>
      <c r="B2700" s="125" t="s">
        <v>487</v>
      </c>
      <c r="C2700" s="125" t="s">
        <v>514</v>
      </c>
      <c r="D2700" s="125" t="s">
        <v>454</v>
      </c>
      <c r="E2700" s="125" t="s">
        <v>472</v>
      </c>
      <c r="F2700" s="126">
        <v>41020.0</v>
      </c>
      <c r="G2700" s="127">
        <v>8.38E8</v>
      </c>
      <c r="H2700" s="126">
        <v>41031.0</v>
      </c>
      <c r="I2700" s="128">
        <v>5871.0</v>
      </c>
      <c r="J2700" s="128">
        <v>668.27</v>
      </c>
      <c r="K2700" s="128">
        <v>502.54</v>
      </c>
      <c r="L2700" s="128">
        <v>3923413.0</v>
      </c>
      <c r="M2700" s="128">
        <v>2950412.0</v>
      </c>
      <c r="N2700" s="128">
        <v>973000.8</v>
      </c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</row>
    <row r="2701">
      <c r="A2701" s="125" t="s">
        <v>458</v>
      </c>
      <c r="B2701" s="125" t="s">
        <v>563</v>
      </c>
      <c r="C2701" s="125" t="s">
        <v>485</v>
      </c>
      <c r="D2701" s="125" t="s">
        <v>454</v>
      </c>
      <c r="E2701" s="125" t="s">
        <v>464</v>
      </c>
      <c r="F2701" s="126">
        <v>42792.0</v>
      </c>
      <c r="G2701" s="127">
        <v>9.31E8</v>
      </c>
      <c r="H2701" s="126">
        <v>42809.0</v>
      </c>
      <c r="I2701" s="128">
        <v>4835.0</v>
      </c>
      <c r="J2701" s="128">
        <v>421.89</v>
      </c>
      <c r="K2701" s="128">
        <v>364.69</v>
      </c>
      <c r="L2701" s="128">
        <v>2039838.0</v>
      </c>
      <c r="M2701" s="128">
        <v>1763276.0</v>
      </c>
      <c r="N2701" s="128">
        <v>276562.0</v>
      </c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</row>
    <row r="2702">
      <c r="A2702" s="125" t="s">
        <v>451</v>
      </c>
      <c r="B2702" s="125" t="s">
        <v>546</v>
      </c>
      <c r="C2702" s="125" t="s">
        <v>471</v>
      </c>
      <c r="D2702" s="125" t="s">
        <v>454</v>
      </c>
      <c r="E2702" s="125" t="s">
        <v>464</v>
      </c>
      <c r="F2702" s="126">
        <v>41908.0</v>
      </c>
      <c r="G2702" s="127">
        <v>7.06E8</v>
      </c>
      <c r="H2702" s="126">
        <v>41918.0</v>
      </c>
      <c r="I2702" s="128">
        <v>9835.0</v>
      </c>
      <c r="J2702" s="128">
        <v>109.28</v>
      </c>
      <c r="K2702" s="128">
        <v>35.84</v>
      </c>
      <c r="L2702" s="128">
        <v>1074769.0</v>
      </c>
      <c r="M2702" s="128">
        <v>352486.4</v>
      </c>
      <c r="N2702" s="128">
        <v>722282.4</v>
      </c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</row>
    <row r="2703">
      <c r="A2703" s="125" t="s">
        <v>466</v>
      </c>
      <c r="B2703" s="125" t="s">
        <v>568</v>
      </c>
      <c r="C2703" s="125" t="s">
        <v>485</v>
      </c>
      <c r="D2703" s="125" t="s">
        <v>457</v>
      </c>
      <c r="E2703" s="125" t="s">
        <v>472</v>
      </c>
      <c r="F2703" s="126">
        <v>41626.0</v>
      </c>
      <c r="G2703" s="127">
        <v>1.32E8</v>
      </c>
      <c r="H2703" s="126">
        <v>41649.0</v>
      </c>
      <c r="I2703" s="128">
        <v>7751.0</v>
      </c>
      <c r="J2703" s="128">
        <v>421.89</v>
      </c>
      <c r="K2703" s="128">
        <v>364.69</v>
      </c>
      <c r="L2703" s="128">
        <v>3270069.0</v>
      </c>
      <c r="M2703" s="128">
        <v>2826712.0</v>
      </c>
      <c r="N2703" s="128">
        <v>443357.2</v>
      </c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</row>
    <row r="2704">
      <c r="A2704" s="125" t="s">
        <v>475</v>
      </c>
      <c r="B2704" s="125" t="s">
        <v>640</v>
      </c>
      <c r="C2704" s="125" t="s">
        <v>514</v>
      </c>
      <c r="D2704" s="125" t="s">
        <v>457</v>
      </c>
      <c r="E2704" s="125" t="s">
        <v>284</v>
      </c>
      <c r="F2704" s="126">
        <v>42829.0</v>
      </c>
      <c r="G2704" s="127">
        <v>5.99E8</v>
      </c>
      <c r="H2704" s="126">
        <v>42876.0</v>
      </c>
      <c r="I2704" s="128">
        <v>7494.0</v>
      </c>
      <c r="J2704" s="128">
        <v>668.27</v>
      </c>
      <c r="K2704" s="128">
        <v>502.54</v>
      </c>
      <c r="L2704" s="128">
        <v>5008015.0</v>
      </c>
      <c r="M2704" s="128">
        <v>3766035.0</v>
      </c>
      <c r="N2704" s="128">
        <v>1241981.0</v>
      </c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</row>
    <row r="2705">
      <c r="A2705" s="125" t="s">
        <v>461</v>
      </c>
      <c r="B2705" s="125" t="s">
        <v>522</v>
      </c>
      <c r="C2705" s="125" t="s">
        <v>463</v>
      </c>
      <c r="D2705" s="125" t="s">
        <v>457</v>
      </c>
      <c r="E2705" s="125" t="s">
        <v>284</v>
      </c>
      <c r="F2705" s="126">
        <v>42638.0</v>
      </c>
      <c r="G2705" s="127">
        <v>8.65E8</v>
      </c>
      <c r="H2705" s="126">
        <v>42652.0</v>
      </c>
      <c r="I2705" s="128">
        <v>5007.0</v>
      </c>
      <c r="J2705" s="128">
        <v>205.7</v>
      </c>
      <c r="K2705" s="128">
        <v>117.11</v>
      </c>
      <c r="L2705" s="128">
        <v>1029940.0</v>
      </c>
      <c r="M2705" s="128">
        <v>586369.8</v>
      </c>
      <c r="N2705" s="128">
        <v>443570.1</v>
      </c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</row>
    <row r="2706">
      <c r="A2706" s="125" t="s">
        <v>469</v>
      </c>
      <c r="B2706" s="125" t="s">
        <v>501</v>
      </c>
      <c r="C2706" s="125" t="s">
        <v>485</v>
      </c>
      <c r="D2706" s="125" t="s">
        <v>457</v>
      </c>
      <c r="E2706" s="125" t="s">
        <v>464</v>
      </c>
      <c r="F2706" s="126">
        <v>41330.0</v>
      </c>
      <c r="G2706" s="127">
        <v>2.1E8</v>
      </c>
      <c r="H2706" s="126">
        <v>41350.0</v>
      </c>
      <c r="I2706" s="128">
        <v>8262.0</v>
      </c>
      <c r="J2706" s="128">
        <v>421.89</v>
      </c>
      <c r="K2706" s="128">
        <v>364.69</v>
      </c>
      <c r="L2706" s="128">
        <v>3485655.0</v>
      </c>
      <c r="M2706" s="128">
        <v>3013069.0</v>
      </c>
      <c r="N2706" s="128">
        <v>472586.4</v>
      </c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</row>
    <row r="2707">
      <c r="A2707" s="125" t="s">
        <v>458</v>
      </c>
      <c r="B2707" s="125" t="s">
        <v>545</v>
      </c>
      <c r="C2707" s="125" t="s">
        <v>471</v>
      </c>
      <c r="D2707" s="125" t="s">
        <v>457</v>
      </c>
      <c r="E2707" s="125" t="s">
        <v>472</v>
      </c>
      <c r="F2707" s="126">
        <v>40954.0</v>
      </c>
      <c r="G2707" s="127">
        <v>6.85E8</v>
      </c>
      <c r="H2707" s="126">
        <v>41002.0</v>
      </c>
      <c r="I2707" s="128">
        <v>2265.0</v>
      </c>
      <c r="J2707" s="128">
        <v>109.28</v>
      </c>
      <c r="K2707" s="128">
        <v>35.84</v>
      </c>
      <c r="L2707" s="128">
        <v>247519.2</v>
      </c>
      <c r="M2707" s="128">
        <v>81177.6</v>
      </c>
      <c r="N2707" s="128">
        <v>166341.6</v>
      </c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</row>
    <row r="2708">
      <c r="A2708" s="125" t="s">
        <v>488</v>
      </c>
      <c r="B2708" s="125" t="s">
        <v>654</v>
      </c>
      <c r="C2708" s="125" t="s">
        <v>494</v>
      </c>
      <c r="D2708" s="125" t="s">
        <v>457</v>
      </c>
      <c r="E2708" s="125" t="s">
        <v>189</v>
      </c>
      <c r="F2708" s="126">
        <v>41182.0</v>
      </c>
      <c r="G2708" s="127">
        <v>3.59E8</v>
      </c>
      <c r="H2708" s="126">
        <v>41227.0</v>
      </c>
      <c r="I2708" s="128">
        <v>4052.0</v>
      </c>
      <c r="J2708" s="128">
        <v>9.33</v>
      </c>
      <c r="K2708" s="128">
        <v>6.92</v>
      </c>
      <c r="L2708" s="128">
        <v>37805.16</v>
      </c>
      <c r="M2708" s="128">
        <v>28039.84</v>
      </c>
      <c r="N2708" s="128">
        <v>9765.32</v>
      </c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</row>
    <row r="2709">
      <c r="A2709" s="125" t="s">
        <v>451</v>
      </c>
      <c r="B2709" s="125" t="s">
        <v>620</v>
      </c>
      <c r="C2709" s="125" t="s">
        <v>471</v>
      </c>
      <c r="D2709" s="125" t="s">
        <v>454</v>
      </c>
      <c r="E2709" s="125" t="s">
        <v>189</v>
      </c>
      <c r="F2709" s="126">
        <v>40691.0</v>
      </c>
      <c r="G2709" s="127">
        <v>9.74E8</v>
      </c>
      <c r="H2709" s="126">
        <v>40736.0</v>
      </c>
      <c r="I2709" s="128">
        <v>7690.0</v>
      </c>
      <c r="J2709" s="128">
        <v>109.28</v>
      </c>
      <c r="K2709" s="128">
        <v>35.84</v>
      </c>
      <c r="L2709" s="128">
        <v>840363.2</v>
      </c>
      <c r="M2709" s="128">
        <v>275609.6</v>
      </c>
      <c r="N2709" s="128">
        <v>564753.6</v>
      </c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</row>
    <row r="2710">
      <c r="A2710" s="125" t="s">
        <v>469</v>
      </c>
      <c r="B2710" s="125" t="s">
        <v>589</v>
      </c>
      <c r="C2710" s="125" t="s">
        <v>485</v>
      </c>
      <c r="D2710" s="125" t="s">
        <v>457</v>
      </c>
      <c r="E2710" s="125" t="s">
        <v>284</v>
      </c>
      <c r="F2710" s="126">
        <v>41315.0</v>
      </c>
      <c r="G2710" s="127">
        <v>2.9E8</v>
      </c>
      <c r="H2710" s="126">
        <v>41361.0</v>
      </c>
      <c r="I2710" s="128">
        <v>9279.0</v>
      </c>
      <c r="J2710" s="128">
        <v>421.89</v>
      </c>
      <c r="K2710" s="128">
        <v>364.69</v>
      </c>
      <c r="L2710" s="128">
        <v>3914717.0</v>
      </c>
      <c r="M2710" s="128">
        <v>3383959.0</v>
      </c>
      <c r="N2710" s="128">
        <v>530758.8</v>
      </c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</row>
    <row r="2711">
      <c r="A2711" s="125" t="s">
        <v>466</v>
      </c>
      <c r="B2711" s="125" t="s">
        <v>491</v>
      </c>
      <c r="C2711" s="125" t="s">
        <v>463</v>
      </c>
      <c r="D2711" s="125" t="s">
        <v>454</v>
      </c>
      <c r="E2711" s="125" t="s">
        <v>472</v>
      </c>
      <c r="F2711" s="126">
        <v>41125.0</v>
      </c>
      <c r="G2711" s="127">
        <v>6.39E8</v>
      </c>
      <c r="H2711" s="126">
        <v>41160.0</v>
      </c>
      <c r="I2711" s="128">
        <v>1947.0</v>
      </c>
      <c r="J2711" s="128">
        <v>205.7</v>
      </c>
      <c r="K2711" s="128">
        <v>117.11</v>
      </c>
      <c r="L2711" s="128">
        <v>400497.9</v>
      </c>
      <c r="M2711" s="128">
        <v>228013.2</v>
      </c>
      <c r="N2711" s="128">
        <v>172484.7</v>
      </c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</row>
    <row r="2712">
      <c r="A2712" s="125" t="s">
        <v>469</v>
      </c>
      <c r="B2712" s="125" t="s">
        <v>495</v>
      </c>
      <c r="C2712" s="125" t="s">
        <v>514</v>
      </c>
      <c r="D2712" s="125" t="s">
        <v>454</v>
      </c>
      <c r="E2712" s="125" t="s">
        <v>284</v>
      </c>
      <c r="F2712" s="126">
        <v>41351.0</v>
      </c>
      <c r="G2712" s="127">
        <v>3.72E8</v>
      </c>
      <c r="H2712" s="126">
        <v>41363.0</v>
      </c>
      <c r="I2712" s="128">
        <v>856.0</v>
      </c>
      <c r="J2712" s="128">
        <v>668.27</v>
      </c>
      <c r="K2712" s="128">
        <v>502.54</v>
      </c>
      <c r="L2712" s="128">
        <v>572039.1</v>
      </c>
      <c r="M2712" s="128">
        <v>430174.2</v>
      </c>
      <c r="N2712" s="128">
        <v>141864.9</v>
      </c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</row>
    <row r="2713">
      <c r="A2713" s="125" t="s">
        <v>466</v>
      </c>
      <c r="B2713" s="125" t="s">
        <v>524</v>
      </c>
      <c r="C2713" s="125" t="s">
        <v>514</v>
      </c>
      <c r="D2713" s="125" t="s">
        <v>454</v>
      </c>
      <c r="E2713" s="125" t="s">
        <v>464</v>
      </c>
      <c r="F2713" s="126">
        <v>42224.0</v>
      </c>
      <c r="G2713" s="127">
        <v>6.12E8</v>
      </c>
      <c r="H2713" s="126">
        <v>42239.0</v>
      </c>
      <c r="I2713" s="128">
        <v>8199.0</v>
      </c>
      <c r="J2713" s="128">
        <v>668.27</v>
      </c>
      <c r="K2713" s="128">
        <v>502.54</v>
      </c>
      <c r="L2713" s="128">
        <v>5479146.0</v>
      </c>
      <c r="M2713" s="128">
        <v>4120325.0</v>
      </c>
      <c r="N2713" s="128">
        <v>1358820.0</v>
      </c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</row>
    <row r="2714">
      <c r="A2714" s="125" t="s">
        <v>475</v>
      </c>
      <c r="B2714" s="125" t="s">
        <v>635</v>
      </c>
      <c r="C2714" s="125" t="s">
        <v>453</v>
      </c>
      <c r="D2714" s="125" t="s">
        <v>457</v>
      </c>
      <c r="E2714" s="125" t="s">
        <v>189</v>
      </c>
      <c r="F2714" s="126">
        <v>41603.0</v>
      </c>
      <c r="G2714" s="127">
        <v>2.99E8</v>
      </c>
      <c r="H2714" s="126">
        <v>41649.0</v>
      </c>
      <c r="I2714" s="128">
        <v>8199.0</v>
      </c>
      <c r="J2714" s="128">
        <v>255.28</v>
      </c>
      <c r="K2714" s="128">
        <v>159.42</v>
      </c>
      <c r="L2714" s="128">
        <v>2093041.0</v>
      </c>
      <c r="M2714" s="128">
        <v>1307085.0</v>
      </c>
      <c r="N2714" s="128">
        <v>785956.1</v>
      </c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</row>
    <row r="2715">
      <c r="A2715" s="125" t="s">
        <v>475</v>
      </c>
      <c r="B2715" s="125" t="s">
        <v>544</v>
      </c>
      <c r="C2715" s="125" t="s">
        <v>456</v>
      </c>
      <c r="D2715" s="125" t="s">
        <v>454</v>
      </c>
      <c r="E2715" s="125" t="s">
        <v>472</v>
      </c>
      <c r="F2715" s="126">
        <v>41881.0</v>
      </c>
      <c r="G2715" s="127">
        <v>2.48E8</v>
      </c>
      <c r="H2715" s="126">
        <v>41924.0</v>
      </c>
      <c r="I2715" s="128">
        <v>2110.0</v>
      </c>
      <c r="J2715" s="128">
        <v>152.58</v>
      </c>
      <c r="K2715" s="128">
        <v>97.44</v>
      </c>
      <c r="L2715" s="128">
        <v>321943.8</v>
      </c>
      <c r="M2715" s="128">
        <v>205598.4</v>
      </c>
      <c r="N2715" s="128">
        <v>116345.4</v>
      </c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</row>
    <row r="2716">
      <c r="A2716" s="125" t="s">
        <v>451</v>
      </c>
      <c r="B2716" s="125" t="s">
        <v>452</v>
      </c>
      <c r="C2716" s="125" t="s">
        <v>494</v>
      </c>
      <c r="D2716" s="125" t="s">
        <v>454</v>
      </c>
      <c r="E2716" s="125" t="s">
        <v>472</v>
      </c>
      <c r="F2716" s="126">
        <v>40310.0</v>
      </c>
      <c r="G2716" s="127">
        <v>8.91E8</v>
      </c>
      <c r="H2716" s="126">
        <v>40319.0</v>
      </c>
      <c r="I2716" s="128">
        <v>3220.0</v>
      </c>
      <c r="J2716" s="128">
        <v>9.33</v>
      </c>
      <c r="K2716" s="128">
        <v>6.92</v>
      </c>
      <c r="L2716" s="128">
        <v>30042.6</v>
      </c>
      <c r="M2716" s="128">
        <v>22282.4</v>
      </c>
      <c r="N2716" s="128">
        <v>7760.2</v>
      </c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</row>
    <row r="2717">
      <c r="A2717" s="125" t="s">
        <v>458</v>
      </c>
      <c r="B2717" s="125" t="s">
        <v>498</v>
      </c>
      <c r="C2717" s="125" t="s">
        <v>463</v>
      </c>
      <c r="D2717" s="125" t="s">
        <v>457</v>
      </c>
      <c r="E2717" s="125" t="s">
        <v>472</v>
      </c>
      <c r="F2717" s="126">
        <v>41445.0</v>
      </c>
      <c r="G2717" s="127">
        <v>9.3E8</v>
      </c>
      <c r="H2717" s="126">
        <v>41481.0</v>
      </c>
      <c r="I2717" s="128">
        <v>1845.0</v>
      </c>
      <c r="J2717" s="128">
        <v>205.7</v>
      </c>
      <c r="K2717" s="128">
        <v>117.11</v>
      </c>
      <c r="L2717" s="128">
        <v>379516.5</v>
      </c>
      <c r="M2717" s="128">
        <v>216068.0</v>
      </c>
      <c r="N2717" s="128">
        <v>163448.6</v>
      </c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</row>
    <row r="2718">
      <c r="A2718" s="125" t="s">
        <v>475</v>
      </c>
      <c r="B2718" s="125" t="s">
        <v>565</v>
      </c>
      <c r="C2718" s="125" t="s">
        <v>463</v>
      </c>
      <c r="D2718" s="125" t="s">
        <v>454</v>
      </c>
      <c r="E2718" s="125" t="s">
        <v>189</v>
      </c>
      <c r="F2718" s="126">
        <v>41934.0</v>
      </c>
      <c r="G2718" s="127">
        <v>4.91E8</v>
      </c>
      <c r="H2718" s="126">
        <v>41962.0</v>
      </c>
      <c r="I2718" s="128">
        <v>334.0</v>
      </c>
      <c r="J2718" s="128">
        <v>205.7</v>
      </c>
      <c r="K2718" s="128">
        <v>117.11</v>
      </c>
      <c r="L2718" s="128">
        <v>68703.8</v>
      </c>
      <c r="M2718" s="128">
        <v>39114.74</v>
      </c>
      <c r="N2718" s="128">
        <v>29589.06</v>
      </c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</row>
    <row r="2719">
      <c r="A2719" s="125" t="s">
        <v>475</v>
      </c>
      <c r="B2719" s="125" t="s">
        <v>532</v>
      </c>
      <c r="C2719" s="125" t="s">
        <v>494</v>
      </c>
      <c r="D2719" s="125" t="s">
        <v>454</v>
      </c>
      <c r="E2719" s="125" t="s">
        <v>472</v>
      </c>
      <c r="F2719" s="126">
        <v>40195.0</v>
      </c>
      <c r="G2719" s="127">
        <v>6.65E8</v>
      </c>
      <c r="H2719" s="126">
        <v>40223.0</v>
      </c>
      <c r="I2719" s="128">
        <v>8067.0</v>
      </c>
      <c r="J2719" s="128">
        <v>9.33</v>
      </c>
      <c r="K2719" s="128">
        <v>6.92</v>
      </c>
      <c r="L2719" s="128">
        <v>75265.11</v>
      </c>
      <c r="M2719" s="128">
        <v>55823.64</v>
      </c>
      <c r="N2719" s="128">
        <v>19441.47</v>
      </c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</row>
    <row r="2720">
      <c r="A2720" s="125" t="s">
        <v>451</v>
      </c>
      <c r="B2720" s="125" t="s">
        <v>593</v>
      </c>
      <c r="C2720" s="125" t="s">
        <v>453</v>
      </c>
      <c r="D2720" s="125" t="s">
        <v>454</v>
      </c>
      <c r="E2720" s="125" t="s">
        <v>189</v>
      </c>
      <c r="F2720" s="126">
        <v>40566.0</v>
      </c>
      <c r="G2720" s="127">
        <v>3.68E8</v>
      </c>
      <c r="H2720" s="126">
        <v>40608.0</v>
      </c>
      <c r="I2720" s="128">
        <v>6455.0</v>
      </c>
      <c r="J2720" s="128">
        <v>255.28</v>
      </c>
      <c r="K2720" s="128">
        <v>159.42</v>
      </c>
      <c r="L2720" s="128">
        <v>1647832.0</v>
      </c>
      <c r="M2720" s="128">
        <v>1029056.0</v>
      </c>
      <c r="N2720" s="128">
        <v>618776.3</v>
      </c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</row>
    <row r="2721">
      <c r="A2721" s="125" t="s">
        <v>451</v>
      </c>
      <c r="B2721" s="125" t="s">
        <v>482</v>
      </c>
      <c r="C2721" s="125" t="s">
        <v>480</v>
      </c>
      <c r="D2721" s="125" t="s">
        <v>457</v>
      </c>
      <c r="E2721" s="125" t="s">
        <v>189</v>
      </c>
      <c r="F2721" s="126">
        <v>40862.0</v>
      </c>
      <c r="G2721" s="127">
        <v>3.84E8</v>
      </c>
      <c r="H2721" s="126">
        <v>40875.0</v>
      </c>
      <c r="I2721" s="128">
        <v>3940.0</v>
      </c>
      <c r="J2721" s="128">
        <v>437.2</v>
      </c>
      <c r="K2721" s="128">
        <v>263.33</v>
      </c>
      <c r="L2721" s="128">
        <v>1722568.0</v>
      </c>
      <c r="M2721" s="128">
        <v>1037520.0</v>
      </c>
      <c r="N2721" s="128">
        <v>685047.8</v>
      </c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</row>
    <row r="2722">
      <c r="A2722" s="125" t="s">
        <v>475</v>
      </c>
      <c r="B2722" s="125" t="s">
        <v>635</v>
      </c>
      <c r="C2722" s="125" t="s">
        <v>480</v>
      </c>
      <c r="D2722" s="125" t="s">
        <v>457</v>
      </c>
      <c r="E2722" s="125" t="s">
        <v>284</v>
      </c>
      <c r="F2722" s="126">
        <v>42050.0</v>
      </c>
      <c r="G2722" s="127">
        <v>2.17E8</v>
      </c>
      <c r="H2722" s="126">
        <v>42050.0</v>
      </c>
      <c r="I2722" s="128">
        <v>997.0</v>
      </c>
      <c r="J2722" s="128">
        <v>437.2</v>
      </c>
      <c r="K2722" s="128">
        <v>263.33</v>
      </c>
      <c r="L2722" s="128">
        <v>435888.4</v>
      </c>
      <c r="M2722" s="128">
        <v>262540.0</v>
      </c>
      <c r="N2722" s="128">
        <v>173348.4</v>
      </c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</row>
    <row r="2723">
      <c r="A2723" s="125" t="s">
        <v>458</v>
      </c>
      <c r="B2723" s="125" t="s">
        <v>493</v>
      </c>
      <c r="C2723" s="125" t="s">
        <v>478</v>
      </c>
      <c r="D2723" s="125" t="s">
        <v>457</v>
      </c>
      <c r="E2723" s="125" t="s">
        <v>472</v>
      </c>
      <c r="F2723" s="126">
        <v>41340.0</v>
      </c>
      <c r="G2723" s="127">
        <v>3.43E8</v>
      </c>
      <c r="H2723" s="126">
        <v>41389.0</v>
      </c>
      <c r="I2723" s="128">
        <v>5129.0</v>
      </c>
      <c r="J2723" s="128">
        <v>651.21</v>
      </c>
      <c r="K2723" s="128">
        <v>524.96</v>
      </c>
      <c r="L2723" s="128">
        <v>3340056.0</v>
      </c>
      <c r="M2723" s="128">
        <v>2692520.0</v>
      </c>
      <c r="N2723" s="128">
        <v>647536.3</v>
      </c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</row>
    <row r="2724">
      <c r="A2724" s="125" t="s">
        <v>451</v>
      </c>
      <c r="B2724" s="125" t="s">
        <v>609</v>
      </c>
      <c r="C2724" s="125" t="s">
        <v>506</v>
      </c>
      <c r="D2724" s="125" t="s">
        <v>454</v>
      </c>
      <c r="E2724" s="125" t="s">
        <v>464</v>
      </c>
      <c r="F2724" s="126">
        <v>41860.0</v>
      </c>
      <c r="G2724" s="127">
        <v>8.57E8</v>
      </c>
      <c r="H2724" s="126">
        <v>41878.0</v>
      </c>
      <c r="I2724" s="128">
        <v>5874.0</v>
      </c>
      <c r="J2724" s="128">
        <v>154.06</v>
      </c>
      <c r="K2724" s="128">
        <v>90.93</v>
      </c>
      <c r="L2724" s="128">
        <v>904948.4</v>
      </c>
      <c r="M2724" s="128">
        <v>534122.8</v>
      </c>
      <c r="N2724" s="128">
        <v>370825.6</v>
      </c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</row>
    <row r="2725">
      <c r="A2725" s="125" t="s">
        <v>466</v>
      </c>
      <c r="B2725" s="125" t="s">
        <v>658</v>
      </c>
      <c r="C2725" s="125" t="s">
        <v>494</v>
      </c>
      <c r="D2725" s="125" t="s">
        <v>457</v>
      </c>
      <c r="E2725" s="125" t="s">
        <v>284</v>
      </c>
      <c r="F2725" s="126">
        <v>40214.0</v>
      </c>
      <c r="G2725" s="127">
        <v>1.25E8</v>
      </c>
      <c r="H2725" s="126">
        <v>40219.0</v>
      </c>
      <c r="I2725" s="128">
        <v>9798.0</v>
      </c>
      <c r="J2725" s="128">
        <v>9.33</v>
      </c>
      <c r="K2725" s="128">
        <v>6.92</v>
      </c>
      <c r="L2725" s="128">
        <v>91415.34</v>
      </c>
      <c r="M2725" s="128">
        <v>67802.16</v>
      </c>
      <c r="N2725" s="128">
        <v>23613.18</v>
      </c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</row>
    <row r="2726">
      <c r="A2726" s="125" t="s">
        <v>475</v>
      </c>
      <c r="B2726" s="125" t="s">
        <v>537</v>
      </c>
      <c r="C2726" s="125" t="s">
        <v>494</v>
      </c>
      <c r="D2726" s="125" t="s">
        <v>457</v>
      </c>
      <c r="E2726" s="125" t="s">
        <v>464</v>
      </c>
      <c r="F2726" s="126">
        <v>41692.0</v>
      </c>
      <c r="G2726" s="127">
        <v>6.32E8</v>
      </c>
      <c r="H2726" s="126">
        <v>41712.0</v>
      </c>
      <c r="I2726" s="128">
        <v>5500.0</v>
      </c>
      <c r="J2726" s="128">
        <v>9.33</v>
      </c>
      <c r="K2726" s="128">
        <v>6.92</v>
      </c>
      <c r="L2726" s="128">
        <v>51315.0</v>
      </c>
      <c r="M2726" s="128">
        <v>38060.0</v>
      </c>
      <c r="N2726" s="128">
        <v>13255.0</v>
      </c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</row>
    <row r="2727">
      <c r="A2727" s="125" t="s">
        <v>461</v>
      </c>
      <c r="B2727" s="125" t="s">
        <v>611</v>
      </c>
      <c r="C2727" s="125" t="s">
        <v>514</v>
      </c>
      <c r="D2727" s="125" t="s">
        <v>454</v>
      </c>
      <c r="E2727" s="125" t="s">
        <v>189</v>
      </c>
      <c r="F2727" s="126">
        <v>42292.0</v>
      </c>
      <c r="G2727" s="127">
        <v>4.35E8</v>
      </c>
      <c r="H2727" s="126">
        <v>42305.0</v>
      </c>
      <c r="I2727" s="128">
        <v>8610.0</v>
      </c>
      <c r="J2727" s="128">
        <v>668.27</v>
      </c>
      <c r="K2727" s="128">
        <v>502.54</v>
      </c>
      <c r="L2727" s="128">
        <v>5753805.0</v>
      </c>
      <c r="M2727" s="128">
        <v>4326869.0</v>
      </c>
      <c r="N2727" s="128">
        <v>1426935.0</v>
      </c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</row>
    <row r="2728">
      <c r="A2728" s="125" t="s">
        <v>469</v>
      </c>
      <c r="B2728" s="125" t="s">
        <v>519</v>
      </c>
      <c r="C2728" s="125" t="s">
        <v>478</v>
      </c>
      <c r="D2728" s="125" t="s">
        <v>457</v>
      </c>
      <c r="E2728" s="125" t="s">
        <v>464</v>
      </c>
      <c r="F2728" s="126">
        <v>41167.0</v>
      </c>
      <c r="G2728" s="127">
        <v>8.11E8</v>
      </c>
      <c r="H2728" s="126">
        <v>41213.0</v>
      </c>
      <c r="I2728" s="128">
        <v>6790.0</v>
      </c>
      <c r="J2728" s="128">
        <v>651.21</v>
      </c>
      <c r="K2728" s="128">
        <v>524.96</v>
      </c>
      <c r="L2728" s="128">
        <v>4421716.0</v>
      </c>
      <c r="M2728" s="128">
        <v>3564478.0</v>
      </c>
      <c r="N2728" s="128">
        <v>857237.5</v>
      </c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</row>
    <row r="2729">
      <c r="A2729" s="125" t="s">
        <v>451</v>
      </c>
      <c r="B2729" s="125" t="s">
        <v>592</v>
      </c>
      <c r="C2729" s="125" t="s">
        <v>485</v>
      </c>
      <c r="D2729" s="125" t="s">
        <v>454</v>
      </c>
      <c r="E2729" s="125" t="s">
        <v>464</v>
      </c>
      <c r="F2729" s="126">
        <v>42009.0</v>
      </c>
      <c r="G2729" s="127">
        <v>4.07E8</v>
      </c>
      <c r="H2729" s="126">
        <v>42028.0</v>
      </c>
      <c r="I2729" s="128">
        <v>4730.0</v>
      </c>
      <c r="J2729" s="128">
        <v>421.89</v>
      </c>
      <c r="K2729" s="128">
        <v>364.69</v>
      </c>
      <c r="L2729" s="128">
        <v>1995540.0</v>
      </c>
      <c r="M2729" s="128">
        <v>1724984.0</v>
      </c>
      <c r="N2729" s="128">
        <v>270556.0</v>
      </c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</row>
    <row r="2730">
      <c r="A2730" s="125" t="s">
        <v>466</v>
      </c>
      <c r="B2730" s="125" t="s">
        <v>625</v>
      </c>
      <c r="C2730" s="125" t="s">
        <v>471</v>
      </c>
      <c r="D2730" s="125" t="s">
        <v>454</v>
      </c>
      <c r="E2730" s="125" t="s">
        <v>472</v>
      </c>
      <c r="F2730" s="126">
        <v>40600.0</v>
      </c>
      <c r="G2730" s="127">
        <v>1.89E8</v>
      </c>
      <c r="H2730" s="126">
        <v>40646.0</v>
      </c>
      <c r="I2730" s="128">
        <v>9156.0</v>
      </c>
      <c r="J2730" s="128">
        <v>109.28</v>
      </c>
      <c r="K2730" s="128">
        <v>35.84</v>
      </c>
      <c r="L2730" s="128">
        <v>1000568.0</v>
      </c>
      <c r="M2730" s="128">
        <v>328151.0</v>
      </c>
      <c r="N2730" s="128">
        <v>672416.6</v>
      </c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</row>
    <row r="2731">
      <c r="A2731" s="125" t="s">
        <v>466</v>
      </c>
      <c r="B2731" s="125" t="s">
        <v>508</v>
      </c>
      <c r="C2731" s="125" t="s">
        <v>480</v>
      </c>
      <c r="D2731" s="125" t="s">
        <v>454</v>
      </c>
      <c r="E2731" s="125" t="s">
        <v>284</v>
      </c>
      <c r="F2731" s="126">
        <v>42791.0</v>
      </c>
      <c r="G2731" s="127">
        <v>2.95E8</v>
      </c>
      <c r="H2731" s="126">
        <v>42820.0</v>
      </c>
      <c r="I2731" s="128">
        <v>3822.0</v>
      </c>
      <c r="J2731" s="128">
        <v>437.2</v>
      </c>
      <c r="K2731" s="128">
        <v>263.33</v>
      </c>
      <c r="L2731" s="128">
        <v>1670978.0</v>
      </c>
      <c r="M2731" s="128">
        <v>1006447.0</v>
      </c>
      <c r="N2731" s="128">
        <v>664531.1</v>
      </c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</row>
    <row r="2732">
      <c r="A2732" s="125" t="s">
        <v>469</v>
      </c>
      <c r="B2732" s="125" t="s">
        <v>530</v>
      </c>
      <c r="C2732" s="125" t="s">
        <v>506</v>
      </c>
      <c r="D2732" s="125" t="s">
        <v>454</v>
      </c>
      <c r="E2732" s="125" t="s">
        <v>284</v>
      </c>
      <c r="F2732" s="126">
        <v>40994.0</v>
      </c>
      <c r="G2732" s="127">
        <v>4.83E8</v>
      </c>
      <c r="H2732" s="126">
        <v>41028.0</v>
      </c>
      <c r="I2732" s="128">
        <v>4514.0</v>
      </c>
      <c r="J2732" s="128">
        <v>154.06</v>
      </c>
      <c r="K2732" s="128">
        <v>90.93</v>
      </c>
      <c r="L2732" s="128">
        <v>695426.8</v>
      </c>
      <c r="M2732" s="128">
        <v>410458.0</v>
      </c>
      <c r="N2732" s="128">
        <v>284968.8</v>
      </c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</row>
    <row r="2733">
      <c r="A2733" s="125" t="s">
        <v>466</v>
      </c>
      <c r="B2733" s="125" t="s">
        <v>625</v>
      </c>
      <c r="C2733" s="125" t="s">
        <v>463</v>
      </c>
      <c r="D2733" s="125" t="s">
        <v>457</v>
      </c>
      <c r="E2733" s="125" t="s">
        <v>189</v>
      </c>
      <c r="F2733" s="126">
        <v>40455.0</v>
      </c>
      <c r="G2733" s="127">
        <v>5.82E8</v>
      </c>
      <c r="H2733" s="126">
        <v>40468.0</v>
      </c>
      <c r="I2733" s="128">
        <v>4050.0</v>
      </c>
      <c r="J2733" s="128">
        <v>205.7</v>
      </c>
      <c r="K2733" s="128">
        <v>117.11</v>
      </c>
      <c r="L2733" s="128">
        <v>833085.0</v>
      </c>
      <c r="M2733" s="128">
        <v>474295.5</v>
      </c>
      <c r="N2733" s="128">
        <v>358789.5</v>
      </c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</row>
    <row r="2734">
      <c r="A2734" s="125" t="s">
        <v>475</v>
      </c>
      <c r="B2734" s="125" t="s">
        <v>558</v>
      </c>
      <c r="C2734" s="125" t="s">
        <v>456</v>
      </c>
      <c r="D2734" s="125" t="s">
        <v>454</v>
      </c>
      <c r="E2734" s="125" t="s">
        <v>472</v>
      </c>
      <c r="F2734" s="126">
        <v>41280.0</v>
      </c>
      <c r="G2734" s="127">
        <v>9.4E8</v>
      </c>
      <c r="H2734" s="126">
        <v>41315.0</v>
      </c>
      <c r="I2734" s="128">
        <v>7278.0</v>
      </c>
      <c r="J2734" s="128">
        <v>152.58</v>
      </c>
      <c r="K2734" s="128">
        <v>97.44</v>
      </c>
      <c r="L2734" s="128">
        <v>1110477.0</v>
      </c>
      <c r="M2734" s="128">
        <v>709168.3</v>
      </c>
      <c r="N2734" s="128">
        <v>401308.9</v>
      </c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</row>
    <row r="2735">
      <c r="A2735" s="125" t="s">
        <v>458</v>
      </c>
      <c r="B2735" s="125" t="s">
        <v>603</v>
      </c>
      <c r="C2735" s="125" t="s">
        <v>480</v>
      </c>
      <c r="D2735" s="125" t="s">
        <v>454</v>
      </c>
      <c r="E2735" s="125" t="s">
        <v>189</v>
      </c>
      <c r="F2735" s="126">
        <v>42577.0</v>
      </c>
      <c r="G2735" s="127">
        <v>1.75E8</v>
      </c>
      <c r="H2735" s="126">
        <v>42580.0</v>
      </c>
      <c r="I2735" s="128">
        <v>6078.0</v>
      </c>
      <c r="J2735" s="128">
        <v>437.2</v>
      </c>
      <c r="K2735" s="128">
        <v>263.33</v>
      </c>
      <c r="L2735" s="128">
        <v>2657302.0</v>
      </c>
      <c r="M2735" s="128">
        <v>1600520.0</v>
      </c>
      <c r="N2735" s="128">
        <v>1056782.0</v>
      </c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</row>
    <row r="2736">
      <c r="A2736" s="125" t="s">
        <v>466</v>
      </c>
      <c r="B2736" s="125" t="s">
        <v>598</v>
      </c>
      <c r="C2736" s="125" t="s">
        <v>485</v>
      </c>
      <c r="D2736" s="125" t="s">
        <v>454</v>
      </c>
      <c r="E2736" s="125" t="s">
        <v>472</v>
      </c>
      <c r="F2736" s="126">
        <v>41080.0</v>
      </c>
      <c r="G2736" s="127">
        <v>1.27E8</v>
      </c>
      <c r="H2736" s="126">
        <v>41119.0</v>
      </c>
      <c r="I2736" s="128">
        <v>4361.0</v>
      </c>
      <c r="J2736" s="128">
        <v>421.89</v>
      </c>
      <c r="K2736" s="128">
        <v>364.69</v>
      </c>
      <c r="L2736" s="128">
        <v>1839862.0</v>
      </c>
      <c r="M2736" s="128">
        <v>1590413.0</v>
      </c>
      <c r="N2736" s="128">
        <v>249449.2</v>
      </c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</row>
    <row r="2737">
      <c r="A2737" s="125" t="s">
        <v>458</v>
      </c>
      <c r="B2737" s="125" t="s">
        <v>652</v>
      </c>
      <c r="C2737" s="125" t="s">
        <v>494</v>
      </c>
      <c r="D2737" s="125" t="s">
        <v>457</v>
      </c>
      <c r="E2737" s="125" t="s">
        <v>189</v>
      </c>
      <c r="F2737" s="126">
        <v>40825.0</v>
      </c>
      <c r="G2737" s="127">
        <v>9.05E8</v>
      </c>
      <c r="H2737" s="126">
        <v>40871.0</v>
      </c>
      <c r="I2737" s="128">
        <v>3069.0</v>
      </c>
      <c r="J2737" s="128">
        <v>9.33</v>
      </c>
      <c r="K2737" s="128">
        <v>6.92</v>
      </c>
      <c r="L2737" s="128">
        <v>28633.77</v>
      </c>
      <c r="M2737" s="128">
        <v>21237.48</v>
      </c>
      <c r="N2737" s="128">
        <v>7396.29</v>
      </c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</row>
    <row r="2738">
      <c r="A2738" s="125" t="s">
        <v>458</v>
      </c>
      <c r="B2738" s="125" t="s">
        <v>652</v>
      </c>
      <c r="C2738" s="125" t="s">
        <v>468</v>
      </c>
      <c r="D2738" s="125" t="s">
        <v>454</v>
      </c>
      <c r="E2738" s="125" t="s">
        <v>464</v>
      </c>
      <c r="F2738" s="126">
        <v>40707.0</v>
      </c>
      <c r="G2738" s="127">
        <v>4.39E8</v>
      </c>
      <c r="H2738" s="126">
        <v>40753.0</v>
      </c>
      <c r="I2738" s="128">
        <v>5177.0</v>
      </c>
      <c r="J2738" s="128">
        <v>81.73</v>
      </c>
      <c r="K2738" s="128">
        <v>56.67</v>
      </c>
      <c r="L2738" s="128">
        <v>423116.2</v>
      </c>
      <c r="M2738" s="128">
        <v>293380.6</v>
      </c>
      <c r="N2738" s="128">
        <v>129735.6</v>
      </c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</row>
    <row r="2739">
      <c r="A2739" s="125" t="s">
        <v>475</v>
      </c>
      <c r="B2739" s="125" t="s">
        <v>624</v>
      </c>
      <c r="C2739" s="125" t="s">
        <v>456</v>
      </c>
      <c r="D2739" s="125" t="s">
        <v>454</v>
      </c>
      <c r="E2739" s="125" t="s">
        <v>472</v>
      </c>
      <c r="F2739" s="126">
        <v>41391.0</v>
      </c>
      <c r="G2739" s="127">
        <v>3.28E8</v>
      </c>
      <c r="H2739" s="126">
        <v>41437.0</v>
      </c>
      <c r="I2739" s="128">
        <v>689.0</v>
      </c>
      <c r="J2739" s="128">
        <v>152.58</v>
      </c>
      <c r="K2739" s="128">
        <v>97.44</v>
      </c>
      <c r="L2739" s="128">
        <v>105127.6</v>
      </c>
      <c r="M2739" s="128">
        <v>67136.16</v>
      </c>
      <c r="N2739" s="128">
        <v>37991.46</v>
      </c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</row>
    <row r="2740">
      <c r="A2740" s="125" t="s">
        <v>475</v>
      </c>
      <c r="B2740" s="125" t="s">
        <v>571</v>
      </c>
      <c r="C2740" s="125" t="s">
        <v>453</v>
      </c>
      <c r="D2740" s="125" t="s">
        <v>457</v>
      </c>
      <c r="E2740" s="125" t="s">
        <v>189</v>
      </c>
      <c r="F2740" s="126">
        <v>41167.0</v>
      </c>
      <c r="G2740" s="127">
        <v>8.95E8</v>
      </c>
      <c r="H2740" s="126">
        <v>41185.0</v>
      </c>
      <c r="I2740" s="128">
        <v>1641.0</v>
      </c>
      <c r="J2740" s="128">
        <v>255.28</v>
      </c>
      <c r="K2740" s="128">
        <v>159.42</v>
      </c>
      <c r="L2740" s="128">
        <v>418914.5</v>
      </c>
      <c r="M2740" s="128">
        <v>261608.2</v>
      </c>
      <c r="N2740" s="128">
        <v>157306.3</v>
      </c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</row>
    <row r="2741">
      <c r="A2741" s="125" t="s">
        <v>475</v>
      </c>
      <c r="B2741" s="125" t="s">
        <v>602</v>
      </c>
      <c r="C2741" s="125" t="s">
        <v>494</v>
      </c>
      <c r="D2741" s="125" t="s">
        <v>454</v>
      </c>
      <c r="E2741" s="125" t="s">
        <v>464</v>
      </c>
      <c r="F2741" s="126">
        <v>42860.0</v>
      </c>
      <c r="G2741" s="127">
        <v>7.28E8</v>
      </c>
      <c r="H2741" s="126">
        <v>42884.0</v>
      </c>
      <c r="I2741" s="128">
        <v>7101.0</v>
      </c>
      <c r="J2741" s="128">
        <v>9.33</v>
      </c>
      <c r="K2741" s="128">
        <v>6.92</v>
      </c>
      <c r="L2741" s="128">
        <v>66252.33</v>
      </c>
      <c r="M2741" s="128">
        <v>49138.92</v>
      </c>
      <c r="N2741" s="128">
        <v>17113.41</v>
      </c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</row>
    <row r="2742">
      <c r="A2742" s="125" t="s">
        <v>469</v>
      </c>
      <c r="B2742" s="125" t="s">
        <v>501</v>
      </c>
      <c r="C2742" s="125" t="s">
        <v>478</v>
      </c>
      <c r="D2742" s="125" t="s">
        <v>454</v>
      </c>
      <c r="E2742" s="125" t="s">
        <v>284</v>
      </c>
      <c r="F2742" s="126">
        <v>41389.0</v>
      </c>
      <c r="G2742" s="127">
        <v>7.39E8</v>
      </c>
      <c r="H2742" s="126">
        <v>41423.0</v>
      </c>
      <c r="I2742" s="128">
        <v>8167.0</v>
      </c>
      <c r="J2742" s="128">
        <v>651.21</v>
      </c>
      <c r="K2742" s="128">
        <v>524.96</v>
      </c>
      <c r="L2742" s="128">
        <v>5318432.0</v>
      </c>
      <c r="M2742" s="128">
        <v>4287348.0</v>
      </c>
      <c r="N2742" s="128">
        <v>1031084.0</v>
      </c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</row>
    <row r="2743">
      <c r="A2743" s="125" t="s">
        <v>469</v>
      </c>
      <c r="B2743" s="125" t="s">
        <v>650</v>
      </c>
      <c r="C2743" s="125" t="s">
        <v>478</v>
      </c>
      <c r="D2743" s="125" t="s">
        <v>457</v>
      </c>
      <c r="E2743" s="125" t="s">
        <v>284</v>
      </c>
      <c r="F2743" s="126">
        <v>41741.0</v>
      </c>
      <c r="G2743" s="127">
        <v>1.09E8</v>
      </c>
      <c r="H2743" s="126">
        <v>41753.0</v>
      </c>
      <c r="I2743" s="128">
        <v>2969.0</v>
      </c>
      <c r="J2743" s="128">
        <v>651.21</v>
      </c>
      <c r="K2743" s="128">
        <v>524.96</v>
      </c>
      <c r="L2743" s="128">
        <v>1933442.0</v>
      </c>
      <c r="M2743" s="128">
        <v>1558606.0</v>
      </c>
      <c r="N2743" s="128">
        <v>374836.3</v>
      </c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</row>
    <row r="2744">
      <c r="A2744" s="125" t="s">
        <v>451</v>
      </c>
      <c r="B2744" s="125" t="s">
        <v>608</v>
      </c>
      <c r="C2744" s="125" t="s">
        <v>480</v>
      </c>
      <c r="D2744" s="125" t="s">
        <v>454</v>
      </c>
      <c r="E2744" s="125" t="s">
        <v>284</v>
      </c>
      <c r="F2744" s="126">
        <v>40995.0</v>
      </c>
      <c r="G2744" s="127">
        <v>3.4E8</v>
      </c>
      <c r="H2744" s="126">
        <v>41026.0</v>
      </c>
      <c r="I2744" s="128">
        <v>1668.0</v>
      </c>
      <c r="J2744" s="128">
        <v>437.2</v>
      </c>
      <c r="K2744" s="128">
        <v>263.33</v>
      </c>
      <c r="L2744" s="128">
        <v>729249.6</v>
      </c>
      <c r="M2744" s="128">
        <v>439234.4</v>
      </c>
      <c r="N2744" s="128">
        <v>290015.2</v>
      </c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</row>
    <row r="2745">
      <c r="A2745" s="125" t="s">
        <v>458</v>
      </c>
      <c r="B2745" s="125" t="s">
        <v>627</v>
      </c>
      <c r="C2745" s="125" t="s">
        <v>494</v>
      </c>
      <c r="D2745" s="125" t="s">
        <v>457</v>
      </c>
      <c r="E2745" s="125" t="s">
        <v>472</v>
      </c>
      <c r="F2745" s="126">
        <v>40768.0</v>
      </c>
      <c r="G2745" s="127">
        <v>3.04E8</v>
      </c>
      <c r="H2745" s="126">
        <v>40773.0</v>
      </c>
      <c r="I2745" s="128">
        <v>1457.0</v>
      </c>
      <c r="J2745" s="128">
        <v>9.33</v>
      </c>
      <c r="K2745" s="128">
        <v>6.92</v>
      </c>
      <c r="L2745" s="128">
        <v>13593.81</v>
      </c>
      <c r="M2745" s="128">
        <v>10082.44</v>
      </c>
      <c r="N2745" s="128">
        <v>3511.37</v>
      </c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</row>
    <row r="2746">
      <c r="A2746" s="125" t="s">
        <v>475</v>
      </c>
      <c r="B2746" s="125" t="s">
        <v>657</v>
      </c>
      <c r="C2746" s="125" t="s">
        <v>478</v>
      </c>
      <c r="D2746" s="125" t="s">
        <v>454</v>
      </c>
      <c r="E2746" s="125" t="s">
        <v>464</v>
      </c>
      <c r="F2746" s="126">
        <v>40299.0</v>
      </c>
      <c r="G2746" s="127">
        <v>2.92E8</v>
      </c>
      <c r="H2746" s="126">
        <v>40309.0</v>
      </c>
      <c r="I2746" s="128">
        <v>1559.0</v>
      </c>
      <c r="J2746" s="128">
        <v>651.21</v>
      </c>
      <c r="K2746" s="128">
        <v>524.96</v>
      </c>
      <c r="L2746" s="128">
        <v>1015236.0</v>
      </c>
      <c r="M2746" s="128">
        <v>818412.6</v>
      </c>
      <c r="N2746" s="128">
        <v>196823.8</v>
      </c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</row>
    <row r="2747">
      <c r="A2747" s="125" t="s">
        <v>466</v>
      </c>
      <c r="B2747" s="125" t="s">
        <v>467</v>
      </c>
      <c r="C2747" s="125" t="s">
        <v>480</v>
      </c>
      <c r="D2747" s="125" t="s">
        <v>457</v>
      </c>
      <c r="E2747" s="125" t="s">
        <v>472</v>
      </c>
      <c r="F2747" s="126">
        <v>40600.0</v>
      </c>
      <c r="G2747" s="127">
        <v>6.69E8</v>
      </c>
      <c r="H2747" s="126">
        <v>40611.0</v>
      </c>
      <c r="I2747" s="128">
        <v>8230.0</v>
      </c>
      <c r="J2747" s="128">
        <v>437.2</v>
      </c>
      <c r="K2747" s="128">
        <v>263.33</v>
      </c>
      <c r="L2747" s="128">
        <v>3598156.0</v>
      </c>
      <c r="M2747" s="128">
        <v>2167206.0</v>
      </c>
      <c r="N2747" s="128">
        <v>1430950.0</v>
      </c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</row>
    <row r="2748">
      <c r="A2748" s="125" t="s">
        <v>451</v>
      </c>
      <c r="B2748" s="125" t="s">
        <v>499</v>
      </c>
      <c r="C2748" s="125" t="s">
        <v>463</v>
      </c>
      <c r="D2748" s="125" t="s">
        <v>457</v>
      </c>
      <c r="E2748" s="125" t="s">
        <v>464</v>
      </c>
      <c r="F2748" s="126">
        <v>40305.0</v>
      </c>
      <c r="G2748" s="127">
        <v>5.16E8</v>
      </c>
      <c r="H2748" s="126">
        <v>40340.0</v>
      </c>
      <c r="I2748" s="128">
        <v>9754.0</v>
      </c>
      <c r="J2748" s="128">
        <v>205.7</v>
      </c>
      <c r="K2748" s="128">
        <v>117.11</v>
      </c>
      <c r="L2748" s="128">
        <v>2006398.0</v>
      </c>
      <c r="M2748" s="128">
        <v>1142291.0</v>
      </c>
      <c r="N2748" s="128">
        <v>864106.9</v>
      </c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</row>
    <row r="2749">
      <c r="A2749" s="125" t="s">
        <v>475</v>
      </c>
      <c r="B2749" s="125" t="s">
        <v>527</v>
      </c>
      <c r="C2749" s="125" t="s">
        <v>485</v>
      </c>
      <c r="D2749" s="125" t="s">
        <v>457</v>
      </c>
      <c r="E2749" s="125" t="s">
        <v>284</v>
      </c>
      <c r="F2749" s="126">
        <v>42588.0</v>
      </c>
      <c r="G2749" s="127">
        <v>7.86E8</v>
      </c>
      <c r="H2749" s="126">
        <v>42637.0</v>
      </c>
      <c r="I2749" s="128">
        <v>1451.0</v>
      </c>
      <c r="J2749" s="128">
        <v>421.89</v>
      </c>
      <c r="K2749" s="128">
        <v>364.69</v>
      </c>
      <c r="L2749" s="128">
        <v>612162.4</v>
      </c>
      <c r="M2749" s="128">
        <v>529165.2</v>
      </c>
      <c r="N2749" s="128">
        <v>82997.2</v>
      </c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</row>
    <row r="2750">
      <c r="A2750" s="125" t="s">
        <v>475</v>
      </c>
      <c r="B2750" s="125" t="s">
        <v>651</v>
      </c>
      <c r="C2750" s="125" t="s">
        <v>456</v>
      </c>
      <c r="D2750" s="125" t="s">
        <v>454</v>
      </c>
      <c r="E2750" s="125" t="s">
        <v>284</v>
      </c>
      <c r="F2750" s="126">
        <v>42710.0</v>
      </c>
      <c r="G2750" s="127">
        <v>2.53E8</v>
      </c>
      <c r="H2750" s="126">
        <v>42741.0</v>
      </c>
      <c r="I2750" s="128">
        <v>667.0</v>
      </c>
      <c r="J2750" s="128">
        <v>152.58</v>
      </c>
      <c r="K2750" s="128">
        <v>97.44</v>
      </c>
      <c r="L2750" s="128">
        <v>101770.9</v>
      </c>
      <c r="M2750" s="128">
        <v>64992.48</v>
      </c>
      <c r="N2750" s="128">
        <v>36778.38</v>
      </c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</row>
    <row r="2751">
      <c r="A2751" s="125" t="s">
        <v>461</v>
      </c>
      <c r="B2751" s="125" t="s">
        <v>599</v>
      </c>
      <c r="C2751" s="125" t="s">
        <v>494</v>
      </c>
      <c r="D2751" s="125" t="s">
        <v>457</v>
      </c>
      <c r="E2751" s="125" t="s">
        <v>464</v>
      </c>
      <c r="F2751" s="126">
        <v>40475.0</v>
      </c>
      <c r="G2751" s="127">
        <v>4.62E8</v>
      </c>
      <c r="H2751" s="126">
        <v>40475.0</v>
      </c>
      <c r="I2751" s="128">
        <v>1784.0</v>
      </c>
      <c r="J2751" s="128">
        <v>9.33</v>
      </c>
      <c r="K2751" s="128">
        <v>6.92</v>
      </c>
      <c r="L2751" s="128">
        <v>16644.72</v>
      </c>
      <c r="M2751" s="128">
        <v>12345.28</v>
      </c>
      <c r="N2751" s="128">
        <v>4299.44</v>
      </c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</row>
    <row r="2752">
      <c r="A2752" s="125" t="s">
        <v>458</v>
      </c>
      <c r="B2752" s="125" t="s">
        <v>551</v>
      </c>
      <c r="C2752" s="125" t="s">
        <v>453</v>
      </c>
      <c r="D2752" s="125" t="s">
        <v>454</v>
      </c>
      <c r="E2752" s="125" t="s">
        <v>189</v>
      </c>
      <c r="F2752" s="126">
        <v>41604.0</v>
      </c>
      <c r="G2752" s="127">
        <v>7.75E8</v>
      </c>
      <c r="H2752" s="126">
        <v>41641.0</v>
      </c>
      <c r="I2752" s="128">
        <v>1212.0</v>
      </c>
      <c r="J2752" s="128">
        <v>255.28</v>
      </c>
      <c r="K2752" s="128">
        <v>159.42</v>
      </c>
      <c r="L2752" s="128">
        <v>309399.4</v>
      </c>
      <c r="M2752" s="128">
        <v>193217.0</v>
      </c>
      <c r="N2752" s="128">
        <v>116182.3</v>
      </c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</row>
    <row r="2753">
      <c r="A2753" s="125" t="s">
        <v>451</v>
      </c>
      <c r="B2753" s="125" t="s">
        <v>499</v>
      </c>
      <c r="C2753" s="125" t="s">
        <v>494</v>
      </c>
      <c r="D2753" s="125" t="s">
        <v>454</v>
      </c>
      <c r="E2753" s="125" t="s">
        <v>284</v>
      </c>
      <c r="F2753" s="126">
        <v>42528.0</v>
      </c>
      <c r="G2753" s="127">
        <v>6.28E8</v>
      </c>
      <c r="H2753" s="126">
        <v>42539.0</v>
      </c>
      <c r="I2753" s="128">
        <v>2394.0</v>
      </c>
      <c r="J2753" s="128">
        <v>9.33</v>
      </c>
      <c r="K2753" s="128">
        <v>6.92</v>
      </c>
      <c r="L2753" s="128">
        <v>22336.02</v>
      </c>
      <c r="M2753" s="128">
        <v>16566.48</v>
      </c>
      <c r="N2753" s="128">
        <v>5769.54</v>
      </c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</row>
    <row r="2754">
      <c r="A2754" s="125" t="s">
        <v>461</v>
      </c>
      <c r="B2754" s="125" t="s">
        <v>516</v>
      </c>
      <c r="C2754" s="125" t="s">
        <v>460</v>
      </c>
      <c r="D2754" s="125" t="s">
        <v>454</v>
      </c>
      <c r="E2754" s="125" t="s">
        <v>472</v>
      </c>
      <c r="F2754" s="126">
        <v>42832.0</v>
      </c>
      <c r="G2754" s="127">
        <v>8.75E8</v>
      </c>
      <c r="H2754" s="126">
        <v>42836.0</v>
      </c>
      <c r="I2754" s="128">
        <v>803.0</v>
      </c>
      <c r="J2754" s="128">
        <v>47.45</v>
      </c>
      <c r="K2754" s="128">
        <v>31.79</v>
      </c>
      <c r="L2754" s="128">
        <v>38102.35</v>
      </c>
      <c r="M2754" s="128">
        <v>25527.37</v>
      </c>
      <c r="N2754" s="128">
        <v>12574.98</v>
      </c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</row>
    <row r="2755">
      <c r="A2755" s="125" t="s">
        <v>475</v>
      </c>
      <c r="B2755" s="125" t="s">
        <v>649</v>
      </c>
      <c r="C2755" s="125" t="s">
        <v>453</v>
      </c>
      <c r="D2755" s="125" t="s">
        <v>454</v>
      </c>
      <c r="E2755" s="125" t="s">
        <v>189</v>
      </c>
      <c r="F2755" s="126">
        <v>41107.0</v>
      </c>
      <c r="G2755" s="127">
        <v>6.41E8</v>
      </c>
      <c r="H2755" s="126">
        <v>41145.0</v>
      </c>
      <c r="I2755" s="128">
        <v>8944.0</v>
      </c>
      <c r="J2755" s="128">
        <v>255.28</v>
      </c>
      <c r="K2755" s="128">
        <v>159.42</v>
      </c>
      <c r="L2755" s="128">
        <v>2283224.0</v>
      </c>
      <c r="M2755" s="128">
        <v>1425852.0</v>
      </c>
      <c r="N2755" s="128">
        <v>857371.8</v>
      </c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</row>
    <row r="2756">
      <c r="A2756" s="125" t="s">
        <v>458</v>
      </c>
      <c r="B2756" s="125" t="s">
        <v>614</v>
      </c>
      <c r="C2756" s="125" t="s">
        <v>494</v>
      </c>
      <c r="D2756" s="125" t="s">
        <v>454</v>
      </c>
      <c r="E2756" s="125" t="s">
        <v>189</v>
      </c>
      <c r="F2756" s="126">
        <v>41867.0</v>
      </c>
      <c r="G2756" s="127">
        <v>4.71E8</v>
      </c>
      <c r="H2756" s="126">
        <v>41913.0</v>
      </c>
      <c r="I2756" s="128">
        <v>1354.0</v>
      </c>
      <c r="J2756" s="128">
        <v>9.33</v>
      </c>
      <c r="K2756" s="128">
        <v>6.92</v>
      </c>
      <c r="L2756" s="128">
        <v>12632.82</v>
      </c>
      <c r="M2756" s="128">
        <v>9369.68</v>
      </c>
      <c r="N2756" s="128">
        <v>3263.14</v>
      </c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</row>
    <row r="2757">
      <c r="A2757" s="125" t="s">
        <v>469</v>
      </c>
      <c r="B2757" s="125" t="s">
        <v>495</v>
      </c>
      <c r="C2757" s="125" t="s">
        <v>514</v>
      </c>
      <c r="D2757" s="125" t="s">
        <v>457</v>
      </c>
      <c r="E2757" s="125" t="s">
        <v>472</v>
      </c>
      <c r="F2757" s="126">
        <v>40330.0</v>
      </c>
      <c r="G2757" s="127">
        <v>9.82E8</v>
      </c>
      <c r="H2757" s="126">
        <v>40330.0</v>
      </c>
      <c r="I2757" s="128">
        <v>9599.0</v>
      </c>
      <c r="J2757" s="128">
        <v>668.27</v>
      </c>
      <c r="K2757" s="128">
        <v>502.54</v>
      </c>
      <c r="L2757" s="128">
        <v>6414724.0</v>
      </c>
      <c r="M2757" s="128">
        <v>4823881.0</v>
      </c>
      <c r="N2757" s="128">
        <v>1590842.0</v>
      </c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</row>
    <row r="2758">
      <c r="A2758" s="125" t="s">
        <v>475</v>
      </c>
      <c r="B2758" s="125" t="s">
        <v>656</v>
      </c>
      <c r="C2758" s="125" t="s">
        <v>456</v>
      </c>
      <c r="D2758" s="125" t="s">
        <v>457</v>
      </c>
      <c r="E2758" s="125" t="s">
        <v>284</v>
      </c>
      <c r="F2758" s="126">
        <v>40404.0</v>
      </c>
      <c r="G2758" s="127">
        <v>6.09E8</v>
      </c>
      <c r="H2758" s="126">
        <v>40442.0</v>
      </c>
      <c r="I2758" s="128">
        <v>7279.0</v>
      </c>
      <c r="J2758" s="128">
        <v>152.58</v>
      </c>
      <c r="K2758" s="128">
        <v>97.44</v>
      </c>
      <c r="L2758" s="128">
        <v>1110630.0</v>
      </c>
      <c r="M2758" s="128">
        <v>709265.8</v>
      </c>
      <c r="N2758" s="128">
        <v>401364.1</v>
      </c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</row>
    <row r="2759">
      <c r="A2759" s="125" t="s">
        <v>475</v>
      </c>
      <c r="B2759" s="125" t="s">
        <v>571</v>
      </c>
      <c r="C2759" s="125" t="s">
        <v>478</v>
      </c>
      <c r="D2759" s="125" t="s">
        <v>457</v>
      </c>
      <c r="E2759" s="125" t="s">
        <v>464</v>
      </c>
      <c r="F2759" s="126">
        <v>42237.0</v>
      </c>
      <c r="G2759" s="127">
        <v>5.59E8</v>
      </c>
      <c r="H2759" s="126">
        <v>42268.0</v>
      </c>
      <c r="I2759" s="128">
        <v>5023.0</v>
      </c>
      <c r="J2759" s="128">
        <v>651.21</v>
      </c>
      <c r="K2759" s="128">
        <v>524.96</v>
      </c>
      <c r="L2759" s="128">
        <v>3271028.0</v>
      </c>
      <c r="M2759" s="128">
        <v>2636874.0</v>
      </c>
      <c r="N2759" s="128">
        <v>634153.8</v>
      </c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</row>
    <row r="2760">
      <c r="A2760" s="125" t="s">
        <v>475</v>
      </c>
      <c r="B2760" s="125" t="s">
        <v>623</v>
      </c>
      <c r="C2760" s="125" t="s">
        <v>460</v>
      </c>
      <c r="D2760" s="125" t="s">
        <v>454</v>
      </c>
      <c r="E2760" s="125" t="s">
        <v>189</v>
      </c>
      <c r="F2760" s="126">
        <v>40833.0</v>
      </c>
      <c r="G2760" s="127">
        <v>7.58E8</v>
      </c>
      <c r="H2760" s="126">
        <v>40851.0</v>
      </c>
      <c r="I2760" s="128">
        <v>5492.0</v>
      </c>
      <c r="J2760" s="128">
        <v>47.45</v>
      </c>
      <c r="K2760" s="128">
        <v>31.79</v>
      </c>
      <c r="L2760" s="128">
        <v>260595.4</v>
      </c>
      <c r="M2760" s="128">
        <v>174590.7</v>
      </c>
      <c r="N2760" s="128">
        <v>86004.72</v>
      </c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</row>
    <row r="2761">
      <c r="A2761" s="125" t="s">
        <v>458</v>
      </c>
      <c r="B2761" s="125" t="s">
        <v>555</v>
      </c>
      <c r="C2761" s="125" t="s">
        <v>453</v>
      </c>
      <c r="D2761" s="125" t="s">
        <v>457</v>
      </c>
      <c r="E2761" s="125" t="s">
        <v>284</v>
      </c>
      <c r="F2761" s="126">
        <v>41266.0</v>
      </c>
      <c r="G2761" s="127">
        <v>3.02E8</v>
      </c>
      <c r="H2761" s="126">
        <v>41291.0</v>
      </c>
      <c r="I2761" s="128">
        <v>8379.0</v>
      </c>
      <c r="J2761" s="128">
        <v>255.28</v>
      </c>
      <c r="K2761" s="128">
        <v>159.42</v>
      </c>
      <c r="L2761" s="128">
        <v>2138991.0</v>
      </c>
      <c r="M2761" s="128">
        <v>1335780.0</v>
      </c>
      <c r="N2761" s="128">
        <v>803210.9</v>
      </c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</row>
    <row r="2762">
      <c r="A2762" s="125" t="s">
        <v>461</v>
      </c>
      <c r="B2762" s="125" t="s">
        <v>586</v>
      </c>
      <c r="C2762" s="125" t="s">
        <v>456</v>
      </c>
      <c r="D2762" s="125" t="s">
        <v>454</v>
      </c>
      <c r="E2762" s="125" t="s">
        <v>464</v>
      </c>
      <c r="F2762" s="126">
        <v>40700.0</v>
      </c>
      <c r="G2762" s="127">
        <v>6.11E8</v>
      </c>
      <c r="H2762" s="126">
        <v>40739.0</v>
      </c>
      <c r="I2762" s="128">
        <v>5408.0</v>
      </c>
      <c r="J2762" s="128">
        <v>152.58</v>
      </c>
      <c r="K2762" s="128">
        <v>97.44</v>
      </c>
      <c r="L2762" s="128">
        <v>825152.6</v>
      </c>
      <c r="M2762" s="128">
        <v>526955.5</v>
      </c>
      <c r="N2762" s="128">
        <v>298197.1</v>
      </c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</row>
    <row r="2763">
      <c r="A2763" s="125" t="s">
        <v>475</v>
      </c>
      <c r="B2763" s="125" t="s">
        <v>561</v>
      </c>
      <c r="C2763" s="125" t="s">
        <v>460</v>
      </c>
      <c r="D2763" s="125" t="s">
        <v>454</v>
      </c>
      <c r="E2763" s="125" t="s">
        <v>472</v>
      </c>
      <c r="F2763" s="126">
        <v>40840.0</v>
      </c>
      <c r="G2763" s="127">
        <v>4.69E8</v>
      </c>
      <c r="H2763" s="126">
        <v>40879.0</v>
      </c>
      <c r="I2763" s="128">
        <v>5333.0</v>
      </c>
      <c r="J2763" s="128">
        <v>47.45</v>
      </c>
      <c r="K2763" s="128">
        <v>31.79</v>
      </c>
      <c r="L2763" s="128">
        <v>253050.9</v>
      </c>
      <c r="M2763" s="128">
        <v>169536.1</v>
      </c>
      <c r="N2763" s="128">
        <v>83514.78</v>
      </c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</row>
    <row r="2764">
      <c r="A2764" s="125" t="s">
        <v>458</v>
      </c>
      <c r="B2764" s="125" t="s">
        <v>613</v>
      </c>
      <c r="C2764" s="125" t="s">
        <v>506</v>
      </c>
      <c r="D2764" s="125" t="s">
        <v>454</v>
      </c>
      <c r="E2764" s="125" t="s">
        <v>284</v>
      </c>
      <c r="F2764" s="126">
        <v>41011.0</v>
      </c>
      <c r="G2764" s="127">
        <v>9.87E8</v>
      </c>
      <c r="H2764" s="126">
        <v>41024.0</v>
      </c>
      <c r="I2764" s="128">
        <v>8940.0</v>
      </c>
      <c r="J2764" s="128">
        <v>154.06</v>
      </c>
      <c r="K2764" s="128">
        <v>90.93</v>
      </c>
      <c r="L2764" s="128">
        <v>1377296.0</v>
      </c>
      <c r="M2764" s="128">
        <v>812914.2</v>
      </c>
      <c r="N2764" s="128">
        <v>564382.2</v>
      </c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</row>
    <row r="2765">
      <c r="A2765" s="125" t="s">
        <v>458</v>
      </c>
      <c r="B2765" s="125" t="s">
        <v>487</v>
      </c>
      <c r="C2765" s="125" t="s">
        <v>478</v>
      </c>
      <c r="D2765" s="125" t="s">
        <v>454</v>
      </c>
      <c r="E2765" s="125" t="s">
        <v>472</v>
      </c>
      <c r="F2765" s="126">
        <v>42310.0</v>
      </c>
      <c r="G2765" s="127">
        <v>6.42E8</v>
      </c>
      <c r="H2765" s="126">
        <v>42352.0</v>
      </c>
      <c r="I2765" s="128">
        <v>4047.0</v>
      </c>
      <c r="J2765" s="128">
        <v>651.21</v>
      </c>
      <c r="K2765" s="128">
        <v>524.96</v>
      </c>
      <c r="L2765" s="128">
        <v>2635447.0</v>
      </c>
      <c r="M2765" s="128">
        <v>2124513.0</v>
      </c>
      <c r="N2765" s="128">
        <v>510933.8</v>
      </c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</row>
    <row r="2766">
      <c r="A2766" s="125" t="s">
        <v>451</v>
      </c>
      <c r="B2766" s="125" t="s">
        <v>497</v>
      </c>
      <c r="C2766" s="125" t="s">
        <v>480</v>
      </c>
      <c r="D2766" s="125" t="s">
        <v>457</v>
      </c>
      <c r="E2766" s="125" t="s">
        <v>284</v>
      </c>
      <c r="F2766" s="126">
        <v>40694.0</v>
      </c>
      <c r="G2766" s="127">
        <v>2.31E8</v>
      </c>
      <c r="H2766" s="126">
        <v>40710.0</v>
      </c>
      <c r="I2766" s="128">
        <v>502.0</v>
      </c>
      <c r="J2766" s="128">
        <v>437.2</v>
      </c>
      <c r="K2766" s="128">
        <v>263.33</v>
      </c>
      <c r="L2766" s="128">
        <v>219474.4</v>
      </c>
      <c r="M2766" s="128">
        <v>132191.7</v>
      </c>
      <c r="N2766" s="128">
        <v>87282.74</v>
      </c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</row>
    <row r="2767">
      <c r="A2767" s="125" t="s">
        <v>475</v>
      </c>
      <c r="B2767" s="125" t="s">
        <v>640</v>
      </c>
      <c r="C2767" s="125" t="s">
        <v>468</v>
      </c>
      <c r="D2767" s="125" t="s">
        <v>454</v>
      </c>
      <c r="E2767" s="125" t="s">
        <v>472</v>
      </c>
      <c r="F2767" s="126">
        <v>42187.0</v>
      </c>
      <c r="G2767" s="127">
        <v>6.25E8</v>
      </c>
      <c r="H2767" s="126">
        <v>42204.0</v>
      </c>
      <c r="I2767" s="128">
        <v>5186.0</v>
      </c>
      <c r="J2767" s="128">
        <v>81.73</v>
      </c>
      <c r="K2767" s="128">
        <v>56.67</v>
      </c>
      <c r="L2767" s="128">
        <v>423851.8</v>
      </c>
      <c r="M2767" s="128">
        <v>293890.6</v>
      </c>
      <c r="N2767" s="128">
        <v>129961.2</v>
      </c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</row>
    <row r="2768">
      <c r="A2768" s="125" t="s">
        <v>458</v>
      </c>
      <c r="B2768" s="125" t="s">
        <v>459</v>
      </c>
      <c r="C2768" s="125" t="s">
        <v>514</v>
      </c>
      <c r="D2768" s="125" t="s">
        <v>457</v>
      </c>
      <c r="E2768" s="125" t="s">
        <v>464</v>
      </c>
      <c r="F2768" s="126">
        <v>42139.0</v>
      </c>
      <c r="G2768" s="127">
        <v>5.13E8</v>
      </c>
      <c r="H2768" s="126">
        <v>42177.0</v>
      </c>
      <c r="I2768" s="128">
        <v>7009.0</v>
      </c>
      <c r="J2768" s="128">
        <v>668.27</v>
      </c>
      <c r="K2768" s="128">
        <v>502.54</v>
      </c>
      <c r="L2768" s="128">
        <v>4683904.0</v>
      </c>
      <c r="M2768" s="128">
        <v>3522303.0</v>
      </c>
      <c r="N2768" s="128">
        <v>1161602.0</v>
      </c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</row>
    <row r="2769">
      <c r="A2769" s="125" t="s">
        <v>461</v>
      </c>
      <c r="B2769" s="125" t="s">
        <v>510</v>
      </c>
      <c r="C2769" s="125" t="s">
        <v>494</v>
      </c>
      <c r="D2769" s="125" t="s">
        <v>454</v>
      </c>
      <c r="E2769" s="125" t="s">
        <v>464</v>
      </c>
      <c r="F2769" s="126">
        <v>40438.0</v>
      </c>
      <c r="G2769" s="127">
        <v>4.53E8</v>
      </c>
      <c r="H2769" s="126">
        <v>40447.0</v>
      </c>
      <c r="I2769" s="128">
        <v>1914.0</v>
      </c>
      <c r="J2769" s="128">
        <v>9.33</v>
      </c>
      <c r="K2769" s="128">
        <v>6.92</v>
      </c>
      <c r="L2769" s="128">
        <v>17857.62</v>
      </c>
      <c r="M2769" s="128">
        <v>13244.88</v>
      </c>
      <c r="N2769" s="128">
        <v>4612.74</v>
      </c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</row>
    <row r="2770">
      <c r="A2770" s="125" t="s">
        <v>475</v>
      </c>
      <c r="B2770" s="125" t="s">
        <v>588</v>
      </c>
      <c r="C2770" s="125" t="s">
        <v>453</v>
      </c>
      <c r="D2770" s="125" t="s">
        <v>454</v>
      </c>
      <c r="E2770" s="125" t="s">
        <v>472</v>
      </c>
      <c r="F2770" s="126">
        <v>42893.0</v>
      </c>
      <c r="G2770" s="127">
        <v>6.25E8</v>
      </c>
      <c r="H2770" s="126">
        <v>42920.0</v>
      </c>
      <c r="I2770" s="128">
        <v>7874.0</v>
      </c>
      <c r="J2770" s="128">
        <v>255.28</v>
      </c>
      <c r="K2770" s="128">
        <v>159.42</v>
      </c>
      <c r="L2770" s="128">
        <v>2010075.0</v>
      </c>
      <c r="M2770" s="128">
        <v>1255273.0</v>
      </c>
      <c r="N2770" s="128">
        <v>754801.6</v>
      </c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</row>
    <row r="2771">
      <c r="A2771" s="125" t="s">
        <v>458</v>
      </c>
      <c r="B2771" s="125" t="s">
        <v>622</v>
      </c>
      <c r="C2771" s="125" t="s">
        <v>471</v>
      </c>
      <c r="D2771" s="125" t="s">
        <v>457</v>
      </c>
      <c r="E2771" s="125" t="s">
        <v>464</v>
      </c>
      <c r="F2771" s="126">
        <v>40489.0</v>
      </c>
      <c r="G2771" s="127">
        <v>3.8E8</v>
      </c>
      <c r="H2771" s="126">
        <v>40514.0</v>
      </c>
      <c r="I2771" s="128">
        <v>9895.0</v>
      </c>
      <c r="J2771" s="128">
        <v>109.28</v>
      </c>
      <c r="K2771" s="128">
        <v>35.84</v>
      </c>
      <c r="L2771" s="128">
        <v>1081326.0</v>
      </c>
      <c r="M2771" s="128">
        <v>354636.8</v>
      </c>
      <c r="N2771" s="128">
        <v>726688.8</v>
      </c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</row>
    <row r="2772">
      <c r="A2772" s="125" t="s">
        <v>461</v>
      </c>
      <c r="B2772" s="125" t="s">
        <v>576</v>
      </c>
      <c r="C2772" s="125" t="s">
        <v>463</v>
      </c>
      <c r="D2772" s="125" t="s">
        <v>454</v>
      </c>
      <c r="E2772" s="125" t="s">
        <v>284</v>
      </c>
      <c r="F2772" s="126">
        <v>41194.0</v>
      </c>
      <c r="G2772" s="127">
        <v>4.88E8</v>
      </c>
      <c r="H2772" s="126">
        <v>41244.0</v>
      </c>
      <c r="I2772" s="128">
        <v>5012.0</v>
      </c>
      <c r="J2772" s="128">
        <v>205.7</v>
      </c>
      <c r="K2772" s="128">
        <v>117.11</v>
      </c>
      <c r="L2772" s="128">
        <v>1030968.0</v>
      </c>
      <c r="M2772" s="128">
        <v>586955.3</v>
      </c>
      <c r="N2772" s="128">
        <v>444013.1</v>
      </c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</row>
    <row r="2773">
      <c r="A2773" s="125" t="s">
        <v>461</v>
      </c>
      <c r="B2773" s="125" t="s">
        <v>539</v>
      </c>
      <c r="C2773" s="125" t="s">
        <v>468</v>
      </c>
      <c r="D2773" s="125" t="s">
        <v>457</v>
      </c>
      <c r="E2773" s="125" t="s">
        <v>464</v>
      </c>
      <c r="F2773" s="126">
        <v>40923.0</v>
      </c>
      <c r="G2773" s="127">
        <v>8.89E8</v>
      </c>
      <c r="H2773" s="126">
        <v>40958.0</v>
      </c>
      <c r="I2773" s="128">
        <v>7293.0</v>
      </c>
      <c r="J2773" s="128">
        <v>81.73</v>
      </c>
      <c r="K2773" s="128">
        <v>56.67</v>
      </c>
      <c r="L2773" s="128">
        <v>596056.9</v>
      </c>
      <c r="M2773" s="128">
        <v>413294.3</v>
      </c>
      <c r="N2773" s="128">
        <v>182762.6</v>
      </c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</row>
    <row r="2774">
      <c r="A2774" s="125" t="s">
        <v>475</v>
      </c>
      <c r="B2774" s="125" t="s">
        <v>544</v>
      </c>
      <c r="C2774" s="125" t="s">
        <v>468</v>
      </c>
      <c r="D2774" s="125" t="s">
        <v>457</v>
      </c>
      <c r="E2774" s="125" t="s">
        <v>472</v>
      </c>
      <c r="F2774" s="126">
        <v>41506.0</v>
      </c>
      <c r="G2774" s="127">
        <v>2.45E8</v>
      </c>
      <c r="H2774" s="126">
        <v>41536.0</v>
      </c>
      <c r="I2774" s="128">
        <v>2836.0</v>
      </c>
      <c r="J2774" s="128">
        <v>81.73</v>
      </c>
      <c r="K2774" s="128">
        <v>56.67</v>
      </c>
      <c r="L2774" s="128">
        <v>231786.3</v>
      </c>
      <c r="M2774" s="128">
        <v>160716.1</v>
      </c>
      <c r="N2774" s="128">
        <v>71070.16</v>
      </c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</row>
    <row r="2775">
      <c r="A2775" s="125" t="s">
        <v>469</v>
      </c>
      <c r="B2775" s="125" t="s">
        <v>503</v>
      </c>
      <c r="C2775" s="125" t="s">
        <v>468</v>
      </c>
      <c r="D2775" s="125" t="s">
        <v>457</v>
      </c>
      <c r="E2775" s="125" t="s">
        <v>464</v>
      </c>
      <c r="F2775" s="126">
        <v>41016.0</v>
      </c>
      <c r="G2775" s="127">
        <v>8.86E8</v>
      </c>
      <c r="H2775" s="126">
        <v>41037.0</v>
      </c>
      <c r="I2775" s="128">
        <v>4772.0</v>
      </c>
      <c r="J2775" s="128">
        <v>81.73</v>
      </c>
      <c r="K2775" s="128">
        <v>56.67</v>
      </c>
      <c r="L2775" s="128">
        <v>390015.6</v>
      </c>
      <c r="M2775" s="128">
        <v>270429.2</v>
      </c>
      <c r="N2775" s="128">
        <v>119586.3</v>
      </c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</row>
    <row r="2776">
      <c r="A2776" s="125" t="s">
        <v>469</v>
      </c>
      <c r="B2776" s="125" t="s">
        <v>503</v>
      </c>
      <c r="C2776" s="125" t="s">
        <v>456</v>
      </c>
      <c r="D2776" s="125" t="s">
        <v>457</v>
      </c>
      <c r="E2776" s="125" t="s">
        <v>189</v>
      </c>
      <c r="F2776" s="126">
        <v>40682.0</v>
      </c>
      <c r="G2776" s="127">
        <v>2.65E8</v>
      </c>
      <c r="H2776" s="126">
        <v>40689.0</v>
      </c>
      <c r="I2776" s="128">
        <v>8261.0</v>
      </c>
      <c r="J2776" s="128">
        <v>152.58</v>
      </c>
      <c r="K2776" s="128">
        <v>97.44</v>
      </c>
      <c r="L2776" s="128">
        <v>1260463.0</v>
      </c>
      <c r="M2776" s="128">
        <v>804951.8</v>
      </c>
      <c r="N2776" s="128">
        <v>455511.5</v>
      </c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</row>
    <row r="2777">
      <c r="A2777" s="125" t="s">
        <v>475</v>
      </c>
      <c r="B2777" s="125" t="s">
        <v>649</v>
      </c>
      <c r="C2777" s="125" t="s">
        <v>514</v>
      </c>
      <c r="D2777" s="125" t="s">
        <v>454</v>
      </c>
      <c r="E2777" s="125" t="s">
        <v>189</v>
      </c>
      <c r="F2777" s="126">
        <v>40737.0</v>
      </c>
      <c r="G2777" s="127">
        <v>4.03E8</v>
      </c>
      <c r="H2777" s="126">
        <v>40764.0</v>
      </c>
      <c r="I2777" s="128">
        <v>5497.0</v>
      </c>
      <c r="J2777" s="128">
        <v>668.27</v>
      </c>
      <c r="K2777" s="128">
        <v>502.54</v>
      </c>
      <c r="L2777" s="128">
        <v>3673480.0</v>
      </c>
      <c r="M2777" s="128">
        <v>2762462.0</v>
      </c>
      <c r="N2777" s="128">
        <v>911017.8</v>
      </c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</row>
    <row r="2778">
      <c r="A2778" s="125" t="s">
        <v>458</v>
      </c>
      <c r="B2778" s="125" t="s">
        <v>653</v>
      </c>
      <c r="C2778" s="125" t="s">
        <v>463</v>
      </c>
      <c r="D2778" s="125" t="s">
        <v>454</v>
      </c>
      <c r="E2778" s="125" t="s">
        <v>472</v>
      </c>
      <c r="F2778" s="126">
        <v>41804.0</v>
      </c>
      <c r="G2778" s="127">
        <v>2.43E8</v>
      </c>
      <c r="H2778" s="126">
        <v>41836.0</v>
      </c>
      <c r="I2778" s="128">
        <v>701.0</v>
      </c>
      <c r="J2778" s="128">
        <v>205.7</v>
      </c>
      <c r="K2778" s="128">
        <v>117.11</v>
      </c>
      <c r="L2778" s="128">
        <v>144195.7</v>
      </c>
      <c r="M2778" s="128">
        <v>82094.11</v>
      </c>
      <c r="N2778" s="128">
        <v>62101.59</v>
      </c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</row>
    <row r="2779">
      <c r="A2779" s="125" t="s">
        <v>475</v>
      </c>
      <c r="B2779" s="125" t="s">
        <v>574</v>
      </c>
      <c r="C2779" s="125" t="s">
        <v>506</v>
      </c>
      <c r="D2779" s="125" t="s">
        <v>454</v>
      </c>
      <c r="E2779" s="125" t="s">
        <v>472</v>
      </c>
      <c r="F2779" s="126">
        <v>40745.0</v>
      </c>
      <c r="G2779" s="127">
        <v>5.97E8</v>
      </c>
      <c r="H2779" s="126">
        <v>40756.0</v>
      </c>
      <c r="I2779" s="128">
        <v>5131.0</v>
      </c>
      <c r="J2779" s="128">
        <v>154.06</v>
      </c>
      <c r="K2779" s="128">
        <v>90.93</v>
      </c>
      <c r="L2779" s="128">
        <v>790481.9</v>
      </c>
      <c r="M2779" s="128">
        <v>466561.8</v>
      </c>
      <c r="N2779" s="128">
        <v>323920.0</v>
      </c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</row>
    <row r="2780">
      <c r="A2780" s="125" t="s">
        <v>458</v>
      </c>
      <c r="B2780" s="125" t="s">
        <v>555</v>
      </c>
      <c r="C2780" s="125" t="s">
        <v>480</v>
      </c>
      <c r="D2780" s="125" t="s">
        <v>454</v>
      </c>
      <c r="E2780" s="125" t="s">
        <v>472</v>
      </c>
      <c r="F2780" s="126">
        <v>40344.0</v>
      </c>
      <c r="G2780" s="127">
        <v>9.98E8</v>
      </c>
      <c r="H2780" s="126">
        <v>40362.0</v>
      </c>
      <c r="I2780" s="128">
        <v>2070.0</v>
      </c>
      <c r="J2780" s="128">
        <v>437.2</v>
      </c>
      <c r="K2780" s="128">
        <v>263.33</v>
      </c>
      <c r="L2780" s="128">
        <v>905004.0</v>
      </c>
      <c r="M2780" s="128">
        <v>545093.1</v>
      </c>
      <c r="N2780" s="128">
        <v>359910.9</v>
      </c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</row>
    <row r="2781">
      <c r="A2781" s="125" t="s">
        <v>451</v>
      </c>
      <c r="B2781" s="125" t="s">
        <v>655</v>
      </c>
      <c r="C2781" s="125" t="s">
        <v>471</v>
      </c>
      <c r="D2781" s="125" t="s">
        <v>457</v>
      </c>
      <c r="E2781" s="125" t="s">
        <v>189</v>
      </c>
      <c r="F2781" s="126">
        <v>42390.0</v>
      </c>
      <c r="G2781" s="127">
        <v>1.49E8</v>
      </c>
      <c r="H2781" s="126">
        <v>42433.0</v>
      </c>
      <c r="I2781" s="128">
        <v>1838.0</v>
      </c>
      <c r="J2781" s="128">
        <v>109.28</v>
      </c>
      <c r="K2781" s="128">
        <v>35.84</v>
      </c>
      <c r="L2781" s="128">
        <v>200856.6</v>
      </c>
      <c r="M2781" s="128">
        <v>65873.92</v>
      </c>
      <c r="N2781" s="128">
        <v>134982.7</v>
      </c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</row>
    <row r="2782">
      <c r="A2782" s="125" t="s">
        <v>475</v>
      </c>
      <c r="B2782" s="125" t="s">
        <v>558</v>
      </c>
      <c r="C2782" s="125" t="s">
        <v>456</v>
      </c>
      <c r="D2782" s="125" t="s">
        <v>457</v>
      </c>
      <c r="E2782" s="125" t="s">
        <v>284</v>
      </c>
      <c r="F2782" s="126">
        <v>40764.0</v>
      </c>
      <c r="G2782" s="127">
        <v>8.74E8</v>
      </c>
      <c r="H2782" s="126">
        <v>40805.0</v>
      </c>
      <c r="I2782" s="128">
        <v>6782.0</v>
      </c>
      <c r="J2782" s="128">
        <v>152.58</v>
      </c>
      <c r="K2782" s="128">
        <v>97.44</v>
      </c>
      <c r="L2782" s="128">
        <v>1034798.0</v>
      </c>
      <c r="M2782" s="128">
        <v>660838.1</v>
      </c>
      <c r="N2782" s="128">
        <v>373959.5</v>
      </c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</row>
    <row r="2783">
      <c r="A2783" s="125" t="s">
        <v>451</v>
      </c>
      <c r="B2783" s="125" t="s">
        <v>523</v>
      </c>
      <c r="C2783" s="125" t="s">
        <v>480</v>
      </c>
      <c r="D2783" s="125" t="s">
        <v>457</v>
      </c>
      <c r="E2783" s="125" t="s">
        <v>284</v>
      </c>
      <c r="F2783" s="126">
        <v>42182.0</v>
      </c>
      <c r="G2783" s="127">
        <v>6.66E8</v>
      </c>
      <c r="H2783" s="126">
        <v>42186.0</v>
      </c>
      <c r="I2783" s="128">
        <v>6282.0</v>
      </c>
      <c r="J2783" s="128">
        <v>437.2</v>
      </c>
      <c r="K2783" s="128">
        <v>263.33</v>
      </c>
      <c r="L2783" s="128">
        <v>2746490.0</v>
      </c>
      <c r="M2783" s="128">
        <v>1654239.0</v>
      </c>
      <c r="N2783" s="128">
        <v>1092251.0</v>
      </c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</row>
    <row r="2784">
      <c r="A2784" s="125" t="s">
        <v>469</v>
      </c>
      <c r="B2784" s="125" t="s">
        <v>632</v>
      </c>
      <c r="C2784" s="125" t="s">
        <v>506</v>
      </c>
      <c r="D2784" s="125" t="s">
        <v>454</v>
      </c>
      <c r="E2784" s="125" t="s">
        <v>464</v>
      </c>
      <c r="F2784" s="126">
        <v>42686.0</v>
      </c>
      <c r="G2784" s="127">
        <v>2.4E8</v>
      </c>
      <c r="H2784" s="126">
        <v>42726.0</v>
      </c>
      <c r="I2784" s="128">
        <v>1751.0</v>
      </c>
      <c r="J2784" s="128">
        <v>154.06</v>
      </c>
      <c r="K2784" s="128">
        <v>90.93</v>
      </c>
      <c r="L2784" s="128">
        <v>269759.1</v>
      </c>
      <c r="M2784" s="128">
        <v>159218.4</v>
      </c>
      <c r="N2784" s="128">
        <v>110540.6</v>
      </c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</row>
    <row r="2785">
      <c r="A2785" s="125" t="s">
        <v>475</v>
      </c>
      <c r="B2785" s="125" t="s">
        <v>636</v>
      </c>
      <c r="C2785" s="125" t="s">
        <v>463</v>
      </c>
      <c r="D2785" s="125" t="s">
        <v>457</v>
      </c>
      <c r="E2785" s="125" t="s">
        <v>284</v>
      </c>
      <c r="F2785" s="126">
        <v>42854.0</v>
      </c>
      <c r="G2785" s="127">
        <v>3.79E8</v>
      </c>
      <c r="H2785" s="126">
        <v>42895.0</v>
      </c>
      <c r="I2785" s="128">
        <v>1629.0</v>
      </c>
      <c r="J2785" s="128">
        <v>205.7</v>
      </c>
      <c r="K2785" s="128">
        <v>117.11</v>
      </c>
      <c r="L2785" s="128">
        <v>335085.3</v>
      </c>
      <c r="M2785" s="128">
        <v>190772.2</v>
      </c>
      <c r="N2785" s="128">
        <v>144313.1</v>
      </c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</row>
    <row r="2786">
      <c r="A2786" s="125" t="s">
        <v>466</v>
      </c>
      <c r="B2786" s="125" t="s">
        <v>508</v>
      </c>
      <c r="C2786" s="125" t="s">
        <v>460</v>
      </c>
      <c r="D2786" s="125" t="s">
        <v>454</v>
      </c>
      <c r="E2786" s="125" t="s">
        <v>464</v>
      </c>
      <c r="F2786" s="126">
        <v>40891.0</v>
      </c>
      <c r="G2786" s="127">
        <v>5.9E8</v>
      </c>
      <c r="H2786" s="126">
        <v>40906.0</v>
      </c>
      <c r="I2786" s="128">
        <v>6390.0</v>
      </c>
      <c r="J2786" s="128">
        <v>47.45</v>
      </c>
      <c r="K2786" s="128">
        <v>31.79</v>
      </c>
      <c r="L2786" s="128">
        <v>303205.5</v>
      </c>
      <c r="M2786" s="128">
        <v>203138.1</v>
      </c>
      <c r="N2786" s="128">
        <v>100067.4</v>
      </c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</row>
    <row r="2787">
      <c r="A2787" s="125" t="s">
        <v>458</v>
      </c>
      <c r="B2787" s="125" t="s">
        <v>606</v>
      </c>
      <c r="C2787" s="125" t="s">
        <v>494</v>
      </c>
      <c r="D2787" s="125" t="s">
        <v>457</v>
      </c>
      <c r="E2787" s="125" t="s">
        <v>464</v>
      </c>
      <c r="F2787" s="126">
        <v>42301.0</v>
      </c>
      <c r="G2787" s="127">
        <v>4.46E8</v>
      </c>
      <c r="H2787" s="126">
        <v>42309.0</v>
      </c>
      <c r="I2787" s="128">
        <v>3540.0</v>
      </c>
      <c r="J2787" s="128">
        <v>9.33</v>
      </c>
      <c r="K2787" s="128">
        <v>6.92</v>
      </c>
      <c r="L2787" s="128">
        <v>33028.2</v>
      </c>
      <c r="M2787" s="128">
        <v>24496.8</v>
      </c>
      <c r="N2787" s="128">
        <v>8531.4</v>
      </c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</row>
    <row r="2788">
      <c r="A2788" s="125" t="s">
        <v>475</v>
      </c>
      <c r="B2788" s="125" t="s">
        <v>579</v>
      </c>
      <c r="C2788" s="125" t="s">
        <v>485</v>
      </c>
      <c r="D2788" s="125" t="s">
        <v>457</v>
      </c>
      <c r="E2788" s="125" t="s">
        <v>189</v>
      </c>
      <c r="F2788" s="126">
        <v>41916.0</v>
      </c>
      <c r="G2788" s="127">
        <v>9.43E8</v>
      </c>
      <c r="H2788" s="126">
        <v>41946.0</v>
      </c>
      <c r="I2788" s="128">
        <v>2615.0</v>
      </c>
      <c r="J2788" s="128">
        <v>421.89</v>
      </c>
      <c r="K2788" s="128">
        <v>364.69</v>
      </c>
      <c r="L2788" s="128">
        <v>1103242.0</v>
      </c>
      <c r="M2788" s="128">
        <v>953664.4</v>
      </c>
      <c r="N2788" s="128">
        <v>149578.0</v>
      </c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</row>
    <row r="2789">
      <c r="A2789" s="125" t="s">
        <v>461</v>
      </c>
      <c r="B2789" s="125" t="s">
        <v>644</v>
      </c>
      <c r="C2789" s="125" t="s">
        <v>460</v>
      </c>
      <c r="D2789" s="125" t="s">
        <v>457</v>
      </c>
      <c r="E2789" s="125" t="s">
        <v>472</v>
      </c>
      <c r="F2789" s="126">
        <v>41872.0</v>
      </c>
      <c r="G2789" s="127">
        <v>4.47E8</v>
      </c>
      <c r="H2789" s="126">
        <v>41900.0</v>
      </c>
      <c r="I2789" s="128">
        <v>182.0</v>
      </c>
      <c r="J2789" s="128">
        <v>47.45</v>
      </c>
      <c r="K2789" s="128">
        <v>31.79</v>
      </c>
      <c r="L2789" s="128">
        <v>8635.9</v>
      </c>
      <c r="M2789" s="128">
        <v>5785.78</v>
      </c>
      <c r="N2789" s="128">
        <v>2850.12</v>
      </c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</row>
    <row r="2790">
      <c r="A2790" s="125" t="s">
        <v>458</v>
      </c>
      <c r="B2790" s="125" t="s">
        <v>590</v>
      </c>
      <c r="C2790" s="125" t="s">
        <v>514</v>
      </c>
      <c r="D2790" s="125" t="s">
        <v>457</v>
      </c>
      <c r="E2790" s="125" t="s">
        <v>189</v>
      </c>
      <c r="F2790" s="126">
        <v>41926.0</v>
      </c>
      <c r="G2790" s="127">
        <v>5.44E8</v>
      </c>
      <c r="H2790" s="126">
        <v>41937.0</v>
      </c>
      <c r="I2790" s="128">
        <v>4839.0</v>
      </c>
      <c r="J2790" s="128">
        <v>668.27</v>
      </c>
      <c r="K2790" s="128">
        <v>502.54</v>
      </c>
      <c r="L2790" s="128">
        <v>3233759.0</v>
      </c>
      <c r="M2790" s="128">
        <v>2431791.0</v>
      </c>
      <c r="N2790" s="128">
        <v>801967.5</v>
      </c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</row>
    <row r="2791">
      <c r="A2791" s="125" t="s">
        <v>461</v>
      </c>
      <c r="B2791" s="125" t="s">
        <v>629</v>
      </c>
      <c r="C2791" s="125" t="s">
        <v>453</v>
      </c>
      <c r="D2791" s="125" t="s">
        <v>454</v>
      </c>
      <c r="E2791" s="125" t="s">
        <v>464</v>
      </c>
      <c r="F2791" s="126">
        <v>40843.0</v>
      </c>
      <c r="G2791" s="127">
        <v>1.9E8</v>
      </c>
      <c r="H2791" s="126">
        <v>40874.0</v>
      </c>
      <c r="I2791" s="128">
        <v>2217.0</v>
      </c>
      <c r="J2791" s="128">
        <v>255.28</v>
      </c>
      <c r="K2791" s="128">
        <v>159.42</v>
      </c>
      <c r="L2791" s="128">
        <v>565955.8</v>
      </c>
      <c r="M2791" s="128">
        <v>353434.1</v>
      </c>
      <c r="N2791" s="128">
        <v>212521.6</v>
      </c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</row>
    <row r="2792">
      <c r="A2792" s="125" t="s">
        <v>451</v>
      </c>
      <c r="B2792" s="125" t="s">
        <v>455</v>
      </c>
      <c r="C2792" s="125" t="s">
        <v>456</v>
      </c>
      <c r="D2792" s="125" t="s">
        <v>454</v>
      </c>
      <c r="E2792" s="125" t="s">
        <v>464</v>
      </c>
      <c r="F2792" s="126">
        <v>40542.0</v>
      </c>
      <c r="G2792" s="127">
        <v>6.62E8</v>
      </c>
      <c r="H2792" s="126">
        <v>40590.0</v>
      </c>
      <c r="I2792" s="128">
        <v>9976.0</v>
      </c>
      <c r="J2792" s="128">
        <v>152.58</v>
      </c>
      <c r="K2792" s="128">
        <v>97.44</v>
      </c>
      <c r="L2792" s="128">
        <v>1522138.0</v>
      </c>
      <c r="M2792" s="128">
        <v>972061.4</v>
      </c>
      <c r="N2792" s="128">
        <v>550076.6</v>
      </c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</row>
    <row r="2793">
      <c r="A2793" s="125" t="s">
        <v>458</v>
      </c>
      <c r="B2793" s="125" t="s">
        <v>652</v>
      </c>
      <c r="C2793" s="125" t="s">
        <v>506</v>
      </c>
      <c r="D2793" s="125" t="s">
        <v>457</v>
      </c>
      <c r="E2793" s="125" t="s">
        <v>472</v>
      </c>
      <c r="F2793" s="126">
        <v>41949.0</v>
      </c>
      <c r="G2793" s="127">
        <v>6.06E8</v>
      </c>
      <c r="H2793" s="126">
        <v>41961.0</v>
      </c>
      <c r="I2793" s="128">
        <v>2809.0</v>
      </c>
      <c r="J2793" s="128">
        <v>154.06</v>
      </c>
      <c r="K2793" s="128">
        <v>90.93</v>
      </c>
      <c r="L2793" s="128">
        <v>432754.5</v>
      </c>
      <c r="M2793" s="128">
        <v>255422.4</v>
      </c>
      <c r="N2793" s="128">
        <v>177332.2</v>
      </c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</row>
    <row r="2794">
      <c r="A2794" s="125" t="s">
        <v>451</v>
      </c>
      <c r="B2794" s="125" t="s">
        <v>499</v>
      </c>
      <c r="C2794" s="125" t="s">
        <v>480</v>
      </c>
      <c r="D2794" s="125" t="s">
        <v>457</v>
      </c>
      <c r="E2794" s="125" t="s">
        <v>472</v>
      </c>
      <c r="F2794" s="126">
        <v>40844.0</v>
      </c>
      <c r="G2794" s="127">
        <v>9.9E8</v>
      </c>
      <c r="H2794" s="126">
        <v>40883.0</v>
      </c>
      <c r="I2794" s="128">
        <v>7440.0</v>
      </c>
      <c r="J2794" s="128">
        <v>437.2</v>
      </c>
      <c r="K2794" s="128">
        <v>263.33</v>
      </c>
      <c r="L2794" s="128">
        <v>3252768.0</v>
      </c>
      <c r="M2794" s="128">
        <v>1959175.0</v>
      </c>
      <c r="N2794" s="128">
        <v>1293593.0</v>
      </c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</row>
    <row r="2795">
      <c r="A2795" s="125" t="s">
        <v>488</v>
      </c>
      <c r="B2795" s="125" t="s">
        <v>654</v>
      </c>
      <c r="C2795" s="125" t="s">
        <v>478</v>
      </c>
      <c r="D2795" s="125" t="s">
        <v>454</v>
      </c>
      <c r="E2795" s="125" t="s">
        <v>464</v>
      </c>
      <c r="F2795" s="126">
        <v>40315.0</v>
      </c>
      <c r="G2795" s="127">
        <v>1.52E8</v>
      </c>
      <c r="H2795" s="126">
        <v>40345.0</v>
      </c>
      <c r="I2795" s="128">
        <v>7624.0</v>
      </c>
      <c r="J2795" s="128">
        <v>651.21</v>
      </c>
      <c r="K2795" s="128">
        <v>524.96</v>
      </c>
      <c r="L2795" s="128">
        <v>4964825.0</v>
      </c>
      <c r="M2795" s="128">
        <v>4002295.0</v>
      </c>
      <c r="N2795" s="128">
        <v>962530.0</v>
      </c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</row>
    <row r="2796">
      <c r="A2796" s="125" t="s">
        <v>451</v>
      </c>
      <c r="B2796" s="125" t="s">
        <v>593</v>
      </c>
      <c r="C2796" s="125" t="s">
        <v>468</v>
      </c>
      <c r="D2796" s="125" t="s">
        <v>457</v>
      </c>
      <c r="E2796" s="125" t="s">
        <v>189</v>
      </c>
      <c r="F2796" s="126">
        <v>41071.0</v>
      </c>
      <c r="G2796" s="127">
        <v>5.48E8</v>
      </c>
      <c r="H2796" s="126">
        <v>41121.0</v>
      </c>
      <c r="I2796" s="128">
        <v>9146.0</v>
      </c>
      <c r="J2796" s="128">
        <v>81.73</v>
      </c>
      <c r="K2796" s="128">
        <v>56.67</v>
      </c>
      <c r="L2796" s="128">
        <v>747502.6</v>
      </c>
      <c r="M2796" s="128">
        <v>518303.8</v>
      </c>
      <c r="N2796" s="128">
        <v>229198.8</v>
      </c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</row>
    <row r="2797">
      <c r="A2797" s="125" t="s">
        <v>451</v>
      </c>
      <c r="B2797" s="125" t="s">
        <v>592</v>
      </c>
      <c r="C2797" s="125" t="s">
        <v>468</v>
      </c>
      <c r="D2797" s="125" t="s">
        <v>454</v>
      </c>
      <c r="E2797" s="125" t="s">
        <v>464</v>
      </c>
      <c r="F2797" s="126">
        <v>42826.0</v>
      </c>
      <c r="G2797" s="127">
        <v>2.09E8</v>
      </c>
      <c r="H2797" s="126">
        <v>42828.0</v>
      </c>
      <c r="I2797" s="128">
        <v>4824.0</v>
      </c>
      <c r="J2797" s="128">
        <v>81.73</v>
      </c>
      <c r="K2797" s="128">
        <v>56.67</v>
      </c>
      <c r="L2797" s="128">
        <v>394265.5</v>
      </c>
      <c r="M2797" s="128">
        <v>273376.1</v>
      </c>
      <c r="N2797" s="128">
        <v>120889.4</v>
      </c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</row>
    <row r="2798">
      <c r="A2798" s="125" t="s">
        <v>466</v>
      </c>
      <c r="B2798" s="125" t="s">
        <v>508</v>
      </c>
      <c r="C2798" s="125" t="s">
        <v>471</v>
      </c>
      <c r="D2798" s="125" t="s">
        <v>454</v>
      </c>
      <c r="E2798" s="125" t="s">
        <v>472</v>
      </c>
      <c r="F2798" s="126">
        <v>42918.0</v>
      </c>
      <c r="G2798" s="127">
        <v>3.81E8</v>
      </c>
      <c r="H2798" s="126">
        <v>42922.0</v>
      </c>
      <c r="I2798" s="128">
        <v>9507.0</v>
      </c>
      <c r="J2798" s="128">
        <v>109.28</v>
      </c>
      <c r="K2798" s="128">
        <v>35.84</v>
      </c>
      <c r="L2798" s="128">
        <v>1038925.0</v>
      </c>
      <c r="M2798" s="128">
        <v>340730.9</v>
      </c>
      <c r="N2798" s="128">
        <v>698194.1</v>
      </c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</row>
    <row r="2799">
      <c r="A2799" s="125" t="s">
        <v>458</v>
      </c>
      <c r="B2799" s="125" t="s">
        <v>545</v>
      </c>
      <c r="C2799" s="125" t="s">
        <v>456</v>
      </c>
      <c r="D2799" s="125" t="s">
        <v>454</v>
      </c>
      <c r="E2799" s="125" t="s">
        <v>284</v>
      </c>
      <c r="F2799" s="126">
        <v>40458.0</v>
      </c>
      <c r="G2799" s="127">
        <v>5.84E8</v>
      </c>
      <c r="H2799" s="126">
        <v>40470.0</v>
      </c>
      <c r="I2799" s="128">
        <v>5075.0</v>
      </c>
      <c r="J2799" s="128">
        <v>152.58</v>
      </c>
      <c r="K2799" s="128">
        <v>97.44</v>
      </c>
      <c r="L2799" s="128">
        <v>774343.5</v>
      </c>
      <c r="M2799" s="128">
        <v>494508.0</v>
      </c>
      <c r="N2799" s="128">
        <v>279835.5</v>
      </c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</row>
    <row r="2800">
      <c r="A2800" s="125" t="s">
        <v>466</v>
      </c>
      <c r="B2800" s="125" t="s">
        <v>625</v>
      </c>
      <c r="C2800" s="125" t="s">
        <v>463</v>
      </c>
      <c r="D2800" s="125" t="s">
        <v>454</v>
      </c>
      <c r="E2800" s="125" t="s">
        <v>464</v>
      </c>
      <c r="F2800" s="126">
        <v>40476.0</v>
      </c>
      <c r="G2800" s="127">
        <v>8.56E8</v>
      </c>
      <c r="H2800" s="126">
        <v>40520.0</v>
      </c>
      <c r="I2800" s="128">
        <v>5438.0</v>
      </c>
      <c r="J2800" s="128">
        <v>205.7</v>
      </c>
      <c r="K2800" s="128">
        <v>117.11</v>
      </c>
      <c r="L2800" s="128">
        <v>1118597.0</v>
      </c>
      <c r="M2800" s="128">
        <v>636844.2</v>
      </c>
      <c r="N2800" s="128">
        <v>481752.4</v>
      </c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</row>
    <row r="2801">
      <c r="A2801" s="125" t="s">
        <v>469</v>
      </c>
      <c r="B2801" s="125" t="s">
        <v>589</v>
      </c>
      <c r="C2801" s="125" t="s">
        <v>453</v>
      </c>
      <c r="D2801" s="125" t="s">
        <v>457</v>
      </c>
      <c r="E2801" s="125" t="s">
        <v>284</v>
      </c>
      <c r="F2801" s="126">
        <v>41478.0</v>
      </c>
      <c r="G2801" s="127">
        <v>4.08E8</v>
      </c>
      <c r="H2801" s="126">
        <v>41482.0</v>
      </c>
      <c r="I2801" s="128">
        <v>1539.0</v>
      </c>
      <c r="J2801" s="128">
        <v>255.28</v>
      </c>
      <c r="K2801" s="128">
        <v>159.42</v>
      </c>
      <c r="L2801" s="128">
        <v>392875.9</v>
      </c>
      <c r="M2801" s="128">
        <v>245347.4</v>
      </c>
      <c r="N2801" s="128">
        <v>147528.5</v>
      </c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</row>
    <row r="2802">
      <c r="A2802" s="125" t="s">
        <v>475</v>
      </c>
      <c r="B2802" s="125" t="s">
        <v>602</v>
      </c>
      <c r="C2802" s="125" t="s">
        <v>514</v>
      </c>
      <c r="D2802" s="125" t="s">
        <v>454</v>
      </c>
      <c r="E2802" s="125" t="s">
        <v>284</v>
      </c>
      <c r="F2802" s="126">
        <v>42357.0</v>
      </c>
      <c r="G2802" s="127">
        <v>7.69E8</v>
      </c>
      <c r="H2802" s="126">
        <v>42373.0</v>
      </c>
      <c r="I2802" s="128">
        <v>6352.0</v>
      </c>
      <c r="J2802" s="128">
        <v>668.27</v>
      </c>
      <c r="K2802" s="128">
        <v>502.54</v>
      </c>
      <c r="L2802" s="128">
        <v>4244851.0</v>
      </c>
      <c r="M2802" s="128">
        <v>3192134.0</v>
      </c>
      <c r="N2802" s="128">
        <v>1052717.0</v>
      </c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</row>
    <row r="2803">
      <c r="A2803" s="125" t="s">
        <v>466</v>
      </c>
      <c r="B2803" s="125" t="s">
        <v>491</v>
      </c>
      <c r="C2803" s="125" t="s">
        <v>485</v>
      </c>
      <c r="D2803" s="125" t="s">
        <v>454</v>
      </c>
      <c r="E2803" s="125" t="s">
        <v>472</v>
      </c>
      <c r="F2803" s="126">
        <v>41012.0</v>
      </c>
      <c r="G2803" s="127">
        <v>8.39E8</v>
      </c>
      <c r="H2803" s="126">
        <v>41049.0</v>
      </c>
      <c r="I2803" s="128">
        <v>9881.0</v>
      </c>
      <c r="J2803" s="128">
        <v>421.89</v>
      </c>
      <c r="K2803" s="128">
        <v>364.69</v>
      </c>
      <c r="L2803" s="128">
        <v>4168695.0</v>
      </c>
      <c r="M2803" s="128">
        <v>3603502.0</v>
      </c>
      <c r="N2803" s="128">
        <v>565193.2</v>
      </c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</row>
    <row r="2804">
      <c r="A2804" s="125" t="s">
        <v>469</v>
      </c>
      <c r="B2804" s="125" t="s">
        <v>503</v>
      </c>
      <c r="C2804" s="125" t="s">
        <v>478</v>
      </c>
      <c r="D2804" s="125" t="s">
        <v>454</v>
      </c>
      <c r="E2804" s="125" t="s">
        <v>464</v>
      </c>
      <c r="F2804" s="126">
        <v>41266.0</v>
      </c>
      <c r="G2804" s="127">
        <v>9.39E8</v>
      </c>
      <c r="H2804" s="126">
        <v>41304.0</v>
      </c>
      <c r="I2804" s="128">
        <v>4164.0</v>
      </c>
      <c r="J2804" s="128">
        <v>651.21</v>
      </c>
      <c r="K2804" s="128">
        <v>524.96</v>
      </c>
      <c r="L2804" s="128">
        <v>2711638.0</v>
      </c>
      <c r="M2804" s="128">
        <v>2185933.0</v>
      </c>
      <c r="N2804" s="128">
        <v>525705.0</v>
      </c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</row>
    <row r="2805">
      <c r="A2805" s="125" t="s">
        <v>475</v>
      </c>
      <c r="B2805" s="125" t="s">
        <v>562</v>
      </c>
      <c r="C2805" s="125" t="s">
        <v>514</v>
      </c>
      <c r="D2805" s="125" t="s">
        <v>457</v>
      </c>
      <c r="E2805" s="125" t="s">
        <v>464</v>
      </c>
      <c r="F2805" s="126">
        <v>40412.0</v>
      </c>
      <c r="G2805" s="127">
        <v>5.58E8</v>
      </c>
      <c r="H2805" s="126">
        <v>40440.0</v>
      </c>
      <c r="I2805" s="128">
        <v>8266.0</v>
      </c>
      <c r="J2805" s="128">
        <v>668.27</v>
      </c>
      <c r="K2805" s="128">
        <v>502.54</v>
      </c>
      <c r="L2805" s="128">
        <v>5523920.0</v>
      </c>
      <c r="M2805" s="128">
        <v>4153996.0</v>
      </c>
      <c r="N2805" s="128">
        <v>1369924.0</v>
      </c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</row>
    <row r="2806">
      <c r="A2806" s="125" t="s">
        <v>458</v>
      </c>
      <c r="B2806" s="125" t="s">
        <v>597</v>
      </c>
      <c r="C2806" s="125" t="s">
        <v>453</v>
      </c>
      <c r="D2806" s="125" t="s">
        <v>454</v>
      </c>
      <c r="E2806" s="125" t="s">
        <v>284</v>
      </c>
      <c r="F2806" s="126">
        <v>41666.0</v>
      </c>
      <c r="G2806" s="127">
        <v>6.08E8</v>
      </c>
      <c r="H2806" s="126">
        <v>41699.0</v>
      </c>
      <c r="I2806" s="128">
        <v>3287.0</v>
      </c>
      <c r="J2806" s="128">
        <v>255.28</v>
      </c>
      <c r="K2806" s="128">
        <v>159.42</v>
      </c>
      <c r="L2806" s="128">
        <v>839105.4</v>
      </c>
      <c r="M2806" s="128">
        <v>524013.5</v>
      </c>
      <c r="N2806" s="128">
        <v>315091.8</v>
      </c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</row>
    <row r="2807">
      <c r="A2807" s="125" t="s">
        <v>466</v>
      </c>
      <c r="B2807" s="125" t="s">
        <v>531</v>
      </c>
      <c r="C2807" s="125" t="s">
        <v>485</v>
      </c>
      <c r="D2807" s="125" t="s">
        <v>457</v>
      </c>
      <c r="E2807" s="125" t="s">
        <v>472</v>
      </c>
      <c r="F2807" s="126">
        <v>41718.0</v>
      </c>
      <c r="G2807" s="127">
        <v>2.71E8</v>
      </c>
      <c r="H2807" s="126">
        <v>41729.0</v>
      </c>
      <c r="I2807" s="128">
        <v>7356.0</v>
      </c>
      <c r="J2807" s="128">
        <v>421.89</v>
      </c>
      <c r="K2807" s="128">
        <v>364.69</v>
      </c>
      <c r="L2807" s="128">
        <v>3103423.0</v>
      </c>
      <c r="M2807" s="128">
        <v>2682660.0</v>
      </c>
      <c r="N2807" s="128">
        <v>420763.2</v>
      </c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</row>
    <row r="2808">
      <c r="A2808" s="125" t="s">
        <v>461</v>
      </c>
      <c r="B2808" s="125" t="s">
        <v>595</v>
      </c>
      <c r="C2808" s="125" t="s">
        <v>456</v>
      </c>
      <c r="D2808" s="125" t="s">
        <v>457</v>
      </c>
      <c r="E2808" s="125" t="s">
        <v>472</v>
      </c>
      <c r="F2808" s="126">
        <v>40413.0</v>
      </c>
      <c r="G2808" s="127">
        <v>1.48E8</v>
      </c>
      <c r="H2808" s="126">
        <v>40453.0</v>
      </c>
      <c r="I2808" s="128">
        <v>636.0</v>
      </c>
      <c r="J2808" s="128">
        <v>152.58</v>
      </c>
      <c r="K2808" s="128">
        <v>97.44</v>
      </c>
      <c r="L2808" s="128">
        <v>97040.88</v>
      </c>
      <c r="M2808" s="128">
        <v>61971.84</v>
      </c>
      <c r="N2808" s="128">
        <v>35069.04</v>
      </c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</row>
    <row r="2809">
      <c r="A2809" s="125" t="s">
        <v>458</v>
      </c>
      <c r="B2809" s="125" t="s">
        <v>652</v>
      </c>
      <c r="C2809" s="125" t="s">
        <v>460</v>
      </c>
      <c r="D2809" s="125" t="s">
        <v>454</v>
      </c>
      <c r="E2809" s="125" t="s">
        <v>189</v>
      </c>
      <c r="F2809" s="126">
        <v>42134.0</v>
      </c>
      <c r="G2809" s="127">
        <v>9.11E8</v>
      </c>
      <c r="H2809" s="126">
        <v>42165.0</v>
      </c>
      <c r="I2809" s="128">
        <v>317.0</v>
      </c>
      <c r="J2809" s="128">
        <v>47.45</v>
      </c>
      <c r="K2809" s="128">
        <v>31.79</v>
      </c>
      <c r="L2809" s="128">
        <v>15041.65</v>
      </c>
      <c r="M2809" s="128">
        <v>10077.43</v>
      </c>
      <c r="N2809" s="128">
        <v>4964.22</v>
      </c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</row>
    <row r="2810">
      <c r="A2810" s="125" t="s">
        <v>475</v>
      </c>
      <c r="B2810" s="125" t="s">
        <v>575</v>
      </c>
      <c r="C2810" s="125" t="s">
        <v>463</v>
      </c>
      <c r="D2810" s="125" t="s">
        <v>454</v>
      </c>
      <c r="E2810" s="125" t="s">
        <v>284</v>
      </c>
      <c r="F2810" s="126">
        <v>40587.0</v>
      </c>
      <c r="G2810" s="127">
        <v>1.52E8</v>
      </c>
      <c r="H2810" s="126">
        <v>40597.0</v>
      </c>
      <c r="I2810" s="128">
        <v>5625.0</v>
      </c>
      <c r="J2810" s="128">
        <v>205.7</v>
      </c>
      <c r="K2810" s="128">
        <v>117.11</v>
      </c>
      <c r="L2810" s="128">
        <v>1157063.0</v>
      </c>
      <c r="M2810" s="128">
        <v>658743.8</v>
      </c>
      <c r="N2810" s="128">
        <v>498318.8</v>
      </c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</row>
    <row r="2811">
      <c r="A2811" s="125" t="s">
        <v>475</v>
      </c>
      <c r="B2811" s="125" t="s">
        <v>640</v>
      </c>
      <c r="C2811" s="125" t="s">
        <v>494</v>
      </c>
      <c r="D2811" s="125" t="s">
        <v>457</v>
      </c>
      <c r="E2811" s="125" t="s">
        <v>464</v>
      </c>
      <c r="F2811" s="126">
        <v>42317.0</v>
      </c>
      <c r="G2811" s="127">
        <v>9.33E8</v>
      </c>
      <c r="H2811" s="126">
        <v>42361.0</v>
      </c>
      <c r="I2811" s="128">
        <v>2813.0</v>
      </c>
      <c r="J2811" s="128">
        <v>9.33</v>
      </c>
      <c r="K2811" s="128">
        <v>6.92</v>
      </c>
      <c r="L2811" s="128">
        <v>26245.29</v>
      </c>
      <c r="M2811" s="128">
        <v>19465.96</v>
      </c>
      <c r="N2811" s="128">
        <v>6779.33</v>
      </c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</row>
    <row r="2812">
      <c r="A2812" s="125" t="s">
        <v>461</v>
      </c>
      <c r="B2812" s="125" t="s">
        <v>629</v>
      </c>
      <c r="C2812" s="125" t="s">
        <v>468</v>
      </c>
      <c r="D2812" s="125" t="s">
        <v>457</v>
      </c>
      <c r="E2812" s="125" t="s">
        <v>189</v>
      </c>
      <c r="F2812" s="126">
        <v>40426.0</v>
      </c>
      <c r="G2812" s="127">
        <v>5.38E8</v>
      </c>
      <c r="H2812" s="126">
        <v>40433.0</v>
      </c>
      <c r="I2812" s="128">
        <v>167.0</v>
      </c>
      <c r="J2812" s="128">
        <v>81.73</v>
      </c>
      <c r="K2812" s="128">
        <v>56.67</v>
      </c>
      <c r="L2812" s="128">
        <v>13648.91</v>
      </c>
      <c r="M2812" s="128">
        <v>9463.89</v>
      </c>
      <c r="N2812" s="128">
        <v>4185.02</v>
      </c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</row>
    <row r="2813">
      <c r="A2813" s="125" t="s">
        <v>458</v>
      </c>
      <c r="B2813" s="125" t="s">
        <v>641</v>
      </c>
      <c r="C2813" s="125" t="s">
        <v>456</v>
      </c>
      <c r="D2813" s="125" t="s">
        <v>457</v>
      </c>
      <c r="E2813" s="125" t="s">
        <v>464</v>
      </c>
      <c r="F2813" s="126">
        <v>40852.0</v>
      </c>
      <c r="G2813" s="127">
        <v>8.2E8</v>
      </c>
      <c r="H2813" s="126">
        <v>40871.0</v>
      </c>
      <c r="I2813" s="128">
        <v>3006.0</v>
      </c>
      <c r="J2813" s="128">
        <v>152.58</v>
      </c>
      <c r="K2813" s="128">
        <v>97.44</v>
      </c>
      <c r="L2813" s="128">
        <v>458655.5</v>
      </c>
      <c r="M2813" s="128">
        <v>292904.6</v>
      </c>
      <c r="N2813" s="128">
        <v>165750.8</v>
      </c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</row>
    <row r="2814">
      <c r="A2814" s="125" t="s">
        <v>466</v>
      </c>
      <c r="B2814" s="125" t="s">
        <v>524</v>
      </c>
      <c r="C2814" s="125" t="s">
        <v>463</v>
      </c>
      <c r="D2814" s="125" t="s">
        <v>454</v>
      </c>
      <c r="E2814" s="125" t="s">
        <v>472</v>
      </c>
      <c r="F2814" s="126">
        <v>41626.0</v>
      </c>
      <c r="G2814" s="127">
        <v>5.52E8</v>
      </c>
      <c r="H2814" s="126">
        <v>41633.0</v>
      </c>
      <c r="I2814" s="128">
        <v>8678.0</v>
      </c>
      <c r="J2814" s="128">
        <v>205.7</v>
      </c>
      <c r="K2814" s="128">
        <v>117.11</v>
      </c>
      <c r="L2814" s="128">
        <v>1785065.0</v>
      </c>
      <c r="M2814" s="128">
        <v>1016281.0</v>
      </c>
      <c r="N2814" s="128">
        <v>768784.0</v>
      </c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</row>
    <row r="2815">
      <c r="A2815" s="125" t="s">
        <v>458</v>
      </c>
      <c r="B2815" s="125" t="s">
        <v>590</v>
      </c>
      <c r="C2815" s="125" t="s">
        <v>471</v>
      </c>
      <c r="D2815" s="125" t="s">
        <v>454</v>
      </c>
      <c r="E2815" s="125" t="s">
        <v>472</v>
      </c>
      <c r="F2815" s="126">
        <v>42549.0</v>
      </c>
      <c r="G2815" s="127">
        <v>3.78E8</v>
      </c>
      <c r="H2815" s="126">
        <v>42590.0</v>
      </c>
      <c r="I2815" s="128">
        <v>1562.0</v>
      </c>
      <c r="J2815" s="128">
        <v>109.28</v>
      </c>
      <c r="K2815" s="128">
        <v>35.84</v>
      </c>
      <c r="L2815" s="128">
        <v>170695.4</v>
      </c>
      <c r="M2815" s="128">
        <v>55982.08</v>
      </c>
      <c r="N2815" s="128">
        <v>114713.3</v>
      </c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</row>
    <row r="2816">
      <c r="A2816" s="125" t="s">
        <v>466</v>
      </c>
      <c r="B2816" s="125" t="s">
        <v>625</v>
      </c>
      <c r="C2816" s="125" t="s">
        <v>460</v>
      </c>
      <c r="D2816" s="125" t="s">
        <v>454</v>
      </c>
      <c r="E2816" s="125" t="s">
        <v>472</v>
      </c>
      <c r="F2816" s="126">
        <v>41044.0</v>
      </c>
      <c r="G2816" s="127">
        <v>5.62E8</v>
      </c>
      <c r="H2816" s="126">
        <v>41094.0</v>
      </c>
      <c r="I2816" s="128">
        <v>8070.0</v>
      </c>
      <c r="J2816" s="128">
        <v>47.45</v>
      </c>
      <c r="K2816" s="128">
        <v>31.79</v>
      </c>
      <c r="L2816" s="128">
        <v>382921.5</v>
      </c>
      <c r="M2816" s="128">
        <v>256545.3</v>
      </c>
      <c r="N2816" s="128">
        <v>126376.2</v>
      </c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</row>
    <row r="2817">
      <c r="A2817" s="125" t="s">
        <v>458</v>
      </c>
      <c r="B2817" s="125" t="s">
        <v>573</v>
      </c>
      <c r="C2817" s="125" t="s">
        <v>471</v>
      </c>
      <c r="D2817" s="125" t="s">
        <v>454</v>
      </c>
      <c r="E2817" s="125" t="s">
        <v>284</v>
      </c>
      <c r="F2817" s="126">
        <v>41841.0</v>
      </c>
      <c r="G2817" s="127">
        <v>5.39E8</v>
      </c>
      <c r="H2817" s="126">
        <v>41843.0</v>
      </c>
      <c r="I2817" s="128">
        <v>1645.0</v>
      </c>
      <c r="J2817" s="128">
        <v>109.28</v>
      </c>
      <c r="K2817" s="128">
        <v>35.84</v>
      </c>
      <c r="L2817" s="128">
        <v>179765.6</v>
      </c>
      <c r="M2817" s="128">
        <v>58956.8</v>
      </c>
      <c r="N2817" s="128">
        <v>120808.8</v>
      </c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</row>
    <row r="2818">
      <c r="A2818" s="125" t="s">
        <v>461</v>
      </c>
      <c r="B2818" s="125" t="s">
        <v>618</v>
      </c>
      <c r="C2818" s="125" t="s">
        <v>494</v>
      </c>
      <c r="D2818" s="125" t="s">
        <v>454</v>
      </c>
      <c r="E2818" s="125" t="s">
        <v>464</v>
      </c>
      <c r="F2818" s="126">
        <v>41759.0</v>
      </c>
      <c r="G2818" s="127">
        <v>2.63E8</v>
      </c>
      <c r="H2818" s="126">
        <v>41792.0</v>
      </c>
      <c r="I2818" s="128">
        <v>7759.0</v>
      </c>
      <c r="J2818" s="128">
        <v>9.33</v>
      </c>
      <c r="K2818" s="128">
        <v>6.92</v>
      </c>
      <c r="L2818" s="128">
        <v>72391.47</v>
      </c>
      <c r="M2818" s="128">
        <v>53692.28</v>
      </c>
      <c r="N2818" s="128">
        <v>18699.19</v>
      </c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</row>
    <row r="2819">
      <c r="A2819" s="125" t="s">
        <v>458</v>
      </c>
      <c r="B2819" s="125" t="s">
        <v>541</v>
      </c>
      <c r="C2819" s="125" t="s">
        <v>478</v>
      </c>
      <c r="D2819" s="125" t="s">
        <v>454</v>
      </c>
      <c r="E2819" s="125" t="s">
        <v>189</v>
      </c>
      <c r="F2819" s="126">
        <v>42155.0</v>
      </c>
      <c r="G2819" s="127">
        <v>6.59E8</v>
      </c>
      <c r="H2819" s="126">
        <v>42166.0</v>
      </c>
      <c r="I2819" s="128">
        <v>8918.0</v>
      </c>
      <c r="J2819" s="128">
        <v>651.21</v>
      </c>
      <c r="K2819" s="128">
        <v>524.96</v>
      </c>
      <c r="L2819" s="128">
        <v>5807491.0</v>
      </c>
      <c r="M2819" s="128">
        <v>4681593.0</v>
      </c>
      <c r="N2819" s="128">
        <v>1125898.0</v>
      </c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</row>
    <row r="2820">
      <c r="A2820" s="125" t="s">
        <v>466</v>
      </c>
      <c r="B2820" s="125" t="s">
        <v>492</v>
      </c>
      <c r="C2820" s="125" t="s">
        <v>453</v>
      </c>
      <c r="D2820" s="125" t="s">
        <v>454</v>
      </c>
      <c r="E2820" s="125" t="s">
        <v>464</v>
      </c>
      <c r="F2820" s="126">
        <v>42009.0</v>
      </c>
      <c r="G2820" s="127">
        <v>4.73E8</v>
      </c>
      <c r="H2820" s="126">
        <v>42031.0</v>
      </c>
      <c r="I2820" s="128">
        <v>9657.0</v>
      </c>
      <c r="J2820" s="128">
        <v>255.28</v>
      </c>
      <c r="K2820" s="128">
        <v>159.42</v>
      </c>
      <c r="L2820" s="128">
        <v>2465239.0</v>
      </c>
      <c r="M2820" s="128">
        <v>1539519.0</v>
      </c>
      <c r="N2820" s="128">
        <v>925720.0</v>
      </c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</row>
    <row r="2821">
      <c r="A2821" s="125" t="s">
        <v>458</v>
      </c>
      <c r="B2821" s="125" t="s">
        <v>626</v>
      </c>
      <c r="C2821" s="125" t="s">
        <v>460</v>
      </c>
      <c r="D2821" s="125" t="s">
        <v>454</v>
      </c>
      <c r="E2821" s="125" t="s">
        <v>472</v>
      </c>
      <c r="F2821" s="126">
        <v>42074.0</v>
      </c>
      <c r="G2821" s="127">
        <v>3.2E8</v>
      </c>
      <c r="H2821" s="126">
        <v>42111.0</v>
      </c>
      <c r="I2821" s="128">
        <v>1545.0</v>
      </c>
      <c r="J2821" s="128">
        <v>47.45</v>
      </c>
      <c r="K2821" s="128">
        <v>31.79</v>
      </c>
      <c r="L2821" s="128">
        <v>73310.25</v>
      </c>
      <c r="M2821" s="128">
        <v>49115.55</v>
      </c>
      <c r="N2821" s="128">
        <v>24194.7</v>
      </c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</row>
    <row r="2822">
      <c r="A2822" s="125" t="s">
        <v>475</v>
      </c>
      <c r="B2822" s="125" t="s">
        <v>572</v>
      </c>
      <c r="C2822" s="125" t="s">
        <v>471</v>
      </c>
      <c r="D2822" s="125" t="s">
        <v>454</v>
      </c>
      <c r="E2822" s="125" t="s">
        <v>189</v>
      </c>
      <c r="F2822" s="126">
        <v>40725.0</v>
      </c>
      <c r="G2822" s="127">
        <v>4.37E8</v>
      </c>
      <c r="H2822" s="126">
        <v>40768.0</v>
      </c>
      <c r="I2822" s="128">
        <v>8180.0</v>
      </c>
      <c r="J2822" s="128">
        <v>109.28</v>
      </c>
      <c r="K2822" s="128">
        <v>35.84</v>
      </c>
      <c r="L2822" s="128">
        <v>893910.4</v>
      </c>
      <c r="M2822" s="128">
        <v>293171.2</v>
      </c>
      <c r="N2822" s="128">
        <v>600739.2</v>
      </c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</row>
    <row r="2823">
      <c r="A2823" s="125" t="s">
        <v>458</v>
      </c>
      <c r="B2823" s="125" t="s">
        <v>551</v>
      </c>
      <c r="C2823" s="125" t="s">
        <v>506</v>
      </c>
      <c r="D2823" s="125" t="s">
        <v>457</v>
      </c>
      <c r="E2823" s="125" t="s">
        <v>464</v>
      </c>
      <c r="F2823" s="126">
        <v>40875.0</v>
      </c>
      <c r="G2823" s="127">
        <v>2.29E8</v>
      </c>
      <c r="H2823" s="126">
        <v>40887.0</v>
      </c>
      <c r="I2823" s="128">
        <v>192.0</v>
      </c>
      <c r="J2823" s="128">
        <v>154.06</v>
      </c>
      <c r="K2823" s="128">
        <v>90.93</v>
      </c>
      <c r="L2823" s="128">
        <v>29579.52</v>
      </c>
      <c r="M2823" s="128">
        <v>17458.56</v>
      </c>
      <c r="N2823" s="128">
        <v>12120.96</v>
      </c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</row>
    <row r="2824">
      <c r="A2824" s="125" t="s">
        <v>461</v>
      </c>
      <c r="B2824" s="125" t="s">
        <v>581</v>
      </c>
      <c r="C2824" s="125" t="s">
        <v>453</v>
      </c>
      <c r="D2824" s="125" t="s">
        <v>457</v>
      </c>
      <c r="E2824" s="125" t="s">
        <v>284</v>
      </c>
      <c r="F2824" s="126">
        <v>40295.0</v>
      </c>
      <c r="G2824" s="127">
        <v>5.24E8</v>
      </c>
      <c r="H2824" s="126">
        <v>40329.0</v>
      </c>
      <c r="I2824" s="128">
        <v>241.0</v>
      </c>
      <c r="J2824" s="128">
        <v>255.28</v>
      </c>
      <c r="K2824" s="128">
        <v>159.42</v>
      </c>
      <c r="L2824" s="128">
        <v>61522.48</v>
      </c>
      <c r="M2824" s="128">
        <v>38420.22</v>
      </c>
      <c r="N2824" s="128">
        <v>23102.26</v>
      </c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</row>
    <row r="2825">
      <c r="A2825" s="125" t="s">
        <v>475</v>
      </c>
      <c r="B2825" s="125" t="s">
        <v>624</v>
      </c>
      <c r="C2825" s="125" t="s">
        <v>478</v>
      </c>
      <c r="D2825" s="125" t="s">
        <v>457</v>
      </c>
      <c r="E2825" s="125" t="s">
        <v>472</v>
      </c>
      <c r="F2825" s="126">
        <v>41292.0</v>
      </c>
      <c r="G2825" s="127">
        <v>4.18E8</v>
      </c>
      <c r="H2825" s="126">
        <v>41324.0</v>
      </c>
      <c r="I2825" s="128">
        <v>8021.0</v>
      </c>
      <c r="J2825" s="128">
        <v>651.21</v>
      </c>
      <c r="K2825" s="128">
        <v>524.96</v>
      </c>
      <c r="L2825" s="128">
        <v>5223355.0</v>
      </c>
      <c r="M2825" s="128">
        <v>4210704.0</v>
      </c>
      <c r="N2825" s="128">
        <v>1012651.0</v>
      </c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</row>
    <row r="2826">
      <c r="A2826" s="125" t="s">
        <v>469</v>
      </c>
      <c r="B2826" s="125" t="s">
        <v>650</v>
      </c>
      <c r="C2826" s="125" t="s">
        <v>456</v>
      </c>
      <c r="D2826" s="125" t="s">
        <v>454</v>
      </c>
      <c r="E2826" s="125" t="s">
        <v>472</v>
      </c>
      <c r="F2826" s="126">
        <v>41032.0</v>
      </c>
      <c r="G2826" s="127">
        <v>4.28E8</v>
      </c>
      <c r="H2826" s="126">
        <v>41078.0</v>
      </c>
      <c r="I2826" s="128">
        <v>5254.0</v>
      </c>
      <c r="J2826" s="128">
        <v>152.58</v>
      </c>
      <c r="K2826" s="128">
        <v>97.44</v>
      </c>
      <c r="L2826" s="128">
        <v>801655.3</v>
      </c>
      <c r="M2826" s="128">
        <v>511949.8</v>
      </c>
      <c r="N2826" s="128">
        <v>289705.6</v>
      </c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</row>
    <row r="2827">
      <c r="A2827" s="125" t="s">
        <v>451</v>
      </c>
      <c r="B2827" s="125" t="s">
        <v>497</v>
      </c>
      <c r="C2827" s="125" t="s">
        <v>471</v>
      </c>
      <c r="D2827" s="125" t="s">
        <v>457</v>
      </c>
      <c r="E2827" s="125" t="s">
        <v>464</v>
      </c>
      <c r="F2827" s="126">
        <v>41217.0</v>
      </c>
      <c r="G2827" s="127">
        <v>2.42E8</v>
      </c>
      <c r="H2827" s="126">
        <v>41219.0</v>
      </c>
      <c r="I2827" s="128">
        <v>697.0</v>
      </c>
      <c r="J2827" s="128">
        <v>109.28</v>
      </c>
      <c r="K2827" s="128">
        <v>35.84</v>
      </c>
      <c r="L2827" s="128">
        <v>76168.16</v>
      </c>
      <c r="M2827" s="128">
        <v>24980.48</v>
      </c>
      <c r="N2827" s="128">
        <v>51187.68</v>
      </c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</row>
    <row r="2828">
      <c r="A2828" s="125" t="s">
        <v>451</v>
      </c>
      <c r="B2828" s="125" t="s">
        <v>620</v>
      </c>
      <c r="C2828" s="125" t="s">
        <v>480</v>
      </c>
      <c r="D2828" s="125" t="s">
        <v>457</v>
      </c>
      <c r="E2828" s="125" t="s">
        <v>472</v>
      </c>
      <c r="F2828" s="126">
        <v>41174.0</v>
      </c>
      <c r="G2828" s="127">
        <v>9.68E8</v>
      </c>
      <c r="H2828" s="126">
        <v>41217.0</v>
      </c>
      <c r="I2828" s="128">
        <v>5134.0</v>
      </c>
      <c r="J2828" s="128">
        <v>437.2</v>
      </c>
      <c r="K2828" s="128">
        <v>263.33</v>
      </c>
      <c r="L2828" s="128">
        <v>2244585.0</v>
      </c>
      <c r="M2828" s="128">
        <v>1351936.0</v>
      </c>
      <c r="N2828" s="128">
        <v>892648.6</v>
      </c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</row>
    <row r="2829">
      <c r="A2829" s="125" t="s">
        <v>466</v>
      </c>
      <c r="B2829" s="125" t="s">
        <v>496</v>
      </c>
      <c r="C2829" s="125" t="s">
        <v>468</v>
      </c>
      <c r="D2829" s="125" t="s">
        <v>457</v>
      </c>
      <c r="E2829" s="125" t="s">
        <v>284</v>
      </c>
      <c r="F2829" s="126">
        <v>42002.0</v>
      </c>
      <c r="G2829" s="127">
        <v>1.84E8</v>
      </c>
      <c r="H2829" s="126">
        <v>42047.0</v>
      </c>
      <c r="I2829" s="128">
        <v>6383.0</v>
      </c>
      <c r="J2829" s="128">
        <v>81.73</v>
      </c>
      <c r="K2829" s="128">
        <v>56.67</v>
      </c>
      <c r="L2829" s="128">
        <v>521682.6</v>
      </c>
      <c r="M2829" s="128">
        <v>361724.6</v>
      </c>
      <c r="N2829" s="128">
        <v>159958.0</v>
      </c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</row>
    <row r="2830">
      <c r="A2830" s="125" t="s">
        <v>475</v>
      </c>
      <c r="B2830" s="125" t="s">
        <v>512</v>
      </c>
      <c r="C2830" s="125" t="s">
        <v>471</v>
      </c>
      <c r="D2830" s="125" t="s">
        <v>454</v>
      </c>
      <c r="E2830" s="125" t="s">
        <v>189</v>
      </c>
      <c r="F2830" s="126">
        <v>42419.0</v>
      </c>
      <c r="G2830" s="127">
        <v>4.88E8</v>
      </c>
      <c r="H2830" s="126">
        <v>42419.0</v>
      </c>
      <c r="I2830" s="128">
        <v>4294.0</v>
      </c>
      <c r="J2830" s="128">
        <v>109.28</v>
      </c>
      <c r="K2830" s="128">
        <v>35.84</v>
      </c>
      <c r="L2830" s="128">
        <v>469248.3</v>
      </c>
      <c r="M2830" s="128">
        <v>153897.0</v>
      </c>
      <c r="N2830" s="128">
        <v>315351.4</v>
      </c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</row>
    <row r="2831">
      <c r="A2831" s="125" t="s">
        <v>458</v>
      </c>
      <c r="B2831" s="125" t="s">
        <v>613</v>
      </c>
      <c r="C2831" s="125" t="s">
        <v>460</v>
      </c>
      <c r="D2831" s="125" t="s">
        <v>457</v>
      </c>
      <c r="E2831" s="125" t="s">
        <v>464</v>
      </c>
      <c r="F2831" s="126">
        <v>42921.0</v>
      </c>
      <c r="G2831" s="127">
        <v>9.5E8</v>
      </c>
      <c r="H2831" s="126">
        <v>42961.0</v>
      </c>
      <c r="I2831" s="128">
        <v>5745.0</v>
      </c>
      <c r="J2831" s="128">
        <v>47.45</v>
      </c>
      <c r="K2831" s="128">
        <v>31.79</v>
      </c>
      <c r="L2831" s="128">
        <v>272600.3</v>
      </c>
      <c r="M2831" s="128">
        <v>182633.6</v>
      </c>
      <c r="N2831" s="128">
        <v>89966.7</v>
      </c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</row>
    <row r="2832">
      <c r="A2832" s="125" t="s">
        <v>469</v>
      </c>
      <c r="B2832" s="125" t="s">
        <v>519</v>
      </c>
      <c r="C2832" s="125" t="s">
        <v>456</v>
      </c>
      <c r="D2832" s="125" t="s">
        <v>454</v>
      </c>
      <c r="E2832" s="125" t="s">
        <v>284</v>
      </c>
      <c r="F2832" s="126">
        <v>41623.0</v>
      </c>
      <c r="G2832" s="127">
        <v>2.58E8</v>
      </c>
      <c r="H2832" s="126">
        <v>41629.0</v>
      </c>
      <c r="I2832" s="128">
        <v>9648.0</v>
      </c>
      <c r="J2832" s="128">
        <v>152.58</v>
      </c>
      <c r="K2832" s="128">
        <v>97.44</v>
      </c>
      <c r="L2832" s="128">
        <v>1472092.0</v>
      </c>
      <c r="M2832" s="128">
        <v>940101.1</v>
      </c>
      <c r="N2832" s="128">
        <v>531990.7</v>
      </c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</row>
    <row r="2833">
      <c r="A2833" s="125" t="s">
        <v>461</v>
      </c>
      <c r="B2833" s="125" t="s">
        <v>525</v>
      </c>
      <c r="C2833" s="125" t="s">
        <v>485</v>
      </c>
      <c r="D2833" s="125" t="s">
        <v>454</v>
      </c>
      <c r="E2833" s="125" t="s">
        <v>464</v>
      </c>
      <c r="F2833" s="126">
        <v>41178.0</v>
      </c>
      <c r="G2833" s="127">
        <v>7.72E8</v>
      </c>
      <c r="H2833" s="126">
        <v>41211.0</v>
      </c>
      <c r="I2833" s="128">
        <v>1946.0</v>
      </c>
      <c r="J2833" s="128">
        <v>421.89</v>
      </c>
      <c r="K2833" s="128">
        <v>364.69</v>
      </c>
      <c r="L2833" s="128">
        <v>820997.9</v>
      </c>
      <c r="M2833" s="128">
        <v>709686.7</v>
      </c>
      <c r="N2833" s="128">
        <v>111311.2</v>
      </c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</row>
    <row r="2834">
      <c r="A2834" s="125" t="s">
        <v>458</v>
      </c>
      <c r="B2834" s="125" t="s">
        <v>518</v>
      </c>
      <c r="C2834" s="125" t="s">
        <v>514</v>
      </c>
      <c r="D2834" s="125" t="s">
        <v>454</v>
      </c>
      <c r="E2834" s="125" t="s">
        <v>284</v>
      </c>
      <c r="F2834" s="126">
        <v>41863.0</v>
      </c>
      <c r="G2834" s="127">
        <v>8.71E8</v>
      </c>
      <c r="H2834" s="126">
        <v>41876.0</v>
      </c>
      <c r="I2834" s="128">
        <v>611.0</v>
      </c>
      <c r="J2834" s="128">
        <v>668.27</v>
      </c>
      <c r="K2834" s="128">
        <v>502.54</v>
      </c>
      <c r="L2834" s="128">
        <v>408313.0</v>
      </c>
      <c r="M2834" s="128">
        <v>307051.9</v>
      </c>
      <c r="N2834" s="128">
        <v>101261.0</v>
      </c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</row>
    <row r="2835">
      <c r="A2835" s="125" t="s">
        <v>458</v>
      </c>
      <c r="B2835" s="125" t="s">
        <v>559</v>
      </c>
      <c r="C2835" s="125" t="s">
        <v>453</v>
      </c>
      <c r="D2835" s="125" t="s">
        <v>454</v>
      </c>
      <c r="E2835" s="125" t="s">
        <v>189</v>
      </c>
      <c r="F2835" s="126">
        <v>40196.0</v>
      </c>
      <c r="G2835" s="127">
        <v>8.06E8</v>
      </c>
      <c r="H2835" s="126">
        <v>40227.0</v>
      </c>
      <c r="I2835" s="128">
        <v>649.0</v>
      </c>
      <c r="J2835" s="128">
        <v>255.28</v>
      </c>
      <c r="K2835" s="128">
        <v>159.42</v>
      </c>
      <c r="L2835" s="128">
        <v>165676.7</v>
      </c>
      <c r="M2835" s="128">
        <v>103463.6</v>
      </c>
      <c r="N2835" s="128">
        <v>62213.14</v>
      </c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</row>
    <row r="2836">
      <c r="A2836" s="125" t="s">
        <v>451</v>
      </c>
      <c r="B2836" s="125" t="s">
        <v>497</v>
      </c>
      <c r="C2836" s="125" t="s">
        <v>463</v>
      </c>
      <c r="D2836" s="125" t="s">
        <v>454</v>
      </c>
      <c r="E2836" s="125" t="s">
        <v>464</v>
      </c>
      <c r="F2836" s="126">
        <v>41380.0</v>
      </c>
      <c r="G2836" s="127">
        <v>4.47E8</v>
      </c>
      <c r="H2836" s="126">
        <v>41413.0</v>
      </c>
      <c r="I2836" s="128">
        <v>9097.0</v>
      </c>
      <c r="J2836" s="128">
        <v>205.7</v>
      </c>
      <c r="K2836" s="128">
        <v>117.11</v>
      </c>
      <c r="L2836" s="128">
        <v>1871253.0</v>
      </c>
      <c r="M2836" s="128">
        <v>1065350.0</v>
      </c>
      <c r="N2836" s="128">
        <v>805903.2</v>
      </c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</row>
    <row r="2837">
      <c r="A2837" s="125" t="s">
        <v>451</v>
      </c>
      <c r="B2837" s="125" t="s">
        <v>482</v>
      </c>
      <c r="C2837" s="125" t="s">
        <v>468</v>
      </c>
      <c r="D2837" s="125" t="s">
        <v>457</v>
      </c>
      <c r="E2837" s="125" t="s">
        <v>189</v>
      </c>
      <c r="F2837" s="126">
        <v>41327.0</v>
      </c>
      <c r="G2837" s="127">
        <v>6.35E8</v>
      </c>
      <c r="H2837" s="126">
        <v>41330.0</v>
      </c>
      <c r="I2837" s="128">
        <v>20.0</v>
      </c>
      <c r="J2837" s="128">
        <v>81.73</v>
      </c>
      <c r="K2837" s="128">
        <v>56.67</v>
      </c>
      <c r="L2837" s="128">
        <v>1634.6</v>
      </c>
      <c r="M2837" s="128">
        <v>1133.4</v>
      </c>
      <c r="N2837" s="128">
        <v>501.2</v>
      </c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</row>
    <row r="2838">
      <c r="A2838" s="125" t="s">
        <v>475</v>
      </c>
      <c r="B2838" s="125" t="s">
        <v>591</v>
      </c>
      <c r="C2838" s="125" t="s">
        <v>471</v>
      </c>
      <c r="D2838" s="125" t="s">
        <v>454</v>
      </c>
      <c r="E2838" s="125" t="s">
        <v>284</v>
      </c>
      <c r="F2838" s="126">
        <v>41869.0</v>
      </c>
      <c r="G2838" s="127">
        <v>9.3E8</v>
      </c>
      <c r="H2838" s="126">
        <v>41912.0</v>
      </c>
      <c r="I2838" s="128">
        <v>9519.0</v>
      </c>
      <c r="J2838" s="128">
        <v>109.28</v>
      </c>
      <c r="K2838" s="128">
        <v>35.84</v>
      </c>
      <c r="L2838" s="128">
        <v>1040236.0</v>
      </c>
      <c r="M2838" s="128">
        <v>341161.0</v>
      </c>
      <c r="N2838" s="128">
        <v>699075.4</v>
      </c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</row>
    <row r="2839">
      <c r="A2839" s="125" t="s">
        <v>475</v>
      </c>
      <c r="B2839" s="125" t="s">
        <v>521</v>
      </c>
      <c r="C2839" s="125" t="s">
        <v>494</v>
      </c>
      <c r="D2839" s="125" t="s">
        <v>457</v>
      </c>
      <c r="E2839" s="125" t="s">
        <v>189</v>
      </c>
      <c r="F2839" s="126">
        <v>41080.0</v>
      </c>
      <c r="G2839" s="127">
        <v>9.64E8</v>
      </c>
      <c r="H2839" s="126">
        <v>41114.0</v>
      </c>
      <c r="I2839" s="128">
        <v>722.0</v>
      </c>
      <c r="J2839" s="128">
        <v>9.33</v>
      </c>
      <c r="K2839" s="128">
        <v>6.92</v>
      </c>
      <c r="L2839" s="128">
        <v>6736.26</v>
      </c>
      <c r="M2839" s="128">
        <v>4996.24</v>
      </c>
      <c r="N2839" s="128">
        <v>1740.02</v>
      </c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</row>
    <row r="2840">
      <c r="A2840" s="125" t="s">
        <v>469</v>
      </c>
      <c r="B2840" s="125" t="s">
        <v>503</v>
      </c>
      <c r="C2840" s="125" t="s">
        <v>480</v>
      </c>
      <c r="D2840" s="125" t="s">
        <v>457</v>
      </c>
      <c r="E2840" s="125" t="s">
        <v>472</v>
      </c>
      <c r="F2840" s="126">
        <v>40187.0</v>
      </c>
      <c r="G2840" s="127">
        <v>8.89E8</v>
      </c>
      <c r="H2840" s="126">
        <v>40217.0</v>
      </c>
      <c r="I2840" s="128">
        <v>8792.0</v>
      </c>
      <c r="J2840" s="128">
        <v>437.2</v>
      </c>
      <c r="K2840" s="128">
        <v>263.33</v>
      </c>
      <c r="L2840" s="128">
        <v>3843862.0</v>
      </c>
      <c r="M2840" s="128">
        <v>2315197.0</v>
      </c>
      <c r="N2840" s="128">
        <v>1528665.0</v>
      </c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</row>
    <row r="2841">
      <c r="A2841" s="125" t="s">
        <v>458</v>
      </c>
      <c r="B2841" s="125" t="s">
        <v>590</v>
      </c>
      <c r="C2841" s="125" t="s">
        <v>460</v>
      </c>
      <c r="D2841" s="125" t="s">
        <v>457</v>
      </c>
      <c r="E2841" s="125" t="s">
        <v>472</v>
      </c>
      <c r="F2841" s="126">
        <v>42190.0</v>
      </c>
      <c r="G2841" s="127">
        <v>9.26E8</v>
      </c>
      <c r="H2841" s="126">
        <v>42206.0</v>
      </c>
      <c r="I2841" s="128">
        <v>5919.0</v>
      </c>
      <c r="J2841" s="128">
        <v>47.45</v>
      </c>
      <c r="K2841" s="128">
        <v>31.79</v>
      </c>
      <c r="L2841" s="128">
        <v>280856.6</v>
      </c>
      <c r="M2841" s="128">
        <v>188165.0</v>
      </c>
      <c r="N2841" s="128">
        <v>92691.54</v>
      </c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</row>
    <row r="2842">
      <c r="A2842" s="125" t="s">
        <v>461</v>
      </c>
      <c r="B2842" s="125" t="s">
        <v>556</v>
      </c>
      <c r="C2842" s="125" t="s">
        <v>478</v>
      </c>
      <c r="D2842" s="125" t="s">
        <v>454</v>
      </c>
      <c r="E2842" s="125" t="s">
        <v>472</v>
      </c>
      <c r="F2842" s="126">
        <v>42179.0</v>
      </c>
      <c r="G2842" s="127">
        <v>9.18E8</v>
      </c>
      <c r="H2842" s="126">
        <v>42225.0</v>
      </c>
      <c r="I2842" s="128">
        <v>6329.0</v>
      </c>
      <c r="J2842" s="128">
        <v>651.21</v>
      </c>
      <c r="K2842" s="128">
        <v>524.96</v>
      </c>
      <c r="L2842" s="128">
        <v>4121508.0</v>
      </c>
      <c r="M2842" s="128">
        <v>3322472.0</v>
      </c>
      <c r="N2842" s="128">
        <v>799036.3</v>
      </c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</row>
    <row r="2843">
      <c r="A2843" s="125" t="s">
        <v>469</v>
      </c>
      <c r="B2843" s="125" t="s">
        <v>630</v>
      </c>
      <c r="C2843" s="125" t="s">
        <v>460</v>
      </c>
      <c r="D2843" s="125" t="s">
        <v>454</v>
      </c>
      <c r="E2843" s="125" t="s">
        <v>472</v>
      </c>
      <c r="F2843" s="126">
        <v>42549.0</v>
      </c>
      <c r="G2843" s="127">
        <v>7.77E8</v>
      </c>
      <c r="H2843" s="126">
        <v>42556.0</v>
      </c>
      <c r="I2843" s="128">
        <v>1276.0</v>
      </c>
      <c r="J2843" s="128">
        <v>47.45</v>
      </c>
      <c r="K2843" s="128">
        <v>31.79</v>
      </c>
      <c r="L2843" s="128">
        <v>60546.2</v>
      </c>
      <c r="M2843" s="128">
        <v>40564.04</v>
      </c>
      <c r="N2843" s="128">
        <v>19982.16</v>
      </c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</row>
    <row r="2844">
      <c r="A2844" s="125" t="s">
        <v>458</v>
      </c>
      <c r="B2844" s="125" t="s">
        <v>614</v>
      </c>
      <c r="C2844" s="125" t="s">
        <v>506</v>
      </c>
      <c r="D2844" s="125" t="s">
        <v>457</v>
      </c>
      <c r="E2844" s="125" t="s">
        <v>464</v>
      </c>
      <c r="F2844" s="126">
        <v>40551.0</v>
      </c>
      <c r="G2844" s="127">
        <v>9.37E8</v>
      </c>
      <c r="H2844" s="126">
        <v>40555.0</v>
      </c>
      <c r="I2844" s="128">
        <v>4046.0</v>
      </c>
      <c r="J2844" s="128">
        <v>154.06</v>
      </c>
      <c r="K2844" s="128">
        <v>90.93</v>
      </c>
      <c r="L2844" s="128">
        <v>623326.8</v>
      </c>
      <c r="M2844" s="128">
        <v>367902.8</v>
      </c>
      <c r="N2844" s="128">
        <v>255424.0</v>
      </c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</row>
    <row r="2845">
      <c r="A2845" s="125" t="s">
        <v>475</v>
      </c>
      <c r="B2845" s="125" t="s">
        <v>561</v>
      </c>
      <c r="C2845" s="125" t="s">
        <v>514</v>
      </c>
      <c r="D2845" s="125" t="s">
        <v>457</v>
      </c>
      <c r="E2845" s="125" t="s">
        <v>284</v>
      </c>
      <c r="F2845" s="126">
        <v>40741.0</v>
      </c>
      <c r="G2845" s="127">
        <v>9.99E8</v>
      </c>
      <c r="H2845" s="126">
        <v>40769.0</v>
      </c>
      <c r="I2845" s="128">
        <v>4956.0</v>
      </c>
      <c r="J2845" s="128">
        <v>668.27</v>
      </c>
      <c r="K2845" s="128">
        <v>502.54</v>
      </c>
      <c r="L2845" s="128">
        <v>3311946.0</v>
      </c>
      <c r="M2845" s="128">
        <v>2490588.0</v>
      </c>
      <c r="N2845" s="128">
        <v>821357.9</v>
      </c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</row>
    <row r="2846">
      <c r="A2846" s="125" t="s">
        <v>488</v>
      </c>
      <c r="B2846" s="125" t="s">
        <v>654</v>
      </c>
      <c r="C2846" s="125" t="s">
        <v>514</v>
      </c>
      <c r="D2846" s="125" t="s">
        <v>454</v>
      </c>
      <c r="E2846" s="125" t="s">
        <v>284</v>
      </c>
      <c r="F2846" s="126">
        <v>42532.0</v>
      </c>
      <c r="G2846" s="127">
        <v>1.88E8</v>
      </c>
      <c r="H2846" s="126">
        <v>42564.0</v>
      </c>
      <c r="I2846" s="128">
        <v>6355.0</v>
      </c>
      <c r="J2846" s="128">
        <v>668.27</v>
      </c>
      <c r="K2846" s="128">
        <v>502.54</v>
      </c>
      <c r="L2846" s="128">
        <v>4246856.0</v>
      </c>
      <c r="M2846" s="128">
        <v>3193642.0</v>
      </c>
      <c r="N2846" s="128">
        <v>1053214.0</v>
      </c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</row>
    <row r="2847">
      <c r="A2847" s="125" t="s">
        <v>458</v>
      </c>
      <c r="B2847" s="125" t="s">
        <v>554</v>
      </c>
      <c r="C2847" s="125" t="s">
        <v>480</v>
      </c>
      <c r="D2847" s="125" t="s">
        <v>454</v>
      </c>
      <c r="E2847" s="125" t="s">
        <v>472</v>
      </c>
      <c r="F2847" s="126">
        <v>41576.0</v>
      </c>
      <c r="G2847" s="127">
        <v>4.98E8</v>
      </c>
      <c r="H2847" s="126">
        <v>41585.0</v>
      </c>
      <c r="I2847" s="128">
        <v>7623.0</v>
      </c>
      <c r="J2847" s="128">
        <v>437.2</v>
      </c>
      <c r="K2847" s="128">
        <v>263.33</v>
      </c>
      <c r="L2847" s="128">
        <v>3332776.0</v>
      </c>
      <c r="M2847" s="128">
        <v>2007365.0</v>
      </c>
      <c r="N2847" s="128">
        <v>1325411.0</v>
      </c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</row>
    <row r="2848">
      <c r="A2848" s="125" t="s">
        <v>458</v>
      </c>
      <c r="B2848" s="125" t="s">
        <v>559</v>
      </c>
      <c r="C2848" s="125" t="s">
        <v>456</v>
      </c>
      <c r="D2848" s="125" t="s">
        <v>457</v>
      </c>
      <c r="E2848" s="125" t="s">
        <v>472</v>
      </c>
      <c r="F2848" s="126">
        <v>42212.0</v>
      </c>
      <c r="G2848" s="127">
        <v>8.43E8</v>
      </c>
      <c r="H2848" s="126">
        <v>42227.0</v>
      </c>
      <c r="I2848" s="128">
        <v>171.0</v>
      </c>
      <c r="J2848" s="128">
        <v>152.58</v>
      </c>
      <c r="K2848" s="128">
        <v>97.44</v>
      </c>
      <c r="L2848" s="128">
        <v>26091.18</v>
      </c>
      <c r="M2848" s="128">
        <v>16662.24</v>
      </c>
      <c r="N2848" s="128">
        <v>9428.94</v>
      </c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</row>
    <row r="2849">
      <c r="A2849" s="125" t="s">
        <v>461</v>
      </c>
      <c r="B2849" s="125" t="s">
        <v>638</v>
      </c>
      <c r="C2849" s="125" t="s">
        <v>494</v>
      </c>
      <c r="D2849" s="125" t="s">
        <v>457</v>
      </c>
      <c r="E2849" s="125" t="s">
        <v>284</v>
      </c>
      <c r="F2849" s="126">
        <v>42254.0</v>
      </c>
      <c r="G2849" s="127">
        <v>2.06E8</v>
      </c>
      <c r="H2849" s="126">
        <v>42300.0</v>
      </c>
      <c r="I2849" s="128">
        <v>2442.0</v>
      </c>
      <c r="J2849" s="128">
        <v>9.33</v>
      </c>
      <c r="K2849" s="128">
        <v>6.92</v>
      </c>
      <c r="L2849" s="128">
        <v>22783.86</v>
      </c>
      <c r="M2849" s="128">
        <v>16898.64</v>
      </c>
      <c r="N2849" s="128">
        <v>5885.22</v>
      </c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</row>
    <row r="2850">
      <c r="A2850" s="125" t="s">
        <v>475</v>
      </c>
      <c r="B2850" s="125" t="s">
        <v>640</v>
      </c>
      <c r="C2850" s="125" t="s">
        <v>456</v>
      </c>
      <c r="D2850" s="125" t="s">
        <v>454</v>
      </c>
      <c r="E2850" s="125" t="s">
        <v>284</v>
      </c>
      <c r="F2850" s="126">
        <v>42670.0</v>
      </c>
      <c r="G2850" s="127">
        <v>7.94E8</v>
      </c>
      <c r="H2850" s="126">
        <v>42677.0</v>
      </c>
      <c r="I2850" s="128">
        <v>4909.0</v>
      </c>
      <c r="J2850" s="128">
        <v>152.58</v>
      </c>
      <c r="K2850" s="128">
        <v>97.44</v>
      </c>
      <c r="L2850" s="128">
        <v>749015.2</v>
      </c>
      <c r="M2850" s="128">
        <v>478333.0</v>
      </c>
      <c r="N2850" s="128">
        <v>270682.3</v>
      </c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</row>
    <row r="2851">
      <c r="A2851" s="125" t="s">
        <v>475</v>
      </c>
      <c r="B2851" s="125" t="s">
        <v>605</v>
      </c>
      <c r="C2851" s="125" t="s">
        <v>506</v>
      </c>
      <c r="D2851" s="125" t="s">
        <v>457</v>
      </c>
      <c r="E2851" s="125" t="s">
        <v>472</v>
      </c>
      <c r="F2851" s="126">
        <v>40668.0</v>
      </c>
      <c r="G2851" s="127">
        <v>3.8E8</v>
      </c>
      <c r="H2851" s="126">
        <v>40714.0</v>
      </c>
      <c r="I2851" s="128">
        <v>5076.0</v>
      </c>
      <c r="J2851" s="128">
        <v>154.06</v>
      </c>
      <c r="K2851" s="128">
        <v>90.93</v>
      </c>
      <c r="L2851" s="128">
        <v>782008.6</v>
      </c>
      <c r="M2851" s="128">
        <v>461560.7</v>
      </c>
      <c r="N2851" s="128">
        <v>320447.9</v>
      </c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</row>
    <row r="2852">
      <c r="A2852" s="125" t="s">
        <v>466</v>
      </c>
      <c r="B2852" s="125" t="s">
        <v>580</v>
      </c>
      <c r="C2852" s="125" t="s">
        <v>471</v>
      </c>
      <c r="D2852" s="125" t="s">
        <v>457</v>
      </c>
      <c r="E2852" s="125" t="s">
        <v>189</v>
      </c>
      <c r="F2852" s="126">
        <v>42145.0</v>
      </c>
      <c r="G2852" s="127">
        <v>8.61E8</v>
      </c>
      <c r="H2852" s="126">
        <v>42165.0</v>
      </c>
      <c r="I2852" s="128">
        <v>2481.0</v>
      </c>
      <c r="J2852" s="128">
        <v>109.28</v>
      </c>
      <c r="K2852" s="128">
        <v>35.84</v>
      </c>
      <c r="L2852" s="128">
        <v>271123.7</v>
      </c>
      <c r="M2852" s="128">
        <v>88919.04</v>
      </c>
      <c r="N2852" s="128">
        <v>182204.6</v>
      </c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</row>
    <row r="2853">
      <c r="A2853" s="125" t="s">
        <v>475</v>
      </c>
      <c r="B2853" s="125" t="s">
        <v>585</v>
      </c>
      <c r="C2853" s="125" t="s">
        <v>514</v>
      </c>
      <c r="D2853" s="125" t="s">
        <v>454</v>
      </c>
      <c r="E2853" s="125" t="s">
        <v>464</v>
      </c>
      <c r="F2853" s="126">
        <v>40936.0</v>
      </c>
      <c r="G2853" s="127">
        <v>6.01E8</v>
      </c>
      <c r="H2853" s="126">
        <v>40965.0</v>
      </c>
      <c r="I2853" s="128">
        <v>3690.0</v>
      </c>
      <c r="J2853" s="128">
        <v>668.27</v>
      </c>
      <c r="K2853" s="128">
        <v>502.54</v>
      </c>
      <c r="L2853" s="128">
        <v>2465916.0</v>
      </c>
      <c r="M2853" s="128">
        <v>1854373.0</v>
      </c>
      <c r="N2853" s="128">
        <v>611543.7</v>
      </c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</row>
    <row r="2854">
      <c r="A2854" s="125" t="s">
        <v>461</v>
      </c>
      <c r="B2854" s="125" t="s">
        <v>522</v>
      </c>
      <c r="C2854" s="125" t="s">
        <v>480</v>
      </c>
      <c r="D2854" s="125" t="s">
        <v>457</v>
      </c>
      <c r="E2854" s="125" t="s">
        <v>464</v>
      </c>
      <c r="F2854" s="126">
        <v>42333.0</v>
      </c>
      <c r="G2854" s="127">
        <v>2.88E8</v>
      </c>
      <c r="H2854" s="126">
        <v>42364.0</v>
      </c>
      <c r="I2854" s="128">
        <v>7303.0</v>
      </c>
      <c r="J2854" s="128">
        <v>437.2</v>
      </c>
      <c r="K2854" s="128">
        <v>263.33</v>
      </c>
      <c r="L2854" s="128">
        <v>3192872.0</v>
      </c>
      <c r="M2854" s="128">
        <v>1923099.0</v>
      </c>
      <c r="N2854" s="128">
        <v>1269773.0</v>
      </c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</row>
    <row r="2855">
      <c r="A2855" s="125" t="s">
        <v>461</v>
      </c>
      <c r="B2855" s="125" t="s">
        <v>525</v>
      </c>
      <c r="C2855" s="125" t="s">
        <v>478</v>
      </c>
      <c r="D2855" s="125" t="s">
        <v>454</v>
      </c>
      <c r="E2855" s="125" t="s">
        <v>189</v>
      </c>
      <c r="F2855" s="126">
        <v>42333.0</v>
      </c>
      <c r="G2855" s="127">
        <v>6.76E8</v>
      </c>
      <c r="H2855" s="126">
        <v>42359.0</v>
      </c>
      <c r="I2855" s="128">
        <v>8948.0</v>
      </c>
      <c r="J2855" s="128">
        <v>651.21</v>
      </c>
      <c r="K2855" s="128">
        <v>524.96</v>
      </c>
      <c r="L2855" s="128">
        <v>5827027.0</v>
      </c>
      <c r="M2855" s="128">
        <v>4697342.0</v>
      </c>
      <c r="N2855" s="128">
        <v>1129685.0</v>
      </c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</row>
    <row r="2856">
      <c r="A2856" s="125" t="s">
        <v>458</v>
      </c>
      <c r="B2856" s="125" t="s">
        <v>540</v>
      </c>
      <c r="C2856" s="125" t="s">
        <v>478</v>
      </c>
      <c r="D2856" s="125" t="s">
        <v>454</v>
      </c>
      <c r="E2856" s="125" t="s">
        <v>464</v>
      </c>
      <c r="F2856" s="126">
        <v>42856.0</v>
      </c>
      <c r="G2856" s="127">
        <v>3.44E8</v>
      </c>
      <c r="H2856" s="126">
        <v>42883.0</v>
      </c>
      <c r="I2856" s="128">
        <v>6287.0</v>
      </c>
      <c r="J2856" s="128">
        <v>651.21</v>
      </c>
      <c r="K2856" s="128">
        <v>524.96</v>
      </c>
      <c r="L2856" s="128">
        <v>4094157.0</v>
      </c>
      <c r="M2856" s="128">
        <v>3300424.0</v>
      </c>
      <c r="N2856" s="128">
        <v>793733.8</v>
      </c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</row>
    <row r="2857">
      <c r="A2857" s="125" t="s">
        <v>458</v>
      </c>
      <c r="B2857" s="125" t="s">
        <v>653</v>
      </c>
      <c r="C2857" s="125" t="s">
        <v>506</v>
      </c>
      <c r="D2857" s="125" t="s">
        <v>454</v>
      </c>
      <c r="E2857" s="125" t="s">
        <v>284</v>
      </c>
      <c r="F2857" s="126">
        <v>42061.0</v>
      </c>
      <c r="G2857" s="127">
        <v>6.37E8</v>
      </c>
      <c r="H2857" s="126">
        <v>42095.0</v>
      </c>
      <c r="I2857" s="128">
        <v>4013.0</v>
      </c>
      <c r="J2857" s="128">
        <v>154.06</v>
      </c>
      <c r="K2857" s="128">
        <v>90.93</v>
      </c>
      <c r="L2857" s="128">
        <v>618242.8</v>
      </c>
      <c r="M2857" s="128">
        <v>364902.1</v>
      </c>
      <c r="N2857" s="128">
        <v>253340.7</v>
      </c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</row>
    <row r="2858">
      <c r="A2858" s="125" t="s">
        <v>461</v>
      </c>
      <c r="B2858" s="125" t="s">
        <v>576</v>
      </c>
      <c r="C2858" s="125" t="s">
        <v>471</v>
      </c>
      <c r="D2858" s="125" t="s">
        <v>454</v>
      </c>
      <c r="E2858" s="125" t="s">
        <v>464</v>
      </c>
      <c r="F2858" s="126">
        <v>41262.0</v>
      </c>
      <c r="G2858" s="127">
        <v>7.23E8</v>
      </c>
      <c r="H2858" s="126">
        <v>41272.0</v>
      </c>
      <c r="I2858" s="128">
        <v>8849.0</v>
      </c>
      <c r="J2858" s="128">
        <v>109.28</v>
      </c>
      <c r="K2858" s="128">
        <v>35.84</v>
      </c>
      <c r="L2858" s="128">
        <v>967018.7</v>
      </c>
      <c r="M2858" s="128">
        <v>317148.2</v>
      </c>
      <c r="N2858" s="128">
        <v>649870.6</v>
      </c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</row>
    <row r="2859">
      <c r="A2859" s="125" t="s">
        <v>475</v>
      </c>
      <c r="B2859" s="125" t="s">
        <v>571</v>
      </c>
      <c r="C2859" s="125" t="s">
        <v>456</v>
      </c>
      <c r="D2859" s="125" t="s">
        <v>454</v>
      </c>
      <c r="E2859" s="125" t="s">
        <v>464</v>
      </c>
      <c r="F2859" s="126">
        <v>40779.0</v>
      </c>
      <c r="G2859" s="127">
        <v>7.4E8</v>
      </c>
      <c r="H2859" s="126">
        <v>40787.0</v>
      </c>
      <c r="I2859" s="128">
        <v>4551.0</v>
      </c>
      <c r="J2859" s="128">
        <v>152.58</v>
      </c>
      <c r="K2859" s="128">
        <v>97.44</v>
      </c>
      <c r="L2859" s="128">
        <v>694391.6</v>
      </c>
      <c r="M2859" s="128">
        <v>443449.4</v>
      </c>
      <c r="N2859" s="128">
        <v>250942.1</v>
      </c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</row>
    <row r="2860">
      <c r="A2860" s="125" t="s">
        <v>458</v>
      </c>
      <c r="B2860" s="125" t="s">
        <v>459</v>
      </c>
      <c r="C2860" s="125" t="s">
        <v>463</v>
      </c>
      <c r="D2860" s="125" t="s">
        <v>454</v>
      </c>
      <c r="E2860" s="125" t="s">
        <v>472</v>
      </c>
      <c r="F2860" s="126">
        <v>41321.0</v>
      </c>
      <c r="G2860" s="127">
        <v>4.45E8</v>
      </c>
      <c r="H2860" s="126">
        <v>41365.0</v>
      </c>
      <c r="I2860" s="128">
        <v>6903.0</v>
      </c>
      <c r="J2860" s="128">
        <v>205.7</v>
      </c>
      <c r="K2860" s="128">
        <v>117.11</v>
      </c>
      <c r="L2860" s="128">
        <v>1419947.0</v>
      </c>
      <c r="M2860" s="128">
        <v>808410.3</v>
      </c>
      <c r="N2860" s="128">
        <v>611536.8</v>
      </c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</row>
    <row r="2861">
      <c r="A2861" s="125" t="s">
        <v>461</v>
      </c>
      <c r="B2861" s="125" t="s">
        <v>638</v>
      </c>
      <c r="C2861" s="125" t="s">
        <v>506</v>
      </c>
      <c r="D2861" s="125" t="s">
        <v>454</v>
      </c>
      <c r="E2861" s="125" t="s">
        <v>472</v>
      </c>
      <c r="F2861" s="126">
        <v>42603.0</v>
      </c>
      <c r="G2861" s="127">
        <v>5.66E8</v>
      </c>
      <c r="H2861" s="126">
        <v>42622.0</v>
      </c>
      <c r="I2861" s="128">
        <v>8724.0</v>
      </c>
      <c r="J2861" s="128">
        <v>154.06</v>
      </c>
      <c r="K2861" s="128">
        <v>90.93</v>
      </c>
      <c r="L2861" s="128">
        <v>1344019.0</v>
      </c>
      <c r="M2861" s="128">
        <v>793273.3</v>
      </c>
      <c r="N2861" s="128">
        <v>550746.1</v>
      </c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</row>
    <row r="2862">
      <c r="A2862" s="125" t="s">
        <v>475</v>
      </c>
      <c r="B2862" s="125" t="s">
        <v>628</v>
      </c>
      <c r="C2862" s="125" t="s">
        <v>453</v>
      </c>
      <c r="D2862" s="125" t="s">
        <v>454</v>
      </c>
      <c r="E2862" s="125" t="s">
        <v>472</v>
      </c>
      <c r="F2862" s="126">
        <v>41964.0</v>
      </c>
      <c r="G2862" s="127">
        <v>5.53E8</v>
      </c>
      <c r="H2862" s="126">
        <v>41966.0</v>
      </c>
      <c r="I2862" s="128">
        <v>4862.0</v>
      </c>
      <c r="J2862" s="128">
        <v>255.28</v>
      </c>
      <c r="K2862" s="128">
        <v>159.42</v>
      </c>
      <c r="L2862" s="128">
        <v>1241171.0</v>
      </c>
      <c r="M2862" s="128">
        <v>775100.0</v>
      </c>
      <c r="N2862" s="128">
        <v>466071.3</v>
      </c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</row>
    <row r="2863">
      <c r="A2863" s="125" t="s">
        <v>451</v>
      </c>
      <c r="B2863" s="125" t="s">
        <v>592</v>
      </c>
      <c r="C2863" s="125" t="s">
        <v>471</v>
      </c>
      <c r="D2863" s="125" t="s">
        <v>457</v>
      </c>
      <c r="E2863" s="125" t="s">
        <v>284</v>
      </c>
      <c r="F2863" s="126">
        <v>41278.0</v>
      </c>
      <c r="G2863" s="127">
        <v>8.24E8</v>
      </c>
      <c r="H2863" s="126">
        <v>41327.0</v>
      </c>
      <c r="I2863" s="128">
        <v>7197.0</v>
      </c>
      <c r="J2863" s="128">
        <v>109.28</v>
      </c>
      <c r="K2863" s="128">
        <v>35.84</v>
      </c>
      <c r="L2863" s="128">
        <v>786488.2</v>
      </c>
      <c r="M2863" s="128">
        <v>257940.5</v>
      </c>
      <c r="N2863" s="128">
        <v>528547.7</v>
      </c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</row>
    <row r="2864">
      <c r="A2864" s="125" t="s">
        <v>458</v>
      </c>
      <c r="B2864" s="125" t="s">
        <v>540</v>
      </c>
      <c r="C2864" s="125" t="s">
        <v>456</v>
      </c>
      <c r="D2864" s="125" t="s">
        <v>454</v>
      </c>
      <c r="E2864" s="125" t="s">
        <v>189</v>
      </c>
      <c r="F2864" s="126">
        <v>42812.0</v>
      </c>
      <c r="G2864" s="127">
        <v>5.17E8</v>
      </c>
      <c r="H2864" s="126">
        <v>42839.0</v>
      </c>
      <c r="I2864" s="128">
        <v>9640.0</v>
      </c>
      <c r="J2864" s="128">
        <v>152.58</v>
      </c>
      <c r="K2864" s="128">
        <v>97.44</v>
      </c>
      <c r="L2864" s="128">
        <v>1470871.0</v>
      </c>
      <c r="M2864" s="128">
        <v>939321.6</v>
      </c>
      <c r="N2864" s="128">
        <v>531549.6</v>
      </c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</row>
    <row r="2865">
      <c r="A2865" s="125" t="s">
        <v>458</v>
      </c>
      <c r="B2865" s="125" t="s">
        <v>529</v>
      </c>
      <c r="C2865" s="125" t="s">
        <v>460</v>
      </c>
      <c r="D2865" s="125" t="s">
        <v>457</v>
      </c>
      <c r="E2865" s="125" t="s">
        <v>189</v>
      </c>
      <c r="F2865" s="126">
        <v>42304.0</v>
      </c>
      <c r="G2865" s="127">
        <v>6.43E8</v>
      </c>
      <c r="H2865" s="126">
        <v>42347.0</v>
      </c>
      <c r="I2865" s="128">
        <v>3134.0</v>
      </c>
      <c r="J2865" s="128">
        <v>47.45</v>
      </c>
      <c r="K2865" s="128">
        <v>31.79</v>
      </c>
      <c r="L2865" s="128">
        <v>148708.3</v>
      </c>
      <c r="M2865" s="128">
        <v>99629.86</v>
      </c>
      <c r="N2865" s="128">
        <v>49078.44</v>
      </c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</row>
    <row r="2866">
      <c r="A2866" s="125" t="s">
        <v>461</v>
      </c>
      <c r="B2866" s="125" t="s">
        <v>629</v>
      </c>
      <c r="C2866" s="125" t="s">
        <v>460</v>
      </c>
      <c r="D2866" s="125" t="s">
        <v>454</v>
      </c>
      <c r="E2866" s="125" t="s">
        <v>189</v>
      </c>
      <c r="F2866" s="126">
        <v>41413.0</v>
      </c>
      <c r="G2866" s="127">
        <v>9.31E8</v>
      </c>
      <c r="H2866" s="126">
        <v>41429.0</v>
      </c>
      <c r="I2866" s="128">
        <v>651.0</v>
      </c>
      <c r="J2866" s="128">
        <v>47.45</v>
      </c>
      <c r="K2866" s="128">
        <v>31.79</v>
      </c>
      <c r="L2866" s="128">
        <v>30889.95</v>
      </c>
      <c r="M2866" s="128">
        <v>20695.29</v>
      </c>
      <c r="N2866" s="128">
        <v>10194.66</v>
      </c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</row>
    <row r="2867">
      <c r="A2867" s="125" t="s">
        <v>475</v>
      </c>
      <c r="B2867" s="125" t="s">
        <v>521</v>
      </c>
      <c r="C2867" s="125" t="s">
        <v>506</v>
      </c>
      <c r="D2867" s="125" t="s">
        <v>457</v>
      </c>
      <c r="E2867" s="125" t="s">
        <v>464</v>
      </c>
      <c r="F2867" s="126">
        <v>40806.0</v>
      </c>
      <c r="G2867" s="127">
        <v>2.81E8</v>
      </c>
      <c r="H2867" s="126">
        <v>40812.0</v>
      </c>
      <c r="I2867" s="128">
        <v>2199.0</v>
      </c>
      <c r="J2867" s="128">
        <v>154.06</v>
      </c>
      <c r="K2867" s="128">
        <v>90.93</v>
      </c>
      <c r="L2867" s="128">
        <v>338777.9</v>
      </c>
      <c r="M2867" s="128">
        <v>199955.1</v>
      </c>
      <c r="N2867" s="128">
        <v>138822.9</v>
      </c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</row>
    <row r="2868">
      <c r="A2868" s="125" t="s">
        <v>461</v>
      </c>
      <c r="B2868" s="125" t="s">
        <v>556</v>
      </c>
      <c r="C2868" s="125" t="s">
        <v>453</v>
      </c>
      <c r="D2868" s="125" t="s">
        <v>457</v>
      </c>
      <c r="E2868" s="125" t="s">
        <v>284</v>
      </c>
      <c r="F2868" s="126">
        <v>41538.0</v>
      </c>
      <c r="G2868" s="127">
        <v>8.14E8</v>
      </c>
      <c r="H2868" s="126">
        <v>41573.0</v>
      </c>
      <c r="I2868" s="128">
        <v>9811.0</v>
      </c>
      <c r="J2868" s="128">
        <v>255.28</v>
      </c>
      <c r="K2868" s="128">
        <v>159.42</v>
      </c>
      <c r="L2868" s="128">
        <v>2504552.0</v>
      </c>
      <c r="M2868" s="128">
        <v>1564070.0</v>
      </c>
      <c r="N2868" s="128">
        <v>940482.5</v>
      </c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</row>
    <row r="2869">
      <c r="A2869" s="125" t="s">
        <v>475</v>
      </c>
      <c r="B2869" s="125" t="s">
        <v>536</v>
      </c>
      <c r="C2869" s="125" t="s">
        <v>494</v>
      </c>
      <c r="D2869" s="125" t="s">
        <v>457</v>
      </c>
      <c r="E2869" s="125" t="s">
        <v>472</v>
      </c>
      <c r="F2869" s="126">
        <v>40902.0</v>
      </c>
      <c r="G2869" s="127">
        <v>2.2E8</v>
      </c>
      <c r="H2869" s="126">
        <v>40913.0</v>
      </c>
      <c r="I2869" s="128">
        <v>2556.0</v>
      </c>
      <c r="J2869" s="128">
        <v>9.33</v>
      </c>
      <c r="K2869" s="128">
        <v>6.92</v>
      </c>
      <c r="L2869" s="128">
        <v>23847.48</v>
      </c>
      <c r="M2869" s="128">
        <v>17687.52</v>
      </c>
      <c r="N2869" s="128">
        <v>6159.96</v>
      </c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</row>
    <row r="2870">
      <c r="A2870" s="125" t="s">
        <v>469</v>
      </c>
      <c r="B2870" s="125" t="s">
        <v>503</v>
      </c>
      <c r="C2870" s="125" t="s">
        <v>456</v>
      </c>
      <c r="D2870" s="125" t="s">
        <v>457</v>
      </c>
      <c r="E2870" s="125" t="s">
        <v>472</v>
      </c>
      <c r="F2870" s="126">
        <v>42116.0</v>
      </c>
      <c r="G2870" s="127">
        <v>3.1E8</v>
      </c>
      <c r="H2870" s="126">
        <v>42125.0</v>
      </c>
      <c r="I2870" s="128">
        <v>1532.0</v>
      </c>
      <c r="J2870" s="128">
        <v>152.58</v>
      </c>
      <c r="K2870" s="128">
        <v>97.44</v>
      </c>
      <c r="L2870" s="128">
        <v>233752.6</v>
      </c>
      <c r="M2870" s="128">
        <v>149278.1</v>
      </c>
      <c r="N2870" s="128">
        <v>84474.48</v>
      </c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</row>
    <row r="2871">
      <c r="A2871" s="125" t="s">
        <v>458</v>
      </c>
      <c r="B2871" s="125" t="s">
        <v>541</v>
      </c>
      <c r="C2871" s="125" t="s">
        <v>456</v>
      </c>
      <c r="D2871" s="125" t="s">
        <v>457</v>
      </c>
      <c r="E2871" s="125" t="s">
        <v>189</v>
      </c>
      <c r="F2871" s="126">
        <v>41869.0</v>
      </c>
      <c r="G2871" s="127">
        <v>2.65E8</v>
      </c>
      <c r="H2871" s="126">
        <v>41908.0</v>
      </c>
      <c r="I2871" s="128">
        <v>4869.0</v>
      </c>
      <c r="J2871" s="128">
        <v>152.58</v>
      </c>
      <c r="K2871" s="128">
        <v>97.44</v>
      </c>
      <c r="L2871" s="128">
        <v>742912.0</v>
      </c>
      <c r="M2871" s="128">
        <v>474435.4</v>
      </c>
      <c r="N2871" s="128">
        <v>268476.7</v>
      </c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</row>
    <row r="2872">
      <c r="A2872" s="125" t="s">
        <v>451</v>
      </c>
      <c r="B2872" s="125" t="s">
        <v>546</v>
      </c>
      <c r="C2872" s="125" t="s">
        <v>456</v>
      </c>
      <c r="D2872" s="125" t="s">
        <v>457</v>
      </c>
      <c r="E2872" s="125" t="s">
        <v>464</v>
      </c>
      <c r="F2872" s="126">
        <v>42770.0</v>
      </c>
      <c r="G2872" s="127">
        <v>6.88E8</v>
      </c>
      <c r="H2872" s="126">
        <v>42796.0</v>
      </c>
      <c r="I2872" s="128">
        <v>2728.0</v>
      </c>
      <c r="J2872" s="128">
        <v>152.58</v>
      </c>
      <c r="K2872" s="128">
        <v>97.44</v>
      </c>
      <c r="L2872" s="128">
        <v>416238.2</v>
      </c>
      <c r="M2872" s="128">
        <v>265816.3</v>
      </c>
      <c r="N2872" s="128">
        <v>150421.9</v>
      </c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</row>
    <row r="2873">
      <c r="A2873" s="125" t="s">
        <v>451</v>
      </c>
      <c r="B2873" s="125" t="s">
        <v>609</v>
      </c>
      <c r="C2873" s="125" t="s">
        <v>514</v>
      </c>
      <c r="D2873" s="125" t="s">
        <v>457</v>
      </c>
      <c r="E2873" s="125" t="s">
        <v>284</v>
      </c>
      <c r="F2873" s="126">
        <v>40906.0</v>
      </c>
      <c r="G2873" s="127">
        <v>4.49E8</v>
      </c>
      <c r="H2873" s="126">
        <v>40940.0</v>
      </c>
      <c r="I2873" s="128">
        <v>2303.0</v>
      </c>
      <c r="J2873" s="128">
        <v>668.27</v>
      </c>
      <c r="K2873" s="128">
        <v>502.54</v>
      </c>
      <c r="L2873" s="128">
        <v>1539026.0</v>
      </c>
      <c r="M2873" s="128">
        <v>1157350.0</v>
      </c>
      <c r="N2873" s="128">
        <v>381676.2</v>
      </c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</row>
    <row r="2874">
      <c r="A2874" s="125" t="s">
        <v>469</v>
      </c>
      <c r="B2874" s="125" t="s">
        <v>569</v>
      </c>
      <c r="C2874" s="125" t="s">
        <v>453</v>
      </c>
      <c r="D2874" s="125" t="s">
        <v>454</v>
      </c>
      <c r="E2874" s="125" t="s">
        <v>464</v>
      </c>
      <c r="F2874" s="126">
        <v>41048.0</v>
      </c>
      <c r="G2874" s="127">
        <v>7.42E8</v>
      </c>
      <c r="H2874" s="126">
        <v>41087.0</v>
      </c>
      <c r="I2874" s="128">
        <v>2815.0</v>
      </c>
      <c r="J2874" s="128">
        <v>255.28</v>
      </c>
      <c r="K2874" s="128">
        <v>159.42</v>
      </c>
      <c r="L2874" s="128">
        <v>718613.2</v>
      </c>
      <c r="M2874" s="128">
        <v>448767.3</v>
      </c>
      <c r="N2874" s="128">
        <v>269845.9</v>
      </c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</row>
    <row r="2875">
      <c r="A2875" s="125" t="s">
        <v>458</v>
      </c>
      <c r="B2875" s="125" t="s">
        <v>540</v>
      </c>
      <c r="C2875" s="125" t="s">
        <v>478</v>
      </c>
      <c r="D2875" s="125" t="s">
        <v>454</v>
      </c>
      <c r="E2875" s="125" t="s">
        <v>464</v>
      </c>
      <c r="F2875" s="126">
        <v>41441.0</v>
      </c>
      <c r="G2875" s="127">
        <v>1.29E8</v>
      </c>
      <c r="H2875" s="126">
        <v>41445.0</v>
      </c>
      <c r="I2875" s="128">
        <v>520.0</v>
      </c>
      <c r="J2875" s="128">
        <v>651.21</v>
      </c>
      <c r="K2875" s="128">
        <v>524.96</v>
      </c>
      <c r="L2875" s="128">
        <v>338629.2</v>
      </c>
      <c r="M2875" s="128">
        <v>272979.2</v>
      </c>
      <c r="N2875" s="128">
        <v>65650.0</v>
      </c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</row>
    <row r="2876">
      <c r="A2876" s="125" t="s">
        <v>458</v>
      </c>
      <c r="B2876" s="125" t="s">
        <v>541</v>
      </c>
      <c r="C2876" s="125" t="s">
        <v>506</v>
      </c>
      <c r="D2876" s="125" t="s">
        <v>457</v>
      </c>
      <c r="E2876" s="125" t="s">
        <v>189</v>
      </c>
      <c r="F2876" s="126">
        <v>40719.0</v>
      </c>
      <c r="G2876" s="127">
        <v>3.93E8</v>
      </c>
      <c r="H2876" s="126">
        <v>40727.0</v>
      </c>
      <c r="I2876" s="128">
        <v>3705.0</v>
      </c>
      <c r="J2876" s="128">
        <v>154.06</v>
      </c>
      <c r="K2876" s="128">
        <v>90.93</v>
      </c>
      <c r="L2876" s="128">
        <v>570792.3</v>
      </c>
      <c r="M2876" s="128">
        <v>336895.7</v>
      </c>
      <c r="N2876" s="128">
        <v>233896.7</v>
      </c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</row>
    <row r="2877">
      <c r="A2877" s="125" t="s">
        <v>466</v>
      </c>
      <c r="B2877" s="125" t="s">
        <v>625</v>
      </c>
      <c r="C2877" s="125" t="s">
        <v>506</v>
      </c>
      <c r="D2877" s="125" t="s">
        <v>454</v>
      </c>
      <c r="E2877" s="125" t="s">
        <v>472</v>
      </c>
      <c r="F2877" s="126">
        <v>42056.0</v>
      </c>
      <c r="G2877" s="127">
        <v>6.86E8</v>
      </c>
      <c r="H2877" s="126">
        <v>42074.0</v>
      </c>
      <c r="I2877" s="128">
        <v>7687.0</v>
      </c>
      <c r="J2877" s="128">
        <v>154.06</v>
      </c>
      <c r="K2877" s="128">
        <v>90.93</v>
      </c>
      <c r="L2877" s="128">
        <v>1184259.0</v>
      </c>
      <c r="M2877" s="128">
        <v>698978.9</v>
      </c>
      <c r="N2877" s="128">
        <v>485280.3</v>
      </c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</row>
    <row r="2878">
      <c r="A2878" s="125" t="s">
        <v>451</v>
      </c>
      <c r="B2878" s="125" t="s">
        <v>499</v>
      </c>
      <c r="C2878" s="125" t="s">
        <v>468</v>
      </c>
      <c r="D2878" s="125" t="s">
        <v>457</v>
      </c>
      <c r="E2878" s="125" t="s">
        <v>464</v>
      </c>
      <c r="F2878" s="126">
        <v>40715.0</v>
      </c>
      <c r="G2878" s="127">
        <v>6.82E8</v>
      </c>
      <c r="H2878" s="126">
        <v>40727.0</v>
      </c>
      <c r="I2878" s="128">
        <v>9813.0</v>
      </c>
      <c r="J2878" s="128">
        <v>81.73</v>
      </c>
      <c r="K2878" s="128">
        <v>56.67</v>
      </c>
      <c r="L2878" s="128">
        <v>802016.5</v>
      </c>
      <c r="M2878" s="128">
        <v>556102.7</v>
      </c>
      <c r="N2878" s="128">
        <v>245913.8</v>
      </c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</row>
    <row r="2879">
      <c r="A2879" s="125" t="s">
        <v>475</v>
      </c>
      <c r="B2879" s="125" t="s">
        <v>604</v>
      </c>
      <c r="C2879" s="125" t="s">
        <v>478</v>
      </c>
      <c r="D2879" s="125" t="s">
        <v>454</v>
      </c>
      <c r="E2879" s="125" t="s">
        <v>284</v>
      </c>
      <c r="F2879" s="126">
        <v>42029.0</v>
      </c>
      <c r="G2879" s="127">
        <v>1.26E8</v>
      </c>
      <c r="H2879" s="126">
        <v>42038.0</v>
      </c>
      <c r="I2879" s="128">
        <v>4465.0</v>
      </c>
      <c r="J2879" s="128">
        <v>651.21</v>
      </c>
      <c r="K2879" s="128">
        <v>524.96</v>
      </c>
      <c r="L2879" s="128">
        <v>2907653.0</v>
      </c>
      <c r="M2879" s="128">
        <v>2343946.0</v>
      </c>
      <c r="N2879" s="128">
        <v>563706.3</v>
      </c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</row>
    <row r="2880">
      <c r="A2880" s="125" t="s">
        <v>466</v>
      </c>
      <c r="B2880" s="125" t="s">
        <v>534</v>
      </c>
      <c r="C2880" s="125" t="s">
        <v>453</v>
      </c>
      <c r="D2880" s="125" t="s">
        <v>454</v>
      </c>
      <c r="E2880" s="125" t="s">
        <v>189</v>
      </c>
      <c r="F2880" s="126">
        <v>40657.0</v>
      </c>
      <c r="G2880" s="127">
        <v>1.81E8</v>
      </c>
      <c r="H2880" s="126">
        <v>40696.0</v>
      </c>
      <c r="I2880" s="128">
        <v>8054.0</v>
      </c>
      <c r="J2880" s="128">
        <v>255.28</v>
      </c>
      <c r="K2880" s="128">
        <v>159.42</v>
      </c>
      <c r="L2880" s="128">
        <v>2056025.0</v>
      </c>
      <c r="M2880" s="128">
        <v>1283969.0</v>
      </c>
      <c r="N2880" s="128">
        <v>772056.4</v>
      </c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</row>
    <row r="2881">
      <c r="A2881" s="125" t="s">
        <v>461</v>
      </c>
      <c r="B2881" s="125" t="s">
        <v>516</v>
      </c>
      <c r="C2881" s="125" t="s">
        <v>485</v>
      </c>
      <c r="D2881" s="125" t="s">
        <v>454</v>
      </c>
      <c r="E2881" s="125" t="s">
        <v>189</v>
      </c>
      <c r="F2881" s="126">
        <v>41327.0</v>
      </c>
      <c r="G2881" s="127">
        <v>2.82E8</v>
      </c>
      <c r="H2881" s="126">
        <v>41349.0</v>
      </c>
      <c r="I2881" s="128">
        <v>4020.0</v>
      </c>
      <c r="J2881" s="128">
        <v>421.89</v>
      </c>
      <c r="K2881" s="128">
        <v>364.69</v>
      </c>
      <c r="L2881" s="128">
        <v>1695998.0</v>
      </c>
      <c r="M2881" s="128">
        <v>1466054.0</v>
      </c>
      <c r="N2881" s="128">
        <v>229944.0</v>
      </c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</row>
    <row r="2882">
      <c r="A2882" s="125" t="s">
        <v>466</v>
      </c>
      <c r="B2882" s="125" t="s">
        <v>568</v>
      </c>
      <c r="C2882" s="125" t="s">
        <v>471</v>
      </c>
      <c r="D2882" s="125" t="s">
        <v>457</v>
      </c>
      <c r="E2882" s="125" t="s">
        <v>464</v>
      </c>
      <c r="F2882" s="126">
        <v>40858.0</v>
      </c>
      <c r="G2882" s="127">
        <v>3.82E8</v>
      </c>
      <c r="H2882" s="126">
        <v>40898.0</v>
      </c>
      <c r="I2882" s="128">
        <v>7840.0</v>
      </c>
      <c r="J2882" s="128">
        <v>109.28</v>
      </c>
      <c r="K2882" s="128">
        <v>35.84</v>
      </c>
      <c r="L2882" s="128">
        <v>856755.2</v>
      </c>
      <c r="M2882" s="128">
        <v>280985.6</v>
      </c>
      <c r="N2882" s="128">
        <v>575769.6</v>
      </c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</row>
    <row r="2883">
      <c r="A2883" s="125" t="s">
        <v>466</v>
      </c>
      <c r="B2883" s="125" t="s">
        <v>508</v>
      </c>
      <c r="C2883" s="125" t="s">
        <v>453</v>
      </c>
      <c r="D2883" s="125" t="s">
        <v>454</v>
      </c>
      <c r="E2883" s="125" t="s">
        <v>464</v>
      </c>
      <c r="F2883" s="126">
        <v>40609.0</v>
      </c>
      <c r="G2883" s="127">
        <v>5.09E8</v>
      </c>
      <c r="H2883" s="126">
        <v>40621.0</v>
      </c>
      <c r="I2883" s="128">
        <v>2016.0</v>
      </c>
      <c r="J2883" s="128">
        <v>255.28</v>
      </c>
      <c r="K2883" s="128">
        <v>159.42</v>
      </c>
      <c r="L2883" s="128">
        <v>514644.5</v>
      </c>
      <c r="M2883" s="128">
        <v>321390.7</v>
      </c>
      <c r="N2883" s="128">
        <v>193253.8</v>
      </c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</row>
    <row r="2884">
      <c r="A2884" s="125" t="s">
        <v>461</v>
      </c>
      <c r="B2884" s="125" t="s">
        <v>556</v>
      </c>
      <c r="C2884" s="125" t="s">
        <v>456</v>
      </c>
      <c r="D2884" s="125" t="s">
        <v>454</v>
      </c>
      <c r="E2884" s="125" t="s">
        <v>189</v>
      </c>
      <c r="F2884" s="126">
        <v>42324.0</v>
      </c>
      <c r="G2884" s="127">
        <v>3.06E8</v>
      </c>
      <c r="H2884" s="126">
        <v>42350.0</v>
      </c>
      <c r="I2884" s="128">
        <v>1086.0</v>
      </c>
      <c r="J2884" s="128">
        <v>152.58</v>
      </c>
      <c r="K2884" s="128">
        <v>97.44</v>
      </c>
      <c r="L2884" s="128">
        <v>165701.9</v>
      </c>
      <c r="M2884" s="128">
        <v>105819.8</v>
      </c>
      <c r="N2884" s="128">
        <v>59882.04</v>
      </c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</row>
    <row r="2885">
      <c r="A2885" s="125" t="s">
        <v>451</v>
      </c>
      <c r="B2885" s="125" t="s">
        <v>455</v>
      </c>
      <c r="C2885" s="125" t="s">
        <v>494</v>
      </c>
      <c r="D2885" s="125" t="s">
        <v>454</v>
      </c>
      <c r="E2885" s="125" t="s">
        <v>189</v>
      </c>
      <c r="F2885" s="126">
        <v>41225.0</v>
      </c>
      <c r="G2885" s="127">
        <v>3.9E8</v>
      </c>
      <c r="H2885" s="126">
        <v>41227.0</v>
      </c>
      <c r="I2885" s="128">
        <v>6616.0</v>
      </c>
      <c r="J2885" s="128">
        <v>9.33</v>
      </c>
      <c r="K2885" s="128">
        <v>6.92</v>
      </c>
      <c r="L2885" s="128">
        <v>61727.28</v>
      </c>
      <c r="M2885" s="128">
        <v>45782.72</v>
      </c>
      <c r="N2885" s="128">
        <v>15944.56</v>
      </c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</row>
    <row r="2886">
      <c r="A2886" s="125" t="s">
        <v>466</v>
      </c>
      <c r="B2886" s="125" t="s">
        <v>474</v>
      </c>
      <c r="C2886" s="125" t="s">
        <v>456</v>
      </c>
      <c r="D2886" s="125" t="s">
        <v>457</v>
      </c>
      <c r="E2886" s="125" t="s">
        <v>472</v>
      </c>
      <c r="F2886" s="126">
        <v>41218.0</v>
      </c>
      <c r="G2886" s="127">
        <v>9.96E8</v>
      </c>
      <c r="H2886" s="126">
        <v>41244.0</v>
      </c>
      <c r="I2886" s="128">
        <v>2206.0</v>
      </c>
      <c r="J2886" s="128">
        <v>152.58</v>
      </c>
      <c r="K2886" s="128">
        <v>97.44</v>
      </c>
      <c r="L2886" s="128">
        <v>336591.5</v>
      </c>
      <c r="M2886" s="128">
        <v>214952.6</v>
      </c>
      <c r="N2886" s="128">
        <v>121638.8</v>
      </c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</row>
    <row r="2887">
      <c r="A2887" s="125" t="s">
        <v>469</v>
      </c>
      <c r="B2887" s="125" t="s">
        <v>520</v>
      </c>
      <c r="C2887" s="125" t="s">
        <v>506</v>
      </c>
      <c r="D2887" s="125" t="s">
        <v>457</v>
      </c>
      <c r="E2887" s="125" t="s">
        <v>284</v>
      </c>
      <c r="F2887" s="126">
        <v>42452.0</v>
      </c>
      <c r="G2887" s="127">
        <v>6.31E8</v>
      </c>
      <c r="H2887" s="126">
        <v>42474.0</v>
      </c>
      <c r="I2887" s="128">
        <v>8485.0</v>
      </c>
      <c r="J2887" s="128">
        <v>154.06</v>
      </c>
      <c r="K2887" s="128">
        <v>90.93</v>
      </c>
      <c r="L2887" s="128">
        <v>1307199.0</v>
      </c>
      <c r="M2887" s="128">
        <v>771541.1</v>
      </c>
      <c r="N2887" s="128">
        <v>535658.1</v>
      </c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</row>
    <row r="2888">
      <c r="A2888" s="125" t="s">
        <v>458</v>
      </c>
      <c r="B2888" s="125" t="s">
        <v>555</v>
      </c>
      <c r="C2888" s="125" t="s">
        <v>494</v>
      </c>
      <c r="D2888" s="125" t="s">
        <v>454</v>
      </c>
      <c r="E2888" s="125" t="s">
        <v>284</v>
      </c>
      <c r="F2888" s="126">
        <v>42695.0</v>
      </c>
      <c r="G2888" s="127">
        <v>1.21E8</v>
      </c>
      <c r="H2888" s="126">
        <v>42722.0</v>
      </c>
      <c r="I2888" s="128">
        <v>8115.0</v>
      </c>
      <c r="J2888" s="128">
        <v>9.33</v>
      </c>
      <c r="K2888" s="128">
        <v>6.92</v>
      </c>
      <c r="L2888" s="128">
        <v>75712.95</v>
      </c>
      <c r="M2888" s="128">
        <v>56155.8</v>
      </c>
      <c r="N2888" s="128">
        <v>19557.15</v>
      </c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</row>
    <row r="2889">
      <c r="A2889" s="125" t="s">
        <v>466</v>
      </c>
      <c r="B2889" s="125" t="s">
        <v>580</v>
      </c>
      <c r="C2889" s="125" t="s">
        <v>453</v>
      </c>
      <c r="D2889" s="125" t="s">
        <v>457</v>
      </c>
      <c r="E2889" s="125" t="s">
        <v>189</v>
      </c>
      <c r="F2889" s="126">
        <v>41491.0</v>
      </c>
      <c r="G2889" s="127">
        <v>3.64E8</v>
      </c>
      <c r="H2889" s="126">
        <v>41508.0</v>
      </c>
      <c r="I2889" s="128">
        <v>787.0</v>
      </c>
      <c r="J2889" s="128">
        <v>255.28</v>
      </c>
      <c r="K2889" s="128">
        <v>159.42</v>
      </c>
      <c r="L2889" s="128">
        <v>200905.4</v>
      </c>
      <c r="M2889" s="128">
        <v>125463.5</v>
      </c>
      <c r="N2889" s="128">
        <v>75441.82</v>
      </c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</row>
    <row r="2890">
      <c r="A2890" s="125" t="s">
        <v>475</v>
      </c>
      <c r="B2890" s="125" t="s">
        <v>528</v>
      </c>
      <c r="C2890" s="125" t="s">
        <v>453</v>
      </c>
      <c r="D2890" s="125" t="s">
        <v>454</v>
      </c>
      <c r="E2890" s="125" t="s">
        <v>189</v>
      </c>
      <c r="F2890" s="126">
        <v>41536.0</v>
      </c>
      <c r="G2890" s="127">
        <v>9.76E8</v>
      </c>
      <c r="H2890" s="126">
        <v>41567.0</v>
      </c>
      <c r="I2890" s="128">
        <v>8226.0</v>
      </c>
      <c r="J2890" s="128">
        <v>255.28</v>
      </c>
      <c r="K2890" s="128">
        <v>159.42</v>
      </c>
      <c r="L2890" s="128">
        <v>2099933.0</v>
      </c>
      <c r="M2890" s="128">
        <v>1311389.0</v>
      </c>
      <c r="N2890" s="128">
        <v>788544.4</v>
      </c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</row>
    <row r="2891">
      <c r="A2891" s="125" t="s">
        <v>458</v>
      </c>
      <c r="B2891" s="125" t="s">
        <v>533</v>
      </c>
      <c r="C2891" s="125" t="s">
        <v>471</v>
      </c>
      <c r="D2891" s="125" t="s">
        <v>457</v>
      </c>
      <c r="E2891" s="125" t="s">
        <v>189</v>
      </c>
      <c r="F2891" s="126">
        <v>41767.0</v>
      </c>
      <c r="G2891" s="127">
        <v>7.45E8</v>
      </c>
      <c r="H2891" s="126">
        <v>41813.0</v>
      </c>
      <c r="I2891" s="128">
        <v>9186.0</v>
      </c>
      <c r="J2891" s="128">
        <v>109.28</v>
      </c>
      <c r="K2891" s="128">
        <v>35.84</v>
      </c>
      <c r="L2891" s="128">
        <v>1003846.0</v>
      </c>
      <c r="M2891" s="128">
        <v>329226.2</v>
      </c>
      <c r="N2891" s="128">
        <v>674619.8</v>
      </c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</row>
    <row r="2892">
      <c r="A2892" s="125" t="s">
        <v>475</v>
      </c>
      <c r="B2892" s="125" t="s">
        <v>544</v>
      </c>
      <c r="C2892" s="125" t="s">
        <v>494</v>
      </c>
      <c r="D2892" s="125" t="s">
        <v>457</v>
      </c>
      <c r="E2892" s="125" t="s">
        <v>189</v>
      </c>
      <c r="F2892" s="126">
        <v>41511.0</v>
      </c>
      <c r="G2892" s="127">
        <v>7.8E8</v>
      </c>
      <c r="H2892" s="126">
        <v>41511.0</v>
      </c>
      <c r="I2892" s="128">
        <v>4453.0</v>
      </c>
      <c r="J2892" s="128">
        <v>9.33</v>
      </c>
      <c r="K2892" s="128">
        <v>6.92</v>
      </c>
      <c r="L2892" s="128">
        <v>41546.49</v>
      </c>
      <c r="M2892" s="128">
        <v>30814.76</v>
      </c>
      <c r="N2892" s="128">
        <v>10731.73</v>
      </c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</row>
    <row r="2893">
      <c r="A2893" s="125" t="s">
        <v>466</v>
      </c>
      <c r="B2893" s="125" t="s">
        <v>479</v>
      </c>
      <c r="C2893" s="125" t="s">
        <v>456</v>
      </c>
      <c r="D2893" s="125" t="s">
        <v>454</v>
      </c>
      <c r="E2893" s="125" t="s">
        <v>284</v>
      </c>
      <c r="F2893" s="126">
        <v>41866.0</v>
      </c>
      <c r="G2893" s="127">
        <v>4.57E8</v>
      </c>
      <c r="H2893" s="126">
        <v>41892.0</v>
      </c>
      <c r="I2893" s="128">
        <v>1845.0</v>
      </c>
      <c r="J2893" s="128">
        <v>152.58</v>
      </c>
      <c r="K2893" s="128">
        <v>97.44</v>
      </c>
      <c r="L2893" s="128">
        <v>281510.1</v>
      </c>
      <c r="M2893" s="128">
        <v>179776.8</v>
      </c>
      <c r="N2893" s="128">
        <v>101733.3</v>
      </c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</row>
    <row r="2894">
      <c r="A2894" s="125" t="s">
        <v>475</v>
      </c>
      <c r="B2894" s="125" t="s">
        <v>504</v>
      </c>
      <c r="C2894" s="125" t="s">
        <v>485</v>
      </c>
      <c r="D2894" s="125" t="s">
        <v>457</v>
      </c>
      <c r="E2894" s="125" t="s">
        <v>189</v>
      </c>
      <c r="F2894" s="126">
        <v>41551.0</v>
      </c>
      <c r="G2894" s="127">
        <v>5.76E8</v>
      </c>
      <c r="H2894" s="126">
        <v>41563.0</v>
      </c>
      <c r="I2894" s="128">
        <v>1211.0</v>
      </c>
      <c r="J2894" s="128">
        <v>421.89</v>
      </c>
      <c r="K2894" s="128">
        <v>364.69</v>
      </c>
      <c r="L2894" s="128">
        <v>510908.8</v>
      </c>
      <c r="M2894" s="128">
        <v>441639.6</v>
      </c>
      <c r="N2894" s="128">
        <v>69269.2</v>
      </c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</row>
    <row r="2895">
      <c r="A2895" s="125" t="s">
        <v>461</v>
      </c>
      <c r="B2895" s="125" t="s">
        <v>618</v>
      </c>
      <c r="C2895" s="125" t="s">
        <v>506</v>
      </c>
      <c r="D2895" s="125" t="s">
        <v>454</v>
      </c>
      <c r="E2895" s="125" t="s">
        <v>472</v>
      </c>
      <c r="F2895" s="126">
        <v>41062.0</v>
      </c>
      <c r="G2895" s="127">
        <v>2.05E8</v>
      </c>
      <c r="H2895" s="126">
        <v>41102.0</v>
      </c>
      <c r="I2895" s="128">
        <v>9429.0</v>
      </c>
      <c r="J2895" s="128">
        <v>154.06</v>
      </c>
      <c r="K2895" s="128">
        <v>90.93</v>
      </c>
      <c r="L2895" s="128">
        <v>1452632.0</v>
      </c>
      <c r="M2895" s="128">
        <v>857379.0</v>
      </c>
      <c r="N2895" s="128">
        <v>595252.8</v>
      </c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</row>
    <row r="2896">
      <c r="A2896" s="125" t="s">
        <v>451</v>
      </c>
      <c r="B2896" s="125" t="s">
        <v>550</v>
      </c>
      <c r="C2896" s="125" t="s">
        <v>480</v>
      </c>
      <c r="D2896" s="125" t="s">
        <v>457</v>
      </c>
      <c r="E2896" s="125" t="s">
        <v>189</v>
      </c>
      <c r="F2896" s="126">
        <v>41279.0</v>
      </c>
      <c r="G2896" s="127">
        <v>7.34E8</v>
      </c>
      <c r="H2896" s="126">
        <v>41282.0</v>
      </c>
      <c r="I2896" s="128">
        <v>5413.0</v>
      </c>
      <c r="J2896" s="128">
        <v>437.2</v>
      </c>
      <c r="K2896" s="128">
        <v>263.33</v>
      </c>
      <c r="L2896" s="128">
        <v>2366564.0</v>
      </c>
      <c r="M2896" s="128">
        <v>1425405.0</v>
      </c>
      <c r="N2896" s="128">
        <v>941158.3</v>
      </c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</row>
    <row r="2897">
      <c r="A2897" s="125" t="s">
        <v>461</v>
      </c>
      <c r="B2897" s="125" t="s">
        <v>557</v>
      </c>
      <c r="C2897" s="125" t="s">
        <v>453</v>
      </c>
      <c r="D2897" s="125" t="s">
        <v>457</v>
      </c>
      <c r="E2897" s="125" t="s">
        <v>284</v>
      </c>
      <c r="F2897" s="126">
        <v>42090.0</v>
      </c>
      <c r="G2897" s="127">
        <v>9.22E8</v>
      </c>
      <c r="H2897" s="126">
        <v>42124.0</v>
      </c>
      <c r="I2897" s="128">
        <v>5103.0</v>
      </c>
      <c r="J2897" s="128">
        <v>255.28</v>
      </c>
      <c r="K2897" s="128">
        <v>159.42</v>
      </c>
      <c r="L2897" s="128">
        <v>1302694.0</v>
      </c>
      <c r="M2897" s="128">
        <v>813520.3</v>
      </c>
      <c r="N2897" s="128">
        <v>489173.6</v>
      </c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</row>
    <row r="2898">
      <c r="A2898" s="125" t="s">
        <v>458</v>
      </c>
      <c r="B2898" s="125" t="s">
        <v>487</v>
      </c>
      <c r="C2898" s="125" t="s">
        <v>485</v>
      </c>
      <c r="D2898" s="125" t="s">
        <v>457</v>
      </c>
      <c r="E2898" s="125" t="s">
        <v>472</v>
      </c>
      <c r="F2898" s="126">
        <v>41006.0</v>
      </c>
      <c r="G2898" s="127">
        <v>9.49E8</v>
      </c>
      <c r="H2898" s="126">
        <v>41033.0</v>
      </c>
      <c r="I2898" s="128">
        <v>6473.0</v>
      </c>
      <c r="J2898" s="128">
        <v>421.89</v>
      </c>
      <c r="K2898" s="128">
        <v>364.69</v>
      </c>
      <c r="L2898" s="128">
        <v>2730894.0</v>
      </c>
      <c r="M2898" s="128">
        <v>2360638.0</v>
      </c>
      <c r="N2898" s="128">
        <v>370255.6</v>
      </c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</row>
    <row r="2899">
      <c r="A2899" s="125" t="s">
        <v>458</v>
      </c>
      <c r="B2899" s="125" t="s">
        <v>515</v>
      </c>
      <c r="C2899" s="125" t="s">
        <v>478</v>
      </c>
      <c r="D2899" s="125" t="s">
        <v>457</v>
      </c>
      <c r="E2899" s="125" t="s">
        <v>464</v>
      </c>
      <c r="F2899" s="126">
        <v>42842.0</v>
      </c>
      <c r="G2899" s="127">
        <v>1.64E8</v>
      </c>
      <c r="H2899" s="126">
        <v>42856.0</v>
      </c>
      <c r="I2899" s="128">
        <v>4529.0</v>
      </c>
      <c r="J2899" s="128">
        <v>651.21</v>
      </c>
      <c r="K2899" s="128">
        <v>524.96</v>
      </c>
      <c r="L2899" s="128">
        <v>2949330.0</v>
      </c>
      <c r="M2899" s="128">
        <v>2377544.0</v>
      </c>
      <c r="N2899" s="128">
        <v>571786.3</v>
      </c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</row>
    <row r="2900">
      <c r="A2900" s="125" t="s">
        <v>466</v>
      </c>
      <c r="B2900" s="125" t="s">
        <v>580</v>
      </c>
      <c r="C2900" s="125" t="s">
        <v>494</v>
      </c>
      <c r="D2900" s="125" t="s">
        <v>457</v>
      </c>
      <c r="E2900" s="125" t="s">
        <v>464</v>
      </c>
      <c r="F2900" s="126">
        <v>41738.0</v>
      </c>
      <c r="G2900" s="127">
        <v>2.38E8</v>
      </c>
      <c r="H2900" s="126">
        <v>41783.0</v>
      </c>
      <c r="I2900" s="128">
        <v>6306.0</v>
      </c>
      <c r="J2900" s="128">
        <v>9.33</v>
      </c>
      <c r="K2900" s="128">
        <v>6.92</v>
      </c>
      <c r="L2900" s="128">
        <v>58834.98</v>
      </c>
      <c r="M2900" s="128">
        <v>43637.52</v>
      </c>
      <c r="N2900" s="128">
        <v>15197.46</v>
      </c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</row>
    <row r="2901">
      <c r="A2901" s="125" t="s">
        <v>466</v>
      </c>
      <c r="B2901" s="125" t="s">
        <v>502</v>
      </c>
      <c r="C2901" s="125" t="s">
        <v>471</v>
      </c>
      <c r="D2901" s="125" t="s">
        <v>457</v>
      </c>
      <c r="E2901" s="125" t="s">
        <v>189</v>
      </c>
      <c r="F2901" s="126">
        <v>41904.0</v>
      </c>
      <c r="G2901" s="127">
        <v>2.12E8</v>
      </c>
      <c r="H2901" s="126">
        <v>41904.0</v>
      </c>
      <c r="I2901" s="128">
        <v>5872.0</v>
      </c>
      <c r="J2901" s="128">
        <v>109.28</v>
      </c>
      <c r="K2901" s="128">
        <v>35.84</v>
      </c>
      <c r="L2901" s="128">
        <v>641692.2</v>
      </c>
      <c r="M2901" s="128">
        <v>210452.5</v>
      </c>
      <c r="N2901" s="128">
        <v>431239.7</v>
      </c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</row>
    <row r="2902">
      <c r="A2902" s="125" t="s">
        <v>475</v>
      </c>
      <c r="B2902" s="125" t="s">
        <v>536</v>
      </c>
      <c r="C2902" s="125" t="s">
        <v>494</v>
      </c>
      <c r="D2902" s="125" t="s">
        <v>457</v>
      </c>
      <c r="E2902" s="125" t="s">
        <v>284</v>
      </c>
      <c r="F2902" s="126">
        <v>42406.0</v>
      </c>
      <c r="G2902" s="127">
        <v>5.47E8</v>
      </c>
      <c r="H2902" s="126">
        <v>42439.0</v>
      </c>
      <c r="I2902" s="128">
        <v>9326.0</v>
      </c>
      <c r="J2902" s="128">
        <v>9.33</v>
      </c>
      <c r="K2902" s="128">
        <v>6.92</v>
      </c>
      <c r="L2902" s="128">
        <v>87011.58</v>
      </c>
      <c r="M2902" s="128">
        <v>64535.92</v>
      </c>
      <c r="N2902" s="128">
        <v>22475.66</v>
      </c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</row>
    <row r="2903">
      <c r="A2903" s="125" t="s">
        <v>488</v>
      </c>
      <c r="B2903" s="125" t="s">
        <v>645</v>
      </c>
      <c r="C2903" s="125" t="s">
        <v>480</v>
      </c>
      <c r="D2903" s="125" t="s">
        <v>454</v>
      </c>
      <c r="E2903" s="125" t="s">
        <v>189</v>
      </c>
      <c r="F2903" s="126">
        <v>41317.0</v>
      </c>
      <c r="G2903" s="127">
        <v>8.74E8</v>
      </c>
      <c r="H2903" s="126">
        <v>41343.0</v>
      </c>
      <c r="I2903" s="128">
        <v>9797.0</v>
      </c>
      <c r="J2903" s="128">
        <v>437.2</v>
      </c>
      <c r="K2903" s="128">
        <v>263.33</v>
      </c>
      <c r="L2903" s="128">
        <v>4283248.0</v>
      </c>
      <c r="M2903" s="128">
        <v>2579844.0</v>
      </c>
      <c r="N2903" s="128">
        <v>1703404.0</v>
      </c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</row>
    <row r="2904">
      <c r="A2904" s="125" t="s">
        <v>469</v>
      </c>
      <c r="B2904" s="125" t="s">
        <v>520</v>
      </c>
      <c r="C2904" s="125" t="s">
        <v>514</v>
      </c>
      <c r="D2904" s="125" t="s">
        <v>454</v>
      </c>
      <c r="E2904" s="125" t="s">
        <v>189</v>
      </c>
      <c r="F2904" s="126">
        <v>42631.0</v>
      </c>
      <c r="G2904" s="127">
        <v>4.44E8</v>
      </c>
      <c r="H2904" s="126">
        <v>42661.0</v>
      </c>
      <c r="I2904" s="128">
        <v>2447.0</v>
      </c>
      <c r="J2904" s="128">
        <v>668.27</v>
      </c>
      <c r="K2904" s="128">
        <v>502.54</v>
      </c>
      <c r="L2904" s="128">
        <v>1635257.0</v>
      </c>
      <c r="M2904" s="128">
        <v>1229715.0</v>
      </c>
      <c r="N2904" s="128">
        <v>405541.3</v>
      </c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</row>
    <row r="2905">
      <c r="A2905" s="125" t="s">
        <v>461</v>
      </c>
      <c r="B2905" s="125" t="s">
        <v>638</v>
      </c>
      <c r="C2905" s="125" t="s">
        <v>494</v>
      </c>
      <c r="D2905" s="125" t="s">
        <v>454</v>
      </c>
      <c r="E2905" s="125" t="s">
        <v>189</v>
      </c>
      <c r="F2905" s="126">
        <v>41049.0</v>
      </c>
      <c r="G2905" s="127">
        <v>3.81E8</v>
      </c>
      <c r="H2905" s="126">
        <v>41083.0</v>
      </c>
      <c r="I2905" s="128">
        <v>9467.0</v>
      </c>
      <c r="J2905" s="128">
        <v>9.33</v>
      </c>
      <c r="K2905" s="128">
        <v>6.92</v>
      </c>
      <c r="L2905" s="128">
        <v>88327.11</v>
      </c>
      <c r="M2905" s="128">
        <v>65511.64</v>
      </c>
      <c r="N2905" s="128">
        <v>22815.47</v>
      </c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</row>
    <row r="2906">
      <c r="A2906" s="125" t="s">
        <v>475</v>
      </c>
      <c r="B2906" s="125" t="s">
        <v>605</v>
      </c>
      <c r="C2906" s="125" t="s">
        <v>460</v>
      </c>
      <c r="D2906" s="125" t="s">
        <v>457</v>
      </c>
      <c r="E2906" s="125" t="s">
        <v>189</v>
      </c>
      <c r="F2906" s="126">
        <v>42726.0</v>
      </c>
      <c r="G2906" s="127">
        <v>5.24E8</v>
      </c>
      <c r="H2906" s="126">
        <v>42764.0</v>
      </c>
      <c r="I2906" s="128">
        <v>5082.0</v>
      </c>
      <c r="J2906" s="128">
        <v>47.45</v>
      </c>
      <c r="K2906" s="128">
        <v>31.79</v>
      </c>
      <c r="L2906" s="128">
        <v>241140.9</v>
      </c>
      <c r="M2906" s="128">
        <v>161556.8</v>
      </c>
      <c r="N2906" s="128">
        <v>79584.12</v>
      </c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</row>
    <row r="2907">
      <c r="A2907" s="125" t="s">
        <v>461</v>
      </c>
      <c r="B2907" s="125" t="s">
        <v>465</v>
      </c>
      <c r="C2907" s="125" t="s">
        <v>471</v>
      </c>
      <c r="D2907" s="125" t="s">
        <v>457</v>
      </c>
      <c r="E2907" s="125" t="s">
        <v>464</v>
      </c>
      <c r="F2907" s="126">
        <v>41759.0</v>
      </c>
      <c r="G2907" s="127">
        <v>7.89E8</v>
      </c>
      <c r="H2907" s="126">
        <v>41791.0</v>
      </c>
      <c r="I2907" s="128">
        <v>546.0</v>
      </c>
      <c r="J2907" s="128">
        <v>109.28</v>
      </c>
      <c r="K2907" s="128">
        <v>35.84</v>
      </c>
      <c r="L2907" s="128">
        <v>59666.88</v>
      </c>
      <c r="M2907" s="128">
        <v>19568.64</v>
      </c>
      <c r="N2907" s="128">
        <v>40098.24</v>
      </c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</row>
    <row r="2908">
      <c r="A2908" s="125" t="s">
        <v>458</v>
      </c>
      <c r="B2908" s="125" t="s">
        <v>614</v>
      </c>
      <c r="C2908" s="125" t="s">
        <v>514</v>
      </c>
      <c r="D2908" s="125" t="s">
        <v>457</v>
      </c>
      <c r="E2908" s="125" t="s">
        <v>189</v>
      </c>
      <c r="F2908" s="126">
        <v>40931.0</v>
      </c>
      <c r="G2908" s="127">
        <v>7.06E8</v>
      </c>
      <c r="H2908" s="126">
        <v>40950.0</v>
      </c>
      <c r="I2908" s="128">
        <v>9146.0</v>
      </c>
      <c r="J2908" s="128">
        <v>668.27</v>
      </c>
      <c r="K2908" s="128">
        <v>502.54</v>
      </c>
      <c r="L2908" s="128">
        <v>6111997.0</v>
      </c>
      <c r="M2908" s="128">
        <v>4596231.0</v>
      </c>
      <c r="N2908" s="128">
        <v>1515767.0</v>
      </c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</row>
    <row r="2909">
      <c r="A2909" s="125" t="s">
        <v>461</v>
      </c>
      <c r="B2909" s="125" t="s">
        <v>556</v>
      </c>
      <c r="C2909" s="125" t="s">
        <v>456</v>
      </c>
      <c r="D2909" s="125" t="s">
        <v>454</v>
      </c>
      <c r="E2909" s="125" t="s">
        <v>284</v>
      </c>
      <c r="F2909" s="126">
        <v>42031.0</v>
      </c>
      <c r="G2909" s="127">
        <v>7.8E8</v>
      </c>
      <c r="H2909" s="126">
        <v>42072.0</v>
      </c>
      <c r="I2909" s="128">
        <v>1199.0</v>
      </c>
      <c r="J2909" s="128">
        <v>152.58</v>
      </c>
      <c r="K2909" s="128">
        <v>97.44</v>
      </c>
      <c r="L2909" s="128">
        <v>182943.4</v>
      </c>
      <c r="M2909" s="128">
        <v>116830.6</v>
      </c>
      <c r="N2909" s="128">
        <v>66112.86</v>
      </c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</row>
    <row r="2910">
      <c r="A2910" s="125" t="s">
        <v>458</v>
      </c>
      <c r="B2910" s="125" t="s">
        <v>498</v>
      </c>
      <c r="C2910" s="125" t="s">
        <v>471</v>
      </c>
      <c r="D2910" s="125" t="s">
        <v>454</v>
      </c>
      <c r="E2910" s="125" t="s">
        <v>284</v>
      </c>
      <c r="F2910" s="126">
        <v>41707.0</v>
      </c>
      <c r="G2910" s="127">
        <v>2.34E8</v>
      </c>
      <c r="H2910" s="126">
        <v>41707.0</v>
      </c>
      <c r="I2910" s="128">
        <v>9053.0</v>
      </c>
      <c r="J2910" s="128">
        <v>109.28</v>
      </c>
      <c r="K2910" s="128">
        <v>35.84</v>
      </c>
      <c r="L2910" s="128">
        <v>989311.8</v>
      </c>
      <c r="M2910" s="128">
        <v>324459.5</v>
      </c>
      <c r="N2910" s="128">
        <v>664852.3</v>
      </c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</row>
    <row r="2911">
      <c r="A2911" s="125" t="s">
        <v>458</v>
      </c>
      <c r="B2911" s="125" t="s">
        <v>652</v>
      </c>
      <c r="C2911" s="125" t="s">
        <v>485</v>
      </c>
      <c r="D2911" s="125" t="s">
        <v>457</v>
      </c>
      <c r="E2911" s="125" t="s">
        <v>464</v>
      </c>
      <c r="F2911" s="126">
        <v>41143.0</v>
      </c>
      <c r="G2911" s="127">
        <v>1.62E8</v>
      </c>
      <c r="H2911" s="126">
        <v>41185.0</v>
      </c>
      <c r="I2911" s="128">
        <v>2089.0</v>
      </c>
      <c r="J2911" s="128">
        <v>421.89</v>
      </c>
      <c r="K2911" s="128">
        <v>364.69</v>
      </c>
      <c r="L2911" s="128">
        <v>881328.2</v>
      </c>
      <c r="M2911" s="128">
        <v>761837.4</v>
      </c>
      <c r="N2911" s="128">
        <v>119490.8</v>
      </c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</row>
    <row r="2912">
      <c r="A2912" s="125" t="s">
        <v>475</v>
      </c>
      <c r="B2912" s="125" t="s">
        <v>635</v>
      </c>
      <c r="C2912" s="125" t="s">
        <v>485</v>
      </c>
      <c r="D2912" s="125" t="s">
        <v>457</v>
      </c>
      <c r="E2912" s="125" t="s">
        <v>284</v>
      </c>
      <c r="F2912" s="126">
        <v>41911.0</v>
      </c>
      <c r="G2912" s="127">
        <v>3.77E8</v>
      </c>
      <c r="H2912" s="126">
        <v>41931.0</v>
      </c>
      <c r="I2912" s="128">
        <v>1717.0</v>
      </c>
      <c r="J2912" s="128">
        <v>421.89</v>
      </c>
      <c r="K2912" s="128">
        <v>364.69</v>
      </c>
      <c r="L2912" s="128">
        <v>724385.1</v>
      </c>
      <c r="M2912" s="128">
        <v>626172.7</v>
      </c>
      <c r="N2912" s="128">
        <v>98212.4</v>
      </c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</row>
    <row r="2913">
      <c r="A2913" s="125" t="s">
        <v>458</v>
      </c>
      <c r="B2913" s="125" t="s">
        <v>590</v>
      </c>
      <c r="C2913" s="125" t="s">
        <v>485</v>
      </c>
      <c r="D2913" s="125" t="s">
        <v>457</v>
      </c>
      <c r="E2913" s="125" t="s">
        <v>284</v>
      </c>
      <c r="F2913" s="126">
        <v>41826.0</v>
      </c>
      <c r="G2913" s="127">
        <v>7.64E8</v>
      </c>
      <c r="H2913" s="126">
        <v>41856.0</v>
      </c>
      <c r="I2913" s="128">
        <v>6380.0</v>
      </c>
      <c r="J2913" s="128">
        <v>421.89</v>
      </c>
      <c r="K2913" s="128">
        <v>364.69</v>
      </c>
      <c r="L2913" s="128">
        <v>2691658.0</v>
      </c>
      <c r="M2913" s="128">
        <v>2326722.0</v>
      </c>
      <c r="N2913" s="128">
        <v>364936.0</v>
      </c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</row>
    <row r="2914">
      <c r="A2914" s="125" t="s">
        <v>458</v>
      </c>
      <c r="B2914" s="125" t="s">
        <v>627</v>
      </c>
      <c r="C2914" s="125" t="s">
        <v>453</v>
      </c>
      <c r="D2914" s="125" t="s">
        <v>457</v>
      </c>
      <c r="E2914" s="125" t="s">
        <v>189</v>
      </c>
      <c r="F2914" s="126">
        <v>41856.0</v>
      </c>
      <c r="G2914" s="127">
        <v>8.29E8</v>
      </c>
      <c r="H2914" s="126">
        <v>41884.0</v>
      </c>
      <c r="I2914" s="128">
        <v>6552.0</v>
      </c>
      <c r="J2914" s="128">
        <v>255.28</v>
      </c>
      <c r="K2914" s="128">
        <v>159.42</v>
      </c>
      <c r="L2914" s="128">
        <v>1672595.0</v>
      </c>
      <c r="M2914" s="128">
        <v>1044520.0</v>
      </c>
      <c r="N2914" s="128">
        <v>628074.7</v>
      </c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</row>
    <row r="2915">
      <c r="A2915" s="125" t="s">
        <v>461</v>
      </c>
      <c r="B2915" s="125" t="s">
        <v>629</v>
      </c>
      <c r="C2915" s="125" t="s">
        <v>485</v>
      </c>
      <c r="D2915" s="125" t="s">
        <v>454</v>
      </c>
      <c r="E2915" s="125" t="s">
        <v>472</v>
      </c>
      <c r="F2915" s="126">
        <v>41975.0</v>
      </c>
      <c r="G2915" s="127">
        <v>1.46E8</v>
      </c>
      <c r="H2915" s="126">
        <v>41986.0</v>
      </c>
      <c r="I2915" s="128">
        <v>9737.0</v>
      </c>
      <c r="J2915" s="128">
        <v>421.89</v>
      </c>
      <c r="K2915" s="128">
        <v>364.69</v>
      </c>
      <c r="L2915" s="128">
        <v>4107943.0</v>
      </c>
      <c r="M2915" s="128">
        <v>3550987.0</v>
      </c>
      <c r="N2915" s="128">
        <v>556956.4</v>
      </c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</row>
    <row r="2916">
      <c r="A2916" s="125" t="s">
        <v>451</v>
      </c>
      <c r="B2916" s="125" t="s">
        <v>497</v>
      </c>
      <c r="C2916" s="125" t="s">
        <v>494</v>
      </c>
      <c r="D2916" s="125" t="s">
        <v>454</v>
      </c>
      <c r="E2916" s="125" t="s">
        <v>464</v>
      </c>
      <c r="F2916" s="126">
        <v>42546.0</v>
      </c>
      <c r="G2916" s="127">
        <v>6.09E8</v>
      </c>
      <c r="H2916" s="126">
        <v>42585.0</v>
      </c>
      <c r="I2916" s="128">
        <v>5472.0</v>
      </c>
      <c r="J2916" s="128">
        <v>9.33</v>
      </c>
      <c r="K2916" s="128">
        <v>6.92</v>
      </c>
      <c r="L2916" s="128">
        <v>51053.76</v>
      </c>
      <c r="M2916" s="128">
        <v>37866.24</v>
      </c>
      <c r="N2916" s="128">
        <v>13187.52</v>
      </c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</row>
    <row r="2917">
      <c r="A2917" s="125" t="s">
        <v>475</v>
      </c>
      <c r="B2917" s="125" t="s">
        <v>588</v>
      </c>
      <c r="C2917" s="125" t="s">
        <v>514</v>
      </c>
      <c r="D2917" s="125" t="s">
        <v>454</v>
      </c>
      <c r="E2917" s="125" t="s">
        <v>464</v>
      </c>
      <c r="F2917" s="126">
        <v>42940.0</v>
      </c>
      <c r="G2917" s="127">
        <v>5.86E8</v>
      </c>
      <c r="H2917" s="126">
        <v>42947.0</v>
      </c>
      <c r="I2917" s="128">
        <v>324.0</v>
      </c>
      <c r="J2917" s="128">
        <v>668.27</v>
      </c>
      <c r="K2917" s="128">
        <v>502.54</v>
      </c>
      <c r="L2917" s="128">
        <v>216519.5</v>
      </c>
      <c r="M2917" s="128">
        <v>162823.0</v>
      </c>
      <c r="N2917" s="128">
        <v>53696.52</v>
      </c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</row>
    <row r="2918">
      <c r="A2918" s="125" t="s">
        <v>469</v>
      </c>
      <c r="B2918" s="125" t="s">
        <v>589</v>
      </c>
      <c r="C2918" s="125" t="s">
        <v>460</v>
      </c>
      <c r="D2918" s="125" t="s">
        <v>457</v>
      </c>
      <c r="E2918" s="125" t="s">
        <v>284</v>
      </c>
      <c r="F2918" s="126">
        <v>42913.0</v>
      </c>
      <c r="G2918" s="127">
        <v>7.62E8</v>
      </c>
      <c r="H2918" s="126">
        <v>42941.0</v>
      </c>
      <c r="I2918" s="128">
        <v>2891.0</v>
      </c>
      <c r="J2918" s="128">
        <v>47.45</v>
      </c>
      <c r="K2918" s="128">
        <v>31.79</v>
      </c>
      <c r="L2918" s="128">
        <v>137178.0</v>
      </c>
      <c r="M2918" s="128">
        <v>91904.89</v>
      </c>
      <c r="N2918" s="128">
        <v>45273.06</v>
      </c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</row>
    <row r="2919">
      <c r="A2919" s="125" t="s">
        <v>466</v>
      </c>
      <c r="B2919" s="125" t="s">
        <v>637</v>
      </c>
      <c r="C2919" s="125" t="s">
        <v>463</v>
      </c>
      <c r="D2919" s="125" t="s">
        <v>454</v>
      </c>
      <c r="E2919" s="125" t="s">
        <v>472</v>
      </c>
      <c r="F2919" s="126">
        <v>41230.0</v>
      </c>
      <c r="G2919" s="127">
        <v>9.94E8</v>
      </c>
      <c r="H2919" s="126">
        <v>41230.0</v>
      </c>
      <c r="I2919" s="128">
        <v>8804.0</v>
      </c>
      <c r="J2919" s="128">
        <v>205.7</v>
      </c>
      <c r="K2919" s="128">
        <v>117.11</v>
      </c>
      <c r="L2919" s="128">
        <v>1810983.0</v>
      </c>
      <c r="M2919" s="128">
        <v>1031036.0</v>
      </c>
      <c r="N2919" s="128">
        <v>779946.4</v>
      </c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</row>
    <row r="2920">
      <c r="A2920" s="125" t="s">
        <v>466</v>
      </c>
      <c r="B2920" s="125" t="s">
        <v>479</v>
      </c>
      <c r="C2920" s="125" t="s">
        <v>494</v>
      </c>
      <c r="D2920" s="125" t="s">
        <v>454</v>
      </c>
      <c r="E2920" s="125" t="s">
        <v>472</v>
      </c>
      <c r="F2920" s="126">
        <v>42577.0</v>
      </c>
      <c r="G2920" s="127">
        <v>7.57E8</v>
      </c>
      <c r="H2920" s="126">
        <v>42612.0</v>
      </c>
      <c r="I2920" s="128">
        <v>5724.0</v>
      </c>
      <c r="J2920" s="128">
        <v>9.33</v>
      </c>
      <c r="K2920" s="128">
        <v>6.92</v>
      </c>
      <c r="L2920" s="128">
        <v>53404.92</v>
      </c>
      <c r="M2920" s="128">
        <v>39610.08</v>
      </c>
      <c r="N2920" s="128">
        <v>13794.84</v>
      </c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</row>
    <row r="2921">
      <c r="A2921" s="125" t="s">
        <v>458</v>
      </c>
      <c r="B2921" s="125" t="s">
        <v>473</v>
      </c>
      <c r="C2921" s="125" t="s">
        <v>485</v>
      </c>
      <c r="D2921" s="125" t="s">
        <v>457</v>
      </c>
      <c r="E2921" s="125" t="s">
        <v>284</v>
      </c>
      <c r="F2921" s="126">
        <v>42347.0</v>
      </c>
      <c r="G2921" s="127">
        <v>4.99E8</v>
      </c>
      <c r="H2921" s="126">
        <v>42380.0</v>
      </c>
      <c r="I2921" s="128">
        <v>8342.0</v>
      </c>
      <c r="J2921" s="128">
        <v>421.89</v>
      </c>
      <c r="K2921" s="128">
        <v>364.69</v>
      </c>
      <c r="L2921" s="128">
        <v>3519406.0</v>
      </c>
      <c r="M2921" s="128">
        <v>3042244.0</v>
      </c>
      <c r="N2921" s="128">
        <v>477162.4</v>
      </c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</row>
    <row r="2922">
      <c r="A2922" s="125" t="s">
        <v>458</v>
      </c>
      <c r="B2922" s="125" t="s">
        <v>509</v>
      </c>
      <c r="C2922" s="125" t="s">
        <v>468</v>
      </c>
      <c r="D2922" s="125" t="s">
        <v>457</v>
      </c>
      <c r="E2922" s="125" t="s">
        <v>189</v>
      </c>
      <c r="F2922" s="126">
        <v>41853.0</v>
      </c>
      <c r="G2922" s="127">
        <v>2.87E8</v>
      </c>
      <c r="H2922" s="126">
        <v>41862.0</v>
      </c>
      <c r="I2922" s="128">
        <v>3383.0</v>
      </c>
      <c r="J2922" s="128">
        <v>81.73</v>
      </c>
      <c r="K2922" s="128">
        <v>56.67</v>
      </c>
      <c r="L2922" s="128">
        <v>276492.6</v>
      </c>
      <c r="M2922" s="128">
        <v>191714.6</v>
      </c>
      <c r="N2922" s="128">
        <v>84777.98</v>
      </c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</row>
    <row r="2923">
      <c r="A2923" s="125" t="s">
        <v>458</v>
      </c>
      <c r="B2923" s="125" t="s">
        <v>631</v>
      </c>
      <c r="C2923" s="125" t="s">
        <v>478</v>
      </c>
      <c r="D2923" s="125" t="s">
        <v>454</v>
      </c>
      <c r="E2923" s="125" t="s">
        <v>284</v>
      </c>
      <c r="F2923" s="126">
        <v>41416.0</v>
      </c>
      <c r="G2923" s="127">
        <v>2.59E8</v>
      </c>
      <c r="H2923" s="126">
        <v>41431.0</v>
      </c>
      <c r="I2923" s="128">
        <v>4602.0</v>
      </c>
      <c r="J2923" s="128">
        <v>651.21</v>
      </c>
      <c r="K2923" s="128">
        <v>524.96</v>
      </c>
      <c r="L2923" s="128">
        <v>2996868.0</v>
      </c>
      <c r="M2923" s="128">
        <v>2415866.0</v>
      </c>
      <c r="N2923" s="128">
        <v>581002.5</v>
      </c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</row>
    <row r="2924">
      <c r="A2924" s="125" t="s">
        <v>461</v>
      </c>
      <c r="B2924" s="125" t="s">
        <v>638</v>
      </c>
      <c r="C2924" s="125" t="s">
        <v>471</v>
      </c>
      <c r="D2924" s="125" t="s">
        <v>454</v>
      </c>
      <c r="E2924" s="125" t="s">
        <v>472</v>
      </c>
      <c r="F2924" s="126">
        <v>41744.0</v>
      </c>
      <c r="G2924" s="127">
        <v>1.72E8</v>
      </c>
      <c r="H2924" s="126">
        <v>41759.0</v>
      </c>
      <c r="I2924" s="128">
        <v>7784.0</v>
      </c>
      <c r="J2924" s="128">
        <v>109.28</v>
      </c>
      <c r="K2924" s="128">
        <v>35.84</v>
      </c>
      <c r="L2924" s="128">
        <v>850635.5</v>
      </c>
      <c r="M2924" s="128">
        <v>278978.6</v>
      </c>
      <c r="N2924" s="128">
        <v>571657.0</v>
      </c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</row>
    <row r="2925">
      <c r="A2925" s="125" t="s">
        <v>451</v>
      </c>
      <c r="B2925" s="125" t="s">
        <v>550</v>
      </c>
      <c r="C2925" s="125" t="s">
        <v>480</v>
      </c>
      <c r="D2925" s="125" t="s">
        <v>454</v>
      </c>
      <c r="E2925" s="125" t="s">
        <v>284</v>
      </c>
      <c r="F2925" s="126">
        <v>42554.0</v>
      </c>
      <c r="G2925" s="127">
        <v>7.55E8</v>
      </c>
      <c r="H2925" s="126">
        <v>42568.0</v>
      </c>
      <c r="I2925" s="128">
        <v>5748.0</v>
      </c>
      <c r="J2925" s="128">
        <v>437.2</v>
      </c>
      <c r="K2925" s="128">
        <v>263.33</v>
      </c>
      <c r="L2925" s="128">
        <v>2513026.0</v>
      </c>
      <c r="M2925" s="128">
        <v>1513621.0</v>
      </c>
      <c r="N2925" s="128">
        <v>999404.8</v>
      </c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</row>
    <row r="2926">
      <c r="A2926" s="125" t="s">
        <v>458</v>
      </c>
      <c r="B2926" s="125" t="s">
        <v>553</v>
      </c>
      <c r="C2926" s="125" t="s">
        <v>506</v>
      </c>
      <c r="D2926" s="125" t="s">
        <v>454</v>
      </c>
      <c r="E2926" s="125" t="s">
        <v>284</v>
      </c>
      <c r="F2926" s="126">
        <v>41182.0</v>
      </c>
      <c r="G2926" s="127">
        <v>5.57E8</v>
      </c>
      <c r="H2926" s="126">
        <v>41211.0</v>
      </c>
      <c r="I2926" s="128">
        <v>3341.0</v>
      </c>
      <c r="J2926" s="128">
        <v>154.06</v>
      </c>
      <c r="K2926" s="128">
        <v>90.93</v>
      </c>
      <c r="L2926" s="128">
        <v>514714.5</v>
      </c>
      <c r="M2926" s="128">
        <v>303797.1</v>
      </c>
      <c r="N2926" s="128">
        <v>210917.3</v>
      </c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</row>
    <row r="2927">
      <c r="A2927" s="125" t="s">
        <v>475</v>
      </c>
      <c r="B2927" s="125" t="s">
        <v>527</v>
      </c>
      <c r="C2927" s="125" t="s">
        <v>471</v>
      </c>
      <c r="D2927" s="125" t="s">
        <v>454</v>
      </c>
      <c r="E2927" s="125" t="s">
        <v>189</v>
      </c>
      <c r="F2927" s="126">
        <v>42272.0</v>
      </c>
      <c r="G2927" s="127">
        <v>8.95E8</v>
      </c>
      <c r="H2927" s="126">
        <v>42285.0</v>
      </c>
      <c r="I2927" s="128">
        <v>2443.0</v>
      </c>
      <c r="J2927" s="128">
        <v>109.28</v>
      </c>
      <c r="K2927" s="128">
        <v>35.84</v>
      </c>
      <c r="L2927" s="128">
        <v>266971.0</v>
      </c>
      <c r="M2927" s="128">
        <v>87557.12</v>
      </c>
      <c r="N2927" s="128">
        <v>179413.9</v>
      </c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</row>
    <row r="2928">
      <c r="A2928" s="125" t="s">
        <v>451</v>
      </c>
      <c r="B2928" s="125" t="s">
        <v>543</v>
      </c>
      <c r="C2928" s="125" t="s">
        <v>456</v>
      </c>
      <c r="D2928" s="125" t="s">
        <v>454</v>
      </c>
      <c r="E2928" s="125" t="s">
        <v>464</v>
      </c>
      <c r="F2928" s="126">
        <v>42554.0</v>
      </c>
      <c r="G2928" s="127">
        <v>9.09E8</v>
      </c>
      <c r="H2928" s="126">
        <v>42592.0</v>
      </c>
      <c r="I2928" s="128">
        <v>6967.0</v>
      </c>
      <c r="J2928" s="128">
        <v>152.58</v>
      </c>
      <c r="K2928" s="128">
        <v>97.44</v>
      </c>
      <c r="L2928" s="128">
        <v>1063025.0</v>
      </c>
      <c r="M2928" s="128">
        <v>678864.5</v>
      </c>
      <c r="N2928" s="128">
        <v>384160.4</v>
      </c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</row>
    <row r="2929">
      <c r="A2929" s="125" t="s">
        <v>461</v>
      </c>
      <c r="B2929" s="125" t="s">
        <v>599</v>
      </c>
      <c r="C2929" s="125" t="s">
        <v>453</v>
      </c>
      <c r="D2929" s="125" t="s">
        <v>457</v>
      </c>
      <c r="E2929" s="125" t="s">
        <v>189</v>
      </c>
      <c r="F2929" s="126">
        <v>40536.0</v>
      </c>
      <c r="G2929" s="127">
        <v>7.09E8</v>
      </c>
      <c r="H2929" s="126">
        <v>40544.0</v>
      </c>
      <c r="I2929" s="128">
        <v>7853.0</v>
      </c>
      <c r="J2929" s="128">
        <v>255.28</v>
      </c>
      <c r="K2929" s="128">
        <v>159.42</v>
      </c>
      <c r="L2929" s="128">
        <v>2004714.0</v>
      </c>
      <c r="M2929" s="128">
        <v>1251925.0</v>
      </c>
      <c r="N2929" s="128">
        <v>752788.6</v>
      </c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</row>
    <row r="2930">
      <c r="A2930" s="125" t="s">
        <v>458</v>
      </c>
      <c r="B2930" s="125" t="s">
        <v>643</v>
      </c>
      <c r="C2930" s="125" t="s">
        <v>506</v>
      </c>
      <c r="D2930" s="125" t="s">
        <v>457</v>
      </c>
      <c r="E2930" s="125" t="s">
        <v>189</v>
      </c>
      <c r="F2930" s="126">
        <v>40642.0</v>
      </c>
      <c r="G2930" s="127">
        <v>9.24E8</v>
      </c>
      <c r="H2930" s="126">
        <v>40686.0</v>
      </c>
      <c r="I2930" s="128">
        <v>8076.0</v>
      </c>
      <c r="J2930" s="128">
        <v>154.06</v>
      </c>
      <c r="K2930" s="128">
        <v>90.93</v>
      </c>
      <c r="L2930" s="128">
        <v>1244189.0</v>
      </c>
      <c r="M2930" s="128">
        <v>734350.7</v>
      </c>
      <c r="N2930" s="128">
        <v>509837.9</v>
      </c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</row>
    <row r="2931">
      <c r="A2931" s="125" t="s">
        <v>466</v>
      </c>
      <c r="B2931" s="125" t="s">
        <v>625</v>
      </c>
      <c r="C2931" s="125" t="s">
        <v>506</v>
      </c>
      <c r="D2931" s="125" t="s">
        <v>457</v>
      </c>
      <c r="E2931" s="125" t="s">
        <v>189</v>
      </c>
      <c r="F2931" s="126">
        <v>40773.0</v>
      </c>
      <c r="G2931" s="127">
        <v>4.54E8</v>
      </c>
      <c r="H2931" s="126">
        <v>40777.0</v>
      </c>
      <c r="I2931" s="128">
        <v>7641.0</v>
      </c>
      <c r="J2931" s="128">
        <v>154.06</v>
      </c>
      <c r="K2931" s="128">
        <v>90.93</v>
      </c>
      <c r="L2931" s="128">
        <v>1177172.0</v>
      </c>
      <c r="M2931" s="128">
        <v>694796.1</v>
      </c>
      <c r="N2931" s="128">
        <v>482376.3</v>
      </c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</row>
    <row r="2932">
      <c r="A2932" s="125" t="s">
        <v>466</v>
      </c>
      <c r="B2932" s="125" t="s">
        <v>492</v>
      </c>
      <c r="C2932" s="125" t="s">
        <v>456</v>
      </c>
      <c r="D2932" s="125" t="s">
        <v>454</v>
      </c>
      <c r="E2932" s="125" t="s">
        <v>464</v>
      </c>
      <c r="F2932" s="126">
        <v>41982.0</v>
      </c>
      <c r="G2932" s="127">
        <v>5.2E8</v>
      </c>
      <c r="H2932" s="126">
        <v>41992.0</v>
      </c>
      <c r="I2932" s="128">
        <v>8583.0</v>
      </c>
      <c r="J2932" s="128">
        <v>152.58</v>
      </c>
      <c r="K2932" s="128">
        <v>97.44</v>
      </c>
      <c r="L2932" s="128">
        <v>1309594.0</v>
      </c>
      <c r="M2932" s="128">
        <v>836327.5</v>
      </c>
      <c r="N2932" s="128">
        <v>473266.6</v>
      </c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</row>
    <row r="2933">
      <c r="A2933" s="125" t="s">
        <v>469</v>
      </c>
      <c r="B2933" s="125" t="s">
        <v>634</v>
      </c>
      <c r="C2933" s="125" t="s">
        <v>463</v>
      </c>
      <c r="D2933" s="125" t="s">
        <v>454</v>
      </c>
      <c r="E2933" s="125" t="s">
        <v>464</v>
      </c>
      <c r="F2933" s="126">
        <v>41566.0</v>
      </c>
      <c r="G2933" s="127">
        <v>6.12E8</v>
      </c>
      <c r="H2933" s="126">
        <v>41588.0</v>
      </c>
      <c r="I2933" s="128">
        <v>9971.0</v>
      </c>
      <c r="J2933" s="128">
        <v>205.7</v>
      </c>
      <c r="K2933" s="128">
        <v>117.11</v>
      </c>
      <c r="L2933" s="128">
        <v>2051035.0</v>
      </c>
      <c r="M2933" s="128">
        <v>1167704.0</v>
      </c>
      <c r="N2933" s="128">
        <v>883330.9</v>
      </c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</row>
    <row r="2934">
      <c r="A2934" s="125" t="s">
        <v>458</v>
      </c>
      <c r="B2934" s="125" t="s">
        <v>518</v>
      </c>
      <c r="C2934" s="125" t="s">
        <v>456</v>
      </c>
      <c r="D2934" s="125" t="s">
        <v>457</v>
      </c>
      <c r="E2934" s="125" t="s">
        <v>284</v>
      </c>
      <c r="F2934" s="126">
        <v>42739.0</v>
      </c>
      <c r="G2934" s="127">
        <v>7.42E8</v>
      </c>
      <c r="H2934" s="126">
        <v>42752.0</v>
      </c>
      <c r="I2934" s="128">
        <v>2902.0</v>
      </c>
      <c r="J2934" s="128">
        <v>152.58</v>
      </c>
      <c r="K2934" s="128">
        <v>97.44</v>
      </c>
      <c r="L2934" s="128">
        <v>442787.2</v>
      </c>
      <c r="M2934" s="128">
        <v>282770.9</v>
      </c>
      <c r="N2934" s="128">
        <v>160016.3</v>
      </c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</row>
    <row r="2935">
      <c r="A2935" s="125" t="s">
        <v>475</v>
      </c>
      <c r="B2935" s="125" t="s">
        <v>548</v>
      </c>
      <c r="C2935" s="125" t="s">
        <v>494</v>
      </c>
      <c r="D2935" s="125" t="s">
        <v>454</v>
      </c>
      <c r="E2935" s="125" t="s">
        <v>472</v>
      </c>
      <c r="F2935" s="126">
        <v>42192.0</v>
      </c>
      <c r="G2935" s="127">
        <v>9.9E8</v>
      </c>
      <c r="H2935" s="126">
        <v>42237.0</v>
      </c>
      <c r="I2935" s="128">
        <v>5507.0</v>
      </c>
      <c r="J2935" s="128">
        <v>9.33</v>
      </c>
      <c r="K2935" s="128">
        <v>6.92</v>
      </c>
      <c r="L2935" s="128">
        <v>51380.31</v>
      </c>
      <c r="M2935" s="128">
        <v>38108.44</v>
      </c>
      <c r="N2935" s="128">
        <v>13271.87</v>
      </c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</row>
    <row r="2936">
      <c r="A2936" s="125" t="s">
        <v>466</v>
      </c>
      <c r="B2936" s="125" t="s">
        <v>492</v>
      </c>
      <c r="C2936" s="125" t="s">
        <v>460</v>
      </c>
      <c r="D2936" s="125" t="s">
        <v>457</v>
      </c>
      <c r="E2936" s="125" t="s">
        <v>189</v>
      </c>
      <c r="F2936" s="126">
        <v>42534.0</v>
      </c>
      <c r="G2936" s="127">
        <v>1.59E8</v>
      </c>
      <c r="H2936" s="126">
        <v>42575.0</v>
      </c>
      <c r="I2936" s="128">
        <v>7946.0</v>
      </c>
      <c r="J2936" s="128">
        <v>47.45</v>
      </c>
      <c r="K2936" s="128">
        <v>31.79</v>
      </c>
      <c r="L2936" s="128">
        <v>377037.7</v>
      </c>
      <c r="M2936" s="128">
        <v>252603.3</v>
      </c>
      <c r="N2936" s="128">
        <v>124434.4</v>
      </c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</row>
    <row r="2937">
      <c r="A2937" s="125" t="s">
        <v>475</v>
      </c>
      <c r="B2937" s="125" t="s">
        <v>636</v>
      </c>
      <c r="C2937" s="125" t="s">
        <v>514</v>
      </c>
      <c r="D2937" s="125" t="s">
        <v>457</v>
      </c>
      <c r="E2937" s="125" t="s">
        <v>284</v>
      </c>
      <c r="F2937" s="126">
        <v>42618.0</v>
      </c>
      <c r="G2937" s="127">
        <v>7.19E8</v>
      </c>
      <c r="H2937" s="126">
        <v>42634.0</v>
      </c>
      <c r="I2937" s="128">
        <v>7413.0</v>
      </c>
      <c r="J2937" s="128">
        <v>668.27</v>
      </c>
      <c r="K2937" s="128">
        <v>502.54</v>
      </c>
      <c r="L2937" s="128">
        <v>4953886.0</v>
      </c>
      <c r="M2937" s="128">
        <v>3725329.0</v>
      </c>
      <c r="N2937" s="128">
        <v>1228556.0</v>
      </c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</row>
    <row r="2938">
      <c r="A2938" s="125" t="s">
        <v>466</v>
      </c>
      <c r="B2938" s="125" t="s">
        <v>496</v>
      </c>
      <c r="C2938" s="125" t="s">
        <v>463</v>
      </c>
      <c r="D2938" s="125" t="s">
        <v>454</v>
      </c>
      <c r="E2938" s="125" t="s">
        <v>464</v>
      </c>
      <c r="F2938" s="126">
        <v>41682.0</v>
      </c>
      <c r="G2938" s="127">
        <v>2.64E8</v>
      </c>
      <c r="H2938" s="126">
        <v>41727.0</v>
      </c>
      <c r="I2938" s="128">
        <v>3130.0</v>
      </c>
      <c r="J2938" s="128">
        <v>205.7</v>
      </c>
      <c r="K2938" s="128">
        <v>117.11</v>
      </c>
      <c r="L2938" s="128">
        <v>643841.0</v>
      </c>
      <c r="M2938" s="128">
        <v>366554.3</v>
      </c>
      <c r="N2938" s="128">
        <v>277286.7</v>
      </c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</row>
    <row r="2939">
      <c r="A2939" s="125" t="s">
        <v>461</v>
      </c>
      <c r="B2939" s="125" t="s">
        <v>542</v>
      </c>
      <c r="C2939" s="125" t="s">
        <v>456</v>
      </c>
      <c r="D2939" s="125" t="s">
        <v>457</v>
      </c>
      <c r="E2939" s="125" t="s">
        <v>284</v>
      </c>
      <c r="F2939" s="126">
        <v>40737.0</v>
      </c>
      <c r="G2939" s="127">
        <v>9.56E8</v>
      </c>
      <c r="H2939" s="126">
        <v>40780.0</v>
      </c>
      <c r="I2939" s="128">
        <v>1353.0</v>
      </c>
      <c r="J2939" s="128">
        <v>152.58</v>
      </c>
      <c r="K2939" s="128">
        <v>97.44</v>
      </c>
      <c r="L2939" s="128">
        <v>206440.7</v>
      </c>
      <c r="M2939" s="128">
        <v>131836.3</v>
      </c>
      <c r="N2939" s="128">
        <v>74604.42</v>
      </c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</row>
    <row r="2940">
      <c r="A2940" s="125" t="s">
        <v>461</v>
      </c>
      <c r="B2940" s="125" t="s">
        <v>629</v>
      </c>
      <c r="C2940" s="125" t="s">
        <v>506</v>
      </c>
      <c r="D2940" s="125" t="s">
        <v>457</v>
      </c>
      <c r="E2940" s="125" t="s">
        <v>464</v>
      </c>
      <c r="F2940" s="126">
        <v>41186.0</v>
      </c>
      <c r="G2940" s="127">
        <v>9.78E8</v>
      </c>
      <c r="H2940" s="126">
        <v>41224.0</v>
      </c>
      <c r="I2940" s="128">
        <v>368.0</v>
      </c>
      <c r="J2940" s="128">
        <v>154.06</v>
      </c>
      <c r="K2940" s="128">
        <v>90.93</v>
      </c>
      <c r="L2940" s="128">
        <v>56694.08</v>
      </c>
      <c r="M2940" s="128">
        <v>33462.24</v>
      </c>
      <c r="N2940" s="128">
        <v>23231.84</v>
      </c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</row>
    <row r="2941">
      <c r="A2941" s="125" t="s">
        <v>461</v>
      </c>
      <c r="B2941" s="125" t="s">
        <v>599</v>
      </c>
      <c r="C2941" s="125" t="s">
        <v>453</v>
      </c>
      <c r="D2941" s="125" t="s">
        <v>454</v>
      </c>
      <c r="E2941" s="125" t="s">
        <v>464</v>
      </c>
      <c r="F2941" s="126">
        <v>40667.0</v>
      </c>
      <c r="G2941" s="127">
        <v>3.83E8</v>
      </c>
      <c r="H2941" s="126">
        <v>40713.0</v>
      </c>
      <c r="I2941" s="128">
        <v>5492.0</v>
      </c>
      <c r="J2941" s="128">
        <v>255.28</v>
      </c>
      <c r="K2941" s="128">
        <v>159.42</v>
      </c>
      <c r="L2941" s="128">
        <v>1401998.0</v>
      </c>
      <c r="M2941" s="128">
        <v>875534.6</v>
      </c>
      <c r="N2941" s="128">
        <v>526463.1</v>
      </c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</row>
    <row r="2942">
      <c r="A2942" s="125" t="s">
        <v>461</v>
      </c>
      <c r="B2942" s="125" t="s">
        <v>586</v>
      </c>
      <c r="C2942" s="125" t="s">
        <v>494</v>
      </c>
      <c r="D2942" s="125" t="s">
        <v>457</v>
      </c>
      <c r="E2942" s="125" t="s">
        <v>464</v>
      </c>
      <c r="F2942" s="126">
        <v>42743.0</v>
      </c>
      <c r="G2942" s="127">
        <v>6.44E8</v>
      </c>
      <c r="H2942" s="126">
        <v>42789.0</v>
      </c>
      <c r="I2942" s="128">
        <v>4074.0</v>
      </c>
      <c r="J2942" s="128">
        <v>9.33</v>
      </c>
      <c r="K2942" s="128">
        <v>6.92</v>
      </c>
      <c r="L2942" s="128">
        <v>38010.42</v>
      </c>
      <c r="M2942" s="128">
        <v>28192.08</v>
      </c>
      <c r="N2942" s="128">
        <v>9818.34</v>
      </c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</row>
    <row r="2943">
      <c r="A2943" s="125" t="s">
        <v>458</v>
      </c>
      <c r="B2943" s="125" t="s">
        <v>603</v>
      </c>
      <c r="C2943" s="125" t="s">
        <v>494</v>
      </c>
      <c r="D2943" s="125" t="s">
        <v>457</v>
      </c>
      <c r="E2943" s="125" t="s">
        <v>472</v>
      </c>
      <c r="F2943" s="126">
        <v>41682.0</v>
      </c>
      <c r="G2943" s="127">
        <v>6.05E8</v>
      </c>
      <c r="H2943" s="126">
        <v>41688.0</v>
      </c>
      <c r="I2943" s="128">
        <v>493.0</v>
      </c>
      <c r="J2943" s="128">
        <v>9.33</v>
      </c>
      <c r="K2943" s="128">
        <v>6.92</v>
      </c>
      <c r="L2943" s="128">
        <v>4599.69</v>
      </c>
      <c r="M2943" s="128">
        <v>3411.56</v>
      </c>
      <c r="N2943" s="128">
        <v>1188.13</v>
      </c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</row>
    <row r="2944">
      <c r="A2944" s="125" t="s">
        <v>461</v>
      </c>
      <c r="B2944" s="125" t="s">
        <v>581</v>
      </c>
      <c r="C2944" s="125" t="s">
        <v>494</v>
      </c>
      <c r="D2944" s="125" t="s">
        <v>454</v>
      </c>
      <c r="E2944" s="125" t="s">
        <v>464</v>
      </c>
      <c r="F2944" s="126">
        <v>40443.0</v>
      </c>
      <c r="G2944" s="127">
        <v>5.31E8</v>
      </c>
      <c r="H2944" s="126">
        <v>40450.0</v>
      </c>
      <c r="I2944" s="128">
        <v>1162.0</v>
      </c>
      <c r="J2944" s="128">
        <v>9.33</v>
      </c>
      <c r="K2944" s="128">
        <v>6.92</v>
      </c>
      <c r="L2944" s="128">
        <v>10841.46</v>
      </c>
      <c r="M2944" s="128">
        <v>8041.04</v>
      </c>
      <c r="N2944" s="128">
        <v>2800.42</v>
      </c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</row>
    <row r="2945">
      <c r="A2945" s="125" t="s">
        <v>469</v>
      </c>
      <c r="B2945" s="125" t="s">
        <v>647</v>
      </c>
      <c r="C2945" s="125" t="s">
        <v>506</v>
      </c>
      <c r="D2945" s="125" t="s">
        <v>457</v>
      </c>
      <c r="E2945" s="125" t="s">
        <v>189</v>
      </c>
      <c r="F2945" s="126">
        <v>40986.0</v>
      </c>
      <c r="G2945" s="127">
        <v>7.55E8</v>
      </c>
      <c r="H2945" s="126">
        <v>41005.0</v>
      </c>
      <c r="I2945" s="128">
        <v>9521.0</v>
      </c>
      <c r="J2945" s="128">
        <v>154.06</v>
      </c>
      <c r="K2945" s="128">
        <v>90.93</v>
      </c>
      <c r="L2945" s="128">
        <v>1466805.0</v>
      </c>
      <c r="M2945" s="128">
        <v>865744.5</v>
      </c>
      <c r="N2945" s="128">
        <v>601060.7</v>
      </c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</row>
    <row r="2946">
      <c r="A2946" s="125" t="s">
        <v>458</v>
      </c>
      <c r="B2946" s="125" t="s">
        <v>559</v>
      </c>
      <c r="C2946" s="125" t="s">
        <v>485</v>
      </c>
      <c r="D2946" s="125" t="s">
        <v>454</v>
      </c>
      <c r="E2946" s="125" t="s">
        <v>464</v>
      </c>
      <c r="F2946" s="126">
        <v>42897.0</v>
      </c>
      <c r="G2946" s="127">
        <v>3.33E8</v>
      </c>
      <c r="H2946" s="126">
        <v>42921.0</v>
      </c>
      <c r="I2946" s="128">
        <v>1046.0</v>
      </c>
      <c r="J2946" s="128">
        <v>421.89</v>
      </c>
      <c r="K2946" s="128">
        <v>364.69</v>
      </c>
      <c r="L2946" s="128">
        <v>441296.9</v>
      </c>
      <c r="M2946" s="128">
        <v>381465.7</v>
      </c>
      <c r="N2946" s="128">
        <v>59831.2</v>
      </c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</row>
    <row r="2947">
      <c r="A2947" s="125" t="s">
        <v>461</v>
      </c>
      <c r="B2947" s="125" t="s">
        <v>525</v>
      </c>
      <c r="C2947" s="125" t="s">
        <v>456</v>
      </c>
      <c r="D2947" s="125" t="s">
        <v>457</v>
      </c>
      <c r="E2947" s="125" t="s">
        <v>189</v>
      </c>
      <c r="F2947" s="126">
        <v>42001.0</v>
      </c>
      <c r="G2947" s="127">
        <v>1.9E8</v>
      </c>
      <c r="H2947" s="126">
        <v>42044.0</v>
      </c>
      <c r="I2947" s="128">
        <v>8240.0</v>
      </c>
      <c r="J2947" s="128">
        <v>152.58</v>
      </c>
      <c r="K2947" s="128">
        <v>97.44</v>
      </c>
      <c r="L2947" s="128">
        <v>1257259.0</v>
      </c>
      <c r="M2947" s="128">
        <v>802905.6</v>
      </c>
      <c r="N2947" s="128">
        <v>454353.6</v>
      </c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</row>
    <row r="2948">
      <c r="A2948" s="125" t="s">
        <v>469</v>
      </c>
      <c r="B2948" s="125" t="s">
        <v>503</v>
      </c>
      <c r="C2948" s="125" t="s">
        <v>460</v>
      </c>
      <c r="D2948" s="125" t="s">
        <v>454</v>
      </c>
      <c r="E2948" s="125" t="s">
        <v>189</v>
      </c>
      <c r="F2948" s="126">
        <v>42812.0</v>
      </c>
      <c r="G2948" s="127">
        <v>8.7E8</v>
      </c>
      <c r="H2948" s="126">
        <v>42820.0</v>
      </c>
      <c r="I2948" s="128">
        <v>5639.0</v>
      </c>
      <c r="J2948" s="128">
        <v>47.45</v>
      </c>
      <c r="K2948" s="128">
        <v>31.79</v>
      </c>
      <c r="L2948" s="128">
        <v>267570.6</v>
      </c>
      <c r="M2948" s="128">
        <v>179263.8</v>
      </c>
      <c r="N2948" s="128">
        <v>88306.74</v>
      </c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</row>
    <row r="2949">
      <c r="A2949" s="125" t="s">
        <v>461</v>
      </c>
      <c r="B2949" s="125" t="s">
        <v>586</v>
      </c>
      <c r="C2949" s="125" t="s">
        <v>460</v>
      </c>
      <c r="D2949" s="125" t="s">
        <v>454</v>
      </c>
      <c r="E2949" s="125" t="s">
        <v>284</v>
      </c>
      <c r="F2949" s="126">
        <v>40549.0</v>
      </c>
      <c r="G2949" s="127">
        <v>2.91E8</v>
      </c>
      <c r="H2949" s="126">
        <v>40595.0</v>
      </c>
      <c r="I2949" s="128">
        <v>4813.0</v>
      </c>
      <c r="J2949" s="128">
        <v>47.45</v>
      </c>
      <c r="K2949" s="128">
        <v>31.79</v>
      </c>
      <c r="L2949" s="128">
        <v>228376.9</v>
      </c>
      <c r="M2949" s="128">
        <v>153005.3</v>
      </c>
      <c r="N2949" s="128">
        <v>75371.58</v>
      </c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</row>
    <row r="2950">
      <c r="A2950" s="125" t="s">
        <v>458</v>
      </c>
      <c r="B2950" s="125" t="s">
        <v>533</v>
      </c>
      <c r="C2950" s="125" t="s">
        <v>480</v>
      </c>
      <c r="D2950" s="125" t="s">
        <v>457</v>
      </c>
      <c r="E2950" s="125" t="s">
        <v>472</v>
      </c>
      <c r="F2950" s="126">
        <v>41885.0</v>
      </c>
      <c r="G2950" s="127">
        <v>4.86E8</v>
      </c>
      <c r="H2950" s="126">
        <v>41923.0</v>
      </c>
      <c r="I2950" s="128">
        <v>9357.0</v>
      </c>
      <c r="J2950" s="128">
        <v>437.2</v>
      </c>
      <c r="K2950" s="128">
        <v>263.33</v>
      </c>
      <c r="L2950" s="128">
        <v>4090880.0</v>
      </c>
      <c r="M2950" s="128">
        <v>2463979.0</v>
      </c>
      <c r="N2950" s="128">
        <v>1626902.0</v>
      </c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</row>
    <row r="2951">
      <c r="A2951" s="125" t="s">
        <v>451</v>
      </c>
      <c r="B2951" s="125" t="s">
        <v>550</v>
      </c>
      <c r="C2951" s="125" t="s">
        <v>468</v>
      </c>
      <c r="D2951" s="125" t="s">
        <v>457</v>
      </c>
      <c r="E2951" s="125" t="s">
        <v>189</v>
      </c>
      <c r="F2951" s="126">
        <v>41435.0</v>
      </c>
      <c r="G2951" s="127">
        <v>8.64E8</v>
      </c>
      <c r="H2951" s="126">
        <v>41445.0</v>
      </c>
      <c r="I2951" s="128">
        <v>9904.0</v>
      </c>
      <c r="J2951" s="128">
        <v>81.73</v>
      </c>
      <c r="K2951" s="128">
        <v>56.67</v>
      </c>
      <c r="L2951" s="128">
        <v>809453.9</v>
      </c>
      <c r="M2951" s="128">
        <v>561259.7</v>
      </c>
      <c r="N2951" s="128">
        <v>248194.2</v>
      </c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</row>
    <row r="2952">
      <c r="A2952" s="125" t="s">
        <v>475</v>
      </c>
      <c r="B2952" s="125" t="s">
        <v>624</v>
      </c>
      <c r="C2952" s="125" t="s">
        <v>468</v>
      </c>
      <c r="D2952" s="125" t="s">
        <v>457</v>
      </c>
      <c r="E2952" s="125" t="s">
        <v>284</v>
      </c>
      <c r="F2952" s="126">
        <v>42502.0</v>
      </c>
      <c r="G2952" s="127">
        <v>4.5E8</v>
      </c>
      <c r="H2952" s="126">
        <v>42552.0</v>
      </c>
      <c r="I2952" s="128">
        <v>9114.0</v>
      </c>
      <c r="J2952" s="128">
        <v>81.73</v>
      </c>
      <c r="K2952" s="128">
        <v>56.67</v>
      </c>
      <c r="L2952" s="128">
        <v>744887.2</v>
      </c>
      <c r="M2952" s="128">
        <v>516490.4</v>
      </c>
      <c r="N2952" s="128">
        <v>228396.8</v>
      </c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</row>
    <row r="2953">
      <c r="A2953" s="125" t="s">
        <v>475</v>
      </c>
      <c r="B2953" s="125" t="s">
        <v>657</v>
      </c>
      <c r="C2953" s="125" t="s">
        <v>456</v>
      </c>
      <c r="D2953" s="125" t="s">
        <v>454</v>
      </c>
      <c r="E2953" s="125" t="s">
        <v>472</v>
      </c>
      <c r="F2953" s="126">
        <v>41863.0</v>
      </c>
      <c r="G2953" s="127">
        <v>1.42E8</v>
      </c>
      <c r="H2953" s="126">
        <v>41894.0</v>
      </c>
      <c r="I2953" s="128">
        <v>6679.0</v>
      </c>
      <c r="J2953" s="128">
        <v>152.58</v>
      </c>
      <c r="K2953" s="128">
        <v>97.44</v>
      </c>
      <c r="L2953" s="128">
        <v>1019082.0</v>
      </c>
      <c r="M2953" s="128">
        <v>650801.8</v>
      </c>
      <c r="N2953" s="128">
        <v>368280.1</v>
      </c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</row>
    <row r="2954">
      <c r="A2954" s="125" t="s">
        <v>475</v>
      </c>
      <c r="B2954" s="125" t="s">
        <v>623</v>
      </c>
      <c r="C2954" s="125" t="s">
        <v>478</v>
      </c>
      <c r="D2954" s="125" t="s">
        <v>454</v>
      </c>
      <c r="E2954" s="125" t="s">
        <v>464</v>
      </c>
      <c r="F2954" s="126">
        <v>42213.0</v>
      </c>
      <c r="G2954" s="127">
        <v>4.56E8</v>
      </c>
      <c r="H2954" s="126">
        <v>42258.0</v>
      </c>
      <c r="I2954" s="128">
        <v>4322.0</v>
      </c>
      <c r="J2954" s="128">
        <v>651.21</v>
      </c>
      <c r="K2954" s="128">
        <v>524.96</v>
      </c>
      <c r="L2954" s="128">
        <v>2814530.0</v>
      </c>
      <c r="M2954" s="128">
        <v>2268877.0</v>
      </c>
      <c r="N2954" s="128">
        <v>545652.5</v>
      </c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</row>
    <row r="2955">
      <c r="A2955" s="125" t="s">
        <v>458</v>
      </c>
      <c r="B2955" s="125" t="s">
        <v>555</v>
      </c>
      <c r="C2955" s="125" t="s">
        <v>460</v>
      </c>
      <c r="D2955" s="125" t="s">
        <v>454</v>
      </c>
      <c r="E2955" s="125" t="s">
        <v>189</v>
      </c>
      <c r="F2955" s="126">
        <v>42490.0</v>
      </c>
      <c r="G2955" s="127">
        <v>1.8E8</v>
      </c>
      <c r="H2955" s="126">
        <v>42506.0</v>
      </c>
      <c r="I2955" s="128">
        <v>800.0</v>
      </c>
      <c r="J2955" s="128">
        <v>47.45</v>
      </c>
      <c r="K2955" s="128">
        <v>31.79</v>
      </c>
      <c r="L2955" s="128">
        <v>37960.0</v>
      </c>
      <c r="M2955" s="128">
        <v>25432.0</v>
      </c>
      <c r="N2955" s="128">
        <v>12528.0</v>
      </c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</row>
    <row r="2956">
      <c r="A2956" s="125" t="s">
        <v>461</v>
      </c>
      <c r="B2956" s="125" t="s">
        <v>564</v>
      </c>
      <c r="C2956" s="125" t="s">
        <v>485</v>
      </c>
      <c r="D2956" s="125" t="s">
        <v>457</v>
      </c>
      <c r="E2956" s="125" t="s">
        <v>472</v>
      </c>
      <c r="F2956" s="126">
        <v>42021.0</v>
      </c>
      <c r="G2956" s="127">
        <v>4.23E8</v>
      </c>
      <c r="H2956" s="126">
        <v>42058.0</v>
      </c>
      <c r="I2956" s="128">
        <v>6897.0</v>
      </c>
      <c r="J2956" s="128">
        <v>421.89</v>
      </c>
      <c r="K2956" s="128">
        <v>364.69</v>
      </c>
      <c r="L2956" s="128">
        <v>2909775.0</v>
      </c>
      <c r="M2956" s="128">
        <v>2515267.0</v>
      </c>
      <c r="N2956" s="128">
        <v>394508.4</v>
      </c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</row>
    <row r="2957">
      <c r="A2957" s="125" t="s">
        <v>466</v>
      </c>
      <c r="B2957" s="125" t="s">
        <v>612</v>
      </c>
      <c r="C2957" s="125" t="s">
        <v>506</v>
      </c>
      <c r="D2957" s="125" t="s">
        <v>457</v>
      </c>
      <c r="E2957" s="125" t="s">
        <v>189</v>
      </c>
      <c r="F2957" s="126">
        <v>41902.0</v>
      </c>
      <c r="G2957" s="127">
        <v>5.62E8</v>
      </c>
      <c r="H2957" s="126">
        <v>41937.0</v>
      </c>
      <c r="I2957" s="128">
        <v>432.0</v>
      </c>
      <c r="J2957" s="128">
        <v>154.06</v>
      </c>
      <c r="K2957" s="128">
        <v>90.93</v>
      </c>
      <c r="L2957" s="128">
        <v>66553.92</v>
      </c>
      <c r="M2957" s="128">
        <v>39281.76</v>
      </c>
      <c r="N2957" s="128">
        <v>27272.16</v>
      </c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</row>
    <row r="2958">
      <c r="A2958" s="125" t="s">
        <v>461</v>
      </c>
      <c r="B2958" s="125" t="s">
        <v>556</v>
      </c>
      <c r="C2958" s="125" t="s">
        <v>485</v>
      </c>
      <c r="D2958" s="125" t="s">
        <v>457</v>
      </c>
      <c r="E2958" s="125" t="s">
        <v>464</v>
      </c>
      <c r="F2958" s="126">
        <v>40856.0</v>
      </c>
      <c r="G2958" s="127">
        <v>4.95E8</v>
      </c>
      <c r="H2958" s="126">
        <v>40858.0</v>
      </c>
      <c r="I2958" s="128">
        <v>1252.0</v>
      </c>
      <c r="J2958" s="128">
        <v>421.89</v>
      </c>
      <c r="K2958" s="128">
        <v>364.69</v>
      </c>
      <c r="L2958" s="128">
        <v>528206.3</v>
      </c>
      <c r="M2958" s="128">
        <v>456591.9</v>
      </c>
      <c r="N2958" s="128">
        <v>71614.4</v>
      </c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</row>
    <row r="2959">
      <c r="A2959" s="125" t="s">
        <v>475</v>
      </c>
      <c r="B2959" s="125" t="s">
        <v>571</v>
      </c>
      <c r="C2959" s="125" t="s">
        <v>453</v>
      </c>
      <c r="D2959" s="125" t="s">
        <v>454</v>
      </c>
      <c r="E2959" s="125" t="s">
        <v>472</v>
      </c>
      <c r="F2959" s="126">
        <v>42141.0</v>
      </c>
      <c r="G2959" s="127">
        <v>1.92E8</v>
      </c>
      <c r="H2959" s="126">
        <v>42160.0</v>
      </c>
      <c r="I2959" s="128">
        <v>6239.0</v>
      </c>
      <c r="J2959" s="128">
        <v>255.28</v>
      </c>
      <c r="K2959" s="128">
        <v>159.42</v>
      </c>
      <c r="L2959" s="128">
        <v>1592692.0</v>
      </c>
      <c r="M2959" s="128">
        <v>994621.4</v>
      </c>
      <c r="N2959" s="128">
        <v>598070.5</v>
      </c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</row>
    <row r="2960">
      <c r="A2960" s="125" t="s">
        <v>458</v>
      </c>
      <c r="B2960" s="125" t="s">
        <v>653</v>
      </c>
      <c r="C2960" s="125" t="s">
        <v>471</v>
      </c>
      <c r="D2960" s="125" t="s">
        <v>454</v>
      </c>
      <c r="E2960" s="125" t="s">
        <v>472</v>
      </c>
      <c r="F2960" s="126">
        <v>41108.0</v>
      </c>
      <c r="G2960" s="127">
        <v>1.42E8</v>
      </c>
      <c r="H2960" s="126">
        <v>41137.0</v>
      </c>
      <c r="I2960" s="128">
        <v>4302.0</v>
      </c>
      <c r="J2960" s="128">
        <v>109.28</v>
      </c>
      <c r="K2960" s="128">
        <v>35.84</v>
      </c>
      <c r="L2960" s="128">
        <v>470122.6</v>
      </c>
      <c r="M2960" s="128">
        <v>154183.7</v>
      </c>
      <c r="N2960" s="128">
        <v>315938.9</v>
      </c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</row>
    <row r="2961">
      <c r="A2961" s="125" t="s">
        <v>466</v>
      </c>
      <c r="B2961" s="125" t="s">
        <v>479</v>
      </c>
      <c r="C2961" s="125" t="s">
        <v>471</v>
      </c>
      <c r="D2961" s="125" t="s">
        <v>457</v>
      </c>
      <c r="E2961" s="125" t="s">
        <v>464</v>
      </c>
      <c r="F2961" s="126">
        <v>40409.0</v>
      </c>
      <c r="G2961" s="127">
        <v>9.04E8</v>
      </c>
      <c r="H2961" s="126">
        <v>40422.0</v>
      </c>
      <c r="I2961" s="128">
        <v>1385.0</v>
      </c>
      <c r="J2961" s="128">
        <v>109.28</v>
      </c>
      <c r="K2961" s="128">
        <v>35.84</v>
      </c>
      <c r="L2961" s="128">
        <v>151352.8</v>
      </c>
      <c r="M2961" s="128">
        <v>49638.4</v>
      </c>
      <c r="N2961" s="128">
        <v>101714.4</v>
      </c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</row>
    <row r="2962">
      <c r="A2962" s="125" t="s">
        <v>466</v>
      </c>
      <c r="B2962" s="125" t="s">
        <v>491</v>
      </c>
      <c r="C2962" s="125" t="s">
        <v>485</v>
      </c>
      <c r="D2962" s="125" t="s">
        <v>454</v>
      </c>
      <c r="E2962" s="125" t="s">
        <v>464</v>
      </c>
      <c r="F2962" s="126">
        <v>40322.0</v>
      </c>
      <c r="G2962" s="127">
        <v>8.57E8</v>
      </c>
      <c r="H2962" s="126">
        <v>40340.0</v>
      </c>
      <c r="I2962" s="128">
        <v>5460.0</v>
      </c>
      <c r="J2962" s="128">
        <v>421.89</v>
      </c>
      <c r="K2962" s="128">
        <v>364.69</v>
      </c>
      <c r="L2962" s="128">
        <v>2303519.0</v>
      </c>
      <c r="M2962" s="128">
        <v>1991207.0</v>
      </c>
      <c r="N2962" s="128">
        <v>312312.0</v>
      </c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</row>
    <row r="2963">
      <c r="A2963" s="125" t="s">
        <v>458</v>
      </c>
      <c r="B2963" s="125" t="s">
        <v>597</v>
      </c>
      <c r="C2963" s="125" t="s">
        <v>453</v>
      </c>
      <c r="D2963" s="125" t="s">
        <v>457</v>
      </c>
      <c r="E2963" s="125" t="s">
        <v>284</v>
      </c>
      <c r="F2963" s="126">
        <v>42895.0</v>
      </c>
      <c r="G2963" s="127">
        <v>2.53E8</v>
      </c>
      <c r="H2963" s="126">
        <v>42921.0</v>
      </c>
      <c r="I2963" s="128">
        <v>1534.0</v>
      </c>
      <c r="J2963" s="128">
        <v>255.28</v>
      </c>
      <c r="K2963" s="128">
        <v>159.42</v>
      </c>
      <c r="L2963" s="128">
        <v>391599.5</v>
      </c>
      <c r="M2963" s="128">
        <v>244550.3</v>
      </c>
      <c r="N2963" s="128">
        <v>147049.2</v>
      </c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</row>
    <row r="2964">
      <c r="A2964" s="125" t="s">
        <v>475</v>
      </c>
      <c r="B2964" s="125" t="s">
        <v>579</v>
      </c>
      <c r="C2964" s="125" t="s">
        <v>514</v>
      </c>
      <c r="D2964" s="125" t="s">
        <v>457</v>
      </c>
      <c r="E2964" s="125" t="s">
        <v>472</v>
      </c>
      <c r="F2964" s="126">
        <v>42269.0</v>
      </c>
      <c r="G2964" s="127">
        <v>7.6E8</v>
      </c>
      <c r="H2964" s="126">
        <v>42303.0</v>
      </c>
      <c r="I2964" s="128">
        <v>6641.0</v>
      </c>
      <c r="J2964" s="128">
        <v>668.27</v>
      </c>
      <c r="K2964" s="128">
        <v>502.54</v>
      </c>
      <c r="L2964" s="128">
        <v>4437981.0</v>
      </c>
      <c r="M2964" s="128">
        <v>3337368.0</v>
      </c>
      <c r="N2964" s="128">
        <v>1100613.0</v>
      </c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</row>
    <row r="2965">
      <c r="A2965" s="125" t="s">
        <v>469</v>
      </c>
      <c r="B2965" s="125" t="s">
        <v>632</v>
      </c>
      <c r="C2965" s="125" t="s">
        <v>480</v>
      </c>
      <c r="D2965" s="125" t="s">
        <v>457</v>
      </c>
      <c r="E2965" s="125" t="s">
        <v>284</v>
      </c>
      <c r="F2965" s="126">
        <v>42654.0</v>
      </c>
      <c r="G2965" s="127">
        <v>5.21E8</v>
      </c>
      <c r="H2965" s="126">
        <v>42680.0</v>
      </c>
      <c r="I2965" s="128">
        <v>4850.0</v>
      </c>
      <c r="J2965" s="128">
        <v>437.2</v>
      </c>
      <c r="K2965" s="128">
        <v>263.33</v>
      </c>
      <c r="L2965" s="128">
        <v>2120420.0</v>
      </c>
      <c r="M2965" s="128">
        <v>1277151.0</v>
      </c>
      <c r="N2965" s="128">
        <v>843269.5</v>
      </c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</row>
    <row r="2966">
      <c r="A2966" s="125" t="s">
        <v>475</v>
      </c>
      <c r="B2966" s="125" t="s">
        <v>565</v>
      </c>
      <c r="C2966" s="125" t="s">
        <v>456</v>
      </c>
      <c r="D2966" s="125" t="s">
        <v>457</v>
      </c>
      <c r="E2966" s="125" t="s">
        <v>472</v>
      </c>
      <c r="F2966" s="126">
        <v>40349.0</v>
      </c>
      <c r="G2966" s="127">
        <v>8.95E8</v>
      </c>
      <c r="H2966" s="126">
        <v>40350.0</v>
      </c>
      <c r="I2966" s="128">
        <v>2259.0</v>
      </c>
      <c r="J2966" s="128">
        <v>152.58</v>
      </c>
      <c r="K2966" s="128">
        <v>97.44</v>
      </c>
      <c r="L2966" s="128">
        <v>344678.2</v>
      </c>
      <c r="M2966" s="128">
        <v>220117.0</v>
      </c>
      <c r="N2966" s="128">
        <v>124561.3</v>
      </c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</row>
    <row r="2967">
      <c r="A2967" s="125" t="s">
        <v>458</v>
      </c>
      <c r="B2967" s="125" t="s">
        <v>498</v>
      </c>
      <c r="C2967" s="125" t="s">
        <v>480</v>
      </c>
      <c r="D2967" s="125" t="s">
        <v>457</v>
      </c>
      <c r="E2967" s="125" t="s">
        <v>284</v>
      </c>
      <c r="F2967" s="126">
        <v>41727.0</v>
      </c>
      <c r="G2967" s="127">
        <v>6.15E8</v>
      </c>
      <c r="H2967" s="126">
        <v>41773.0</v>
      </c>
      <c r="I2967" s="128">
        <v>1997.0</v>
      </c>
      <c r="J2967" s="128">
        <v>437.2</v>
      </c>
      <c r="K2967" s="128">
        <v>263.33</v>
      </c>
      <c r="L2967" s="128">
        <v>873088.4</v>
      </c>
      <c r="M2967" s="128">
        <v>525870.0</v>
      </c>
      <c r="N2967" s="128">
        <v>347218.4</v>
      </c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</row>
    <row r="2968">
      <c r="A2968" s="125" t="s">
        <v>461</v>
      </c>
      <c r="B2968" s="125" t="s">
        <v>578</v>
      </c>
      <c r="C2968" s="125" t="s">
        <v>478</v>
      </c>
      <c r="D2968" s="125" t="s">
        <v>454</v>
      </c>
      <c r="E2968" s="125" t="s">
        <v>464</v>
      </c>
      <c r="F2968" s="126">
        <v>42481.0</v>
      </c>
      <c r="G2968" s="127">
        <v>7.31E8</v>
      </c>
      <c r="H2968" s="126">
        <v>42490.0</v>
      </c>
      <c r="I2968" s="128">
        <v>9227.0</v>
      </c>
      <c r="J2968" s="128">
        <v>651.21</v>
      </c>
      <c r="K2968" s="128">
        <v>524.96</v>
      </c>
      <c r="L2968" s="128">
        <v>6008715.0</v>
      </c>
      <c r="M2968" s="128">
        <v>4843806.0</v>
      </c>
      <c r="N2968" s="128">
        <v>1164909.0</v>
      </c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</row>
    <row r="2969">
      <c r="A2969" s="125" t="s">
        <v>475</v>
      </c>
      <c r="B2969" s="125" t="s">
        <v>526</v>
      </c>
      <c r="C2969" s="125" t="s">
        <v>456</v>
      </c>
      <c r="D2969" s="125" t="s">
        <v>454</v>
      </c>
      <c r="E2969" s="125" t="s">
        <v>284</v>
      </c>
      <c r="F2969" s="126">
        <v>42847.0</v>
      </c>
      <c r="G2969" s="127">
        <v>5.66E8</v>
      </c>
      <c r="H2969" s="126">
        <v>42877.0</v>
      </c>
      <c r="I2969" s="128">
        <v>6140.0</v>
      </c>
      <c r="J2969" s="128">
        <v>152.58</v>
      </c>
      <c r="K2969" s="128">
        <v>97.44</v>
      </c>
      <c r="L2969" s="128">
        <v>936841.2</v>
      </c>
      <c r="M2969" s="128">
        <v>598281.6</v>
      </c>
      <c r="N2969" s="128">
        <v>338559.6</v>
      </c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</row>
    <row r="2970">
      <c r="A2970" s="125" t="s">
        <v>458</v>
      </c>
      <c r="B2970" s="125" t="s">
        <v>610</v>
      </c>
      <c r="C2970" s="125" t="s">
        <v>468</v>
      </c>
      <c r="D2970" s="125" t="s">
        <v>457</v>
      </c>
      <c r="E2970" s="125" t="s">
        <v>472</v>
      </c>
      <c r="F2970" s="126">
        <v>40680.0</v>
      </c>
      <c r="G2970" s="127">
        <v>8.62E8</v>
      </c>
      <c r="H2970" s="126">
        <v>40688.0</v>
      </c>
      <c r="I2970" s="128">
        <v>6960.0</v>
      </c>
      <c r="J2970" s="128">
        <v>81.73</v>
      </c>
      <c r="K2970" s="128">
        <v>56.67</v>
      </c>
      <c r="L2970" s="128">
        <v>568840.8</v>
      </c>
      <c r="M2970" s="128">
        <v>394423.2</v>
      </c>
      <c r="N2970" s="128">
        <v>174417.6</v>
      </c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</row>
    <row r="2971">
      <c r="A2971" s="125" t="s">
        <v>458</v>
      </c>
      <c r="B2971" s="125" t="s">
        <v>459</v>
      </c>
      <c r="C2971" s="125" t="s">
        <v>471</v>
      </c>
      <c r="D2971" s="125" t="s">
        <v>457</v>
      </c>
      <c r="E2971" s="125" t="s">
        <v>464</v>
      </c>
      <c r="F2971" s="126">
        <v>41142.0</v>
      </c>
      <c r="G2971" s="127">
        <v>6.31E8</v>
      </c>
      <c r="H2971" s="126">
        <v>41177.0</v>
      </c>
      <c r="I2971" s="128">
        <v>2942.0</v>
      </c>
      <c r="J2971" s="128">
        <v>109.28</v>
      </c>
      <c r="K2971" s="128">
        <v>35.84</v>
      </c>
      <c r="L2971" s="128">
        <v>321501.8</v>
      </c>
      <c r="M2971" s="128">
        <v>105441.3</v>
      </c>
      <c r="N2971" s="128">
        <v>216060.5</v>
      </c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</row>
    <row r="2972">
      <c r="A2972" s="125" t="s">
        <v>458</v>
      </c>
      <c r="B2972" s="125" t="s">
        <v>597</v>
      </c>
      <c r="C2972" s="125" t="s">
        <v>494</v>
      </c>
      <c r="D2972" s="125" t="s">
        <v>454</v>
      </c>
      <c r="E2972" s="125" t="s">
        <v>189</v>
      </c>
      <c r="F2972" s="126">
        <v>41484.0</v>
      </c>
      <c r="G2972" s="127">
        <v>3.07E8</v>
      </c>
      <c r="H2972" s="126">
        <v>41496.0</v>
      </c>
      <c r="I2972" s="128">
        <v>7371.0</v>
      </c>
      <c r="J2972" s="128">
        <v>9.33</v>
      </c>
      <c r="K2972" s="128">
        <v>6.92</v>
      </c>
      <c r="L2972" s="128">
        <v>68771.43</v>
      </c>
      <c r="M2972" s="128">
        <v>51007.32</v>
      </c>
      <c r="N2972" s="128">
        <v>17764.11</v>
      </c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</row>
    <row r="2973">
      <c r="A2973" s="125" t="s">
        <v>458</v>
      </c>
      <c r="B2973" s="125" t="s">
        <v>559</v>
      </c>
      <c r="C2973" s="125" t="s">
        <v>463</v>
      </c>
      <c r="D2973" s="125" t="s">
        <v>457</v>
      </c>
      <c r="E2973" s="125" t="s">
        <v>472</v>
      </c>
      <c r="F2973" s="126">
        <v>40729.0</v>
      </c>
      <c r="G2973" s="127">
        <v>3.93E8</v>
      </c>
      <c r="H2973" s="126">
        <v>40761.0</v>
      </c>
      <c r="I2973" s="128">
        <v>567.0</v>
      </c>
      <c r="J2973" s="128">
        <v>205.7</v>
      </c>
      <c r="K2973" s="128">
        <v>117.11</v>
      </c>
      <c r="L2973" s="128">
        <v>116631.9</v>
      </c>
      <c r="M2973" s="128">
        <v>66401.37</v>
      </c>
      <c r="N2973" s="128">
        <v>50230.53</v>
      </c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</row>
    <row r="2974">
      <c r="A2974" s="125" t="s">
        <v>458</v>
      </c>
      <c r="B2974" s="125" t="s">
        <v>505</v>
      </c>
      <c r="C2974" s="125" t="s">
        <v>453</v>
      </c>
      <c r="D2974" s="125" t="s">
        <v>454</v>
      </c>
      <c r="E2974" s="125" t="s">
        <v>464</v>
      </c>
      <c r="F2974" s="126">
        <v>41055.0</v>
      </c>
      <c r="G2974" s="127">
        <v>1.11E8</v>
      </c>
      <c r="H2974" s="126">
        <v>41103.0</v>
      </c>
      <c r="I2974" s="128">
        <v>4876.0</v>
      </c>
      <c r="J2974" s="128">
        <v>255.28</v>
      </c>
      <c r="K2974" s="128">
        <v>159.42</v>
      </c>
      <c r="L2974" s="128">
        <v>1244745.0</v>
      </c>
      <c r="M2974" s="128">
        <v>777331.9</v>
      </c>
      <c r="N2974" s="128">
        <v>467413.4</v>
      </c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</row>
    <row r="2975">
      <c r="A2975" s="125" t="s">
        <v>458</v>
      </c>
      <c r="B2975" s="125" t="s">
        <v>606</v>
      </c>
      <c r="C2975" s="125" t="s">
        <v>460</v>
      </c>
      <c r="D2975" s="125" t="s">
        <v>454</v>
      </c>
      <c r="E2975" s="125" t="s">
        <v>189</v>
      </c>
      <c r="F2975" s="126">
        <v>40882.0</v>
      </c>
      <c r="G2975" s="127">
        <v>5.56E8</v>
      </c>
      <c r="H2975" s="126">
        <v>40884.0</v>
      </c>
      <c r="I2975" s="128">
        <v>9679.0</v>
      </c>
      <c r="J2975" s="128">
        <v>47.45</v>
      </c>
      <c r="K2975" s="128">
        <v>31.79</v>
      </c>
      <c r="L2975" s="128">
        <v>459268.6</v>
      </c>
      <c r="M2975" s="128">
        <v>307695.4</v>
      </c>
      <c r="N2975" s="128">
        <v>151573.1</v>
      </c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</row>
    <row r="2976">
      <c r="A2976" s="125" t="s">
        <v>466</v>
      </c>
      <c r="B2976" s="125" t="s">
        <v>612</v>
      </c>
      <c r="C2976" s="125" t="s">
        <v>506</v>
      </c>
      <c r="D2976" s="125" t="s">
        <v>454</v>
      </c>
      <c r="E2976" s="125" t="s">
        <v>284</v>
      </c>
      <c r="F2976" s="126">
        <v>41783.0</v>
      </c>
      <c r="G2976" s="127">
        <v>6.42E8</v>
      </c>
      <c r="H2976" s="126">
        <v>41785.0</v>
      </c>
      <c r="I2976" s="128">
        <v>6388.0</v>
      </c>
      <c r="J2976" s="128">
        <v>154.06</v>
      </c>
      <c r="K2976" s="128">
        <v>90.93</v>
      </c>
      <c r="L2976" s="128">
        <v>984135.3</v>
      </c>
      <c r="M2976" s="128">
        <v>580860.8</v>
      </c>
      <c r="N2976" s="128">
        <v>403274.4</v>
      </c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</row>
    <row r="2977">
      <c r="A2977" s="125" t="s">
        <v>475</v>
      </c>
      <c r="B2977" s="125" t="s">
        <v>591</v>
      </c>
      <c r="C2977" s="125" t="s">
        <v>453</v>
      </c>
      <c r="D2977" s="125" t="s">
        <v>454</v>
      </c>
      <c r="E2977" s="125" t="s">
        <v>189</v>
      </c>
      <c r="F2977" s="126">
        <v>41571.0</v>
      </c>
      <c r="G2977" s="127">
        <v>2.54E8</v>
      </c>
      <c r="H2977" s="126">
        <v>41612.0</v>
      </c>
      <c r="I2977" s="128">
        <v>3444.0</v>
      </c>
      <c r="J2977" s="128">
        <v>255.28</v>
      </c>
      <c r="K2977" s="128">
        <v>159.42</v>
      </c>
      <c r="L2977" s="128">
        <v>879184.3</v>
      </c>
      <c r="M2977" s="128">
        <v>549042.5</v>
      </c>
      <c r="N2977" s="128">
        <v>330141.8</v>
      </c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</row>
    <row r="2978">
      <c r="A2978" s="125" t="s">
        <v>461</v>
      </c>
      <c r="B2978" s="125" t="s">
        <v>611</v>
      </c>
      <c r="C2978" s="125" t="s">
        <v>506</v>
      </c>
      <c r="D2978" s="125" t="s">
        <v>457</v>
      </c>
      <c r="E2978" s="125" t="s">
        <v>189</v>
      </c>
      <c r="F2978" s="126">
        <v>41215.0</v>
      </c>
      <c r="G2978" s="127">
        <v>6.95E8</v>
      </c>
      <c r="H2978" s="126">
        <v>41242.0</v>
      </c>
      <c r="I2978" s="128">
        <v>1320.0</v>
      </c>
      <c r="J2978" s="128">
        <v>154.06</v>
      </c>
      <c r="K2978" s="128">
        <v>90.93</v>
      </c>
      <c r="L2978" s="128">
        <v>203359.2</v>
      </c>
      <c r="M2978" s="128">
        <v>120027.6</v>
      </c>
      <c r="N2978" s="128">
        <v>83331.6</v>
      </c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</row>
    <row r="2979">
      <c r="A2979" s="125" t="s">
        <v>458</v>
      </c>
      <c r="B2979" s="125" t="s">
        <v>614</v>
      </c>
      <c r="C2979" s="125" t="s">
        <v>460</v>
      </c>
      <c r="D2979" s="125" t="s">
        <v>454</v>
      </c>
      <c r="E2979" s="125" t="s">
        <v>189</v>
      </c>
      <c r="F2979" s="126">
        <v>40688.0</v>
      </c>
      <c r="G2979" s="127">
        <v>6.42E8</v>
      </c>
      <c r="H2979" s="126">
        <v>40693.0</v>
      </c>
      <c r="I2979" s="128">
        <v>7523.0</v>
      </c>
      <c r="J2979" s="128">
        <v>47.45</v>
      </c>
      <c r="K2979" s="128">
        <v>31.79</v>
      </c>
      <c r="L2979" s="128">
        <v>356966.4</v>
      </c>
      <c r="M2979" s="128">
        <v>239156.2</v>
      </c>
      <c r="N2979" s="128">
        <v>117810.2</v>
      </c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</row>
    <row r="2980">
      <c r="A2980" s="125" t="s">
        <v>461</v>
      </c>
      <c r="B2980" s="125" t="s">
        <v>576</v>
      </c>
      <c r="C2980" s="125" t="s">
        <v>460</v>
      </c>
      <c r="D2980" s="125" t="s">
        <v>454</v>
      </c>
      <c r="E2980" s="125" t="s">
        <v>189</v>
      </c>
      <c r="F2980" s="126">
        <v>40355.0</v>
      </c>
      <c r="G2980" s="127">
        <v>1.89E8</v>
      </c>
      <c r="H2980" s="126">
        <v>40391.0</v>
      </c>
      <c r="I2980" s="128">
        <v>1588.0</v>
      </c>
      <c r="J2980" s="128">
        <v>47.45</v>
      </c>
      <c r="K2980" s="128">
        <v>31.79</v>
      </c>
      <c r="L2980" s="128">
        <v>75350.6</v>
      </c>
      <c r="M2980" s="128">
        <v>50482.52</v>
      </c>
      <c r="N2980" s="128">
        <v>24868.08</v>
      </c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</row>
    <row r="2981">
      <c r="A2981" s="125" t="s">
        <v>451</v>
      </c>
      <c r="B2981" s="125" t="s">
        <v>490</v>
      </c>
      <c r="C2981" s="125" t="s">
        <v>456</v>
      </c>
      <c r="D2981" s="125" t="s">
        <v>457</v>
      </c>
      <c r="E2981" s="125" t="s">
        <v>284</v>
      </c>
      <c r="F2981" s="126">
        <v>42350.0</v>
      </c>
      <c r="G2981" s="127">
        <v>4.03E8</v>
      </c>
      <c r="H2981" s="126">
        <v>42365.0</v>
      </c>
      <c r="I2981" s="128">
        <v>82.0</v>
      </c>
      <c r="J2981" s="128">
        <v>152.58</v>
      </c>
      <c r="K2981" s="128">
        <v>97.44</v>
      </c>
      <c r="L2981" s="128">
        <v>12511.56</v>
      </c>
      <c r="M2981" s="128">
        <v>7990.08</v>
      </c>
      <c r="N2981" s="128">
        <v>4521.48</v>
      </c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</row>
    <row r="2982">
      <c r="A2982" s="125" t="s">
        <v>475</v>
      </c>
      <c r="B2982" s="125" t="s">
        <v>624</v>
      </c>
      <c r="C2982" s="125" t="s">
        <v>471</v>
      </c>
      <c r="D2982" s="125" t="s">
        <v>457</v>
      </c>
      <c r="E2982" s="125" t="s">
        <v>464</v>
      </c>
      <c r="F2982" s="126">
        <v>40900.0</v>
      </c>
      <c r="G2982" s="127">
        <v>1.68E8</v>
      </c>
      <c r="H2982" s="126">
        <v>40904.0</v>
      </c>
      <c r="I2982" s="128">
        <v>1605.0</v>
      </c>
      <c r="J2982" s="128">
        <v>109.28</v>
      </c>
      <c r="K2982" s="128">
        <v>35.84</v>
      </c>
      <c r="L2982" s="128">
        <v>175394.4</v>
      </c>
      <c r="M2982" s="128">
        <v>57523.2</v>
      </c>
      <c r="N2982" s="128">
        <v>117871.2</v>
      </c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</row>
    <row r="2983">
      <c r="A2983" s="125" t="s">
        <v>458</v>
      </c>
      <c r="B2983" s="125" t="s">
        <v>459</v>
      </c>
      <c r="C2983" s="125" t="s">
        <v>460</v>
      </c>
      <c r="D2983" s="125" t="s">
        <v>454</v>
      </c>
      <c r="E2983" s="125" t="s">
        <v>189</v>
      </c>
      <c r="F2983" s="126">
        <v>40300.0</v>
      </c>
      <c r="G2983" s="127">
        <v>2.42E8</v>
      </c>
      <c r="H2983" s="126">
        <v>40301.0</v>
      </c>
      <c r="I2983" s="128">
        <v>1785.0</v>
      </c>
      <c r="J2983" s="128">
        <v>47.45</v>
      </c>
      <c r="K2983" s="128">
        <v>31.79</v>
      </c>
      <c r="L2983" s="128">
        <v>84698.25</v>
      </c>
      <c r="M2983" s="128">
        <v>56745.15</v>
      </c>
      <c r="N2983" s="128">
        <v>27953.1</v>
      </c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</row>
    <row r="2984">
      <c r="A2984" s="125" t="s">
        <v>461</v>
      </c>
      <c r="B2984" s="125" t="s">
        <v>557</v>
      </c>
      <c r="C2984" s="125" t="s">
        <v>494</v>
      </c>
      <c r="D2984" s="125" t="s">
        <v>457</v>
      </c>
      <c r="E2984" s="125" t="s">
        <v>284</v>
      </c>
      <c r="F2984" s="126">
        <v>42471.0</v>
      </c>
      <c r="G2984" s="127">
        <v>1.01E8</v>
      </c>
      <c r="H2984" s="126">
        <v>42492.0</v>
      </c>
      <c r="I2984" s="128">
        <v>8285.0</v>
      </c>
      <c r="J2984" s="128">
        <v>9.33</v>
      </c>
      <c r="K2984" s="128">
        <v>6.92</v>
      </c>
      <c r="L2984" s="128">
        <v>77299.05</v>
      </c>
      <c r="M2984" s="128">
        <v>57332.2</v>
      </c>
      <c r="N2984" s="128">
        <v>19966.85</v>
      </c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</row>
    <row r="2985">
      <c r="A2985" s="125" t="s">
        <v>458</v>
      </c>
      <c r="B2985" s="125" t="s">
        <v>631</v>
      </c>
      <c r="C2985" s="125" t="s">
        <v>460</v>
      </c>
      <c r="D2985" s="125" t="s">
        <v>457</v>
      </c>
      <c r="E2985" s="125" t="s">
        <v>472</v>
      </c>
      <c r="F2985" s="126">
        <v>42805.0</v>
      </c>
      <c r="G2985" s="127">
        <v>1.92E8</v>
      </c>
      <c r="H2985" s="126">
        <v>42816.0</v>
      </c>
      <c r="I2985" s="128">
        <v>5796.0</v>
      </c>
      <c r="J2985" s="128">
        <v>47.45</v>
      </c>
      <c r="K2985" s="128">
        <v>31.79</v>
      </c>
      <c r="L2985" s="128">
        <v>275020.2</v>
      </c>
      <c r="M2985" s="128">
        <v>184254.8</v>
      </c>
      <c r="N2985" s="128">
        <v>90765.36</v>
      </c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</row>
    <row r="2986">
      <c r="A2986" s="125" t="s">
        <v>461</v>
      </c>
      <c r="B2986" s="125" t="s">
        <v>525</v>
      </c>
      <c r="C2986" s="125" t="s">
        <v>468</v>
      </c>
      <c r="D2986" s="125" t="s">
        <v>457</v>
      </c>
      <c r="E2986" s="125" t="s">
        <v>189</v>
      </c>
      <c r="F2986" s="126">
        <v>42616.0</v>
      </c>
      <c r="G2986" s="127">
        <v>5.82E8</v>
      </c>
      <c r="H2986" s="126">
        <v>42653.0</v>
      </c>
      <c r="I2986" s="128">
        <v>1042.0</v>
      </c>
      <c r="J2986" s="128">
        <v>81.73</v>
      </c>
      <c r="K2986" s="128">
        <v>56.67</v>
      </c>
      <c r="L2986" s="128">
        <v>85162.66</v>
      </c>
      <c r="M2986" s="128">
        <v>59050.14</v>
      </c>
      <c r="N2986" s="128">
        <v>26112.52</v>
      </c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</row>
    <row r="2987">
      <c r="A2987" s="125" t="s">
        <v>475</v>
      </c>
      <c r="B2987" s="125" t="s">
        <v>575</v>
      </c>
      <c r="C2987" s="125" t="s">
        <v>494</v>
      </c>
      <c r="D2987" s="125" t="s">
        <v>457</v>
      </c>
      <c r="E2987" s="125" t="s">
        <v>464</v>
      </c>
      <c r="F2987" s="126">
        <v>42225.0</v>
      </c>
      <c r="G2987" s="127">
        <v>5.1E8</v>
      </c>
      <c r="H2987" s="126">
        <v>42275.0</v>
      </c>
      <c r="I2987" s="128">
        <v>7779.0</v>
      </c>
      <c r="J2987" s="128">
        <v>9.33</v>
      </c>
      <c r="K2987" s="128">
        <v>6.92</v>
      </c>
      <c r="L2987" s="128">
        <v>72578.07</v>
      </c>
      <c r="M2987" s="128">
        <v>53830.68</v>
      </c>
      <c r="N2987" s="128">
        <v>18747.39</v>
      </c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</row>
    <row r="2988">
      <c r="A2988" s="125" t="s">
        <v>469</v>
      </c>
      <c r="B2988" s="125" t="s">
        <v>503</v>
      </c>
      <c r="C2988" s="125" t="s">
        <v>468</v>
      </c>
      <c r="D2988" s="125" t="s">
        <v>457</v>
      </c>
      <c r="E2988" s="125" t="s">
        <v>189</v>
      </c>
      <c r="F2988" s="126">
        <v>42340.0</v>
      </c>
      <c r="G2988" s="127">
        <v>6.31E8</v>
      </c>
      <c r="H2988" s="126">
        <v>42355.0</v>
      </c>
      <c r="I2988" s="128">
        <v>1791.0</v>
      </c>
      <c r="J2988" s="128">
        <v>81.73</v>
      </c>
      <c r="K2988" s="128">
        <v>56.67</v>
      </c>
      <c r="L2988" s="128">
        <v>146378.4</v>
      </c>
      <c r="M2988" s="128">
        <v>101496.0</v>
      </c>
      <c r="N2988" s="128">
        <v>44882.46</v>
      </c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</row>
    <row r="2989">
      <c r="A2989" s="125" t="s">
        <v>466</v>
      </c>
      <c r="B2989" s="125" t="s">
        <v>568</v>
      </c>
      <c r="C2989" s="125" t="s">
        <v>494</v>
      </c>
      <c r="D2989" s="125" t="s">
        <v>454</v>
      </c>
      <c r="E2989" s="125" t="s">
        <v>284</v>
      </c>
      <c r="F2989" s="126">
        <v>42677.0</v>
      </c>
      <c r="G2989" s="127">
        <v>7.76E8</v>
      </c>
      <c r="H2989" s="126">
        <v>42715.0</v>
      </c>
      <c r="I2989" s="128">
        <v>5897.0</v>
      </c>
      <c r="J2989" s="128">
        <v>9.33</v>
      </c>
      <c r="K2989" s="128">
        <v>6.92</v>
      </c>
      <c r="L2989" s="128">
        <v>55019.01</v>
      </c>
      <c r="M2989" s="128">
        <v>40807.24</v>
      </c>
      <c r="N2989" s="128">
        <v>14211.77</v>
      </c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</row>
    <row r="2990">
      <c r="A2990" s="125" t="s">
        <v>466</v>
      </c>
      <c r="B2990" s="125" t="s">
        <v>502</v>
      </c>
      <c r="C2990" s="125" t="s">
        <v>460</v>
      </c>
      <c r="D2990" s="125" t="s">
        <v>457</v>
      </c>
      <c r="E2990" s="125" t="s">
        <v>464</v>
      </c>
      <c r="F2990" s="126">
        <v>40574.0</v>
      </c>
      <c r="G2990" s="127">
        <v>3.91E8</v>
      </c>
      <c r="H2990" s="126">
        <v>40607.0</v>
      </c>
      <c r="I2990" s="128">
        <v>4945.0</v>
      </c>
      <c r="J2990" s="128">
        <v>47.45</v>
      </c>
      <c r="K2990" s="128">
        <v>31.79</v>
      </c>
      <c r="L2990" s="128">
        <v>234640.3</v>
      </c>
      <c r="M2990" s="128">
        <v>157201.6</v>
      </c>
      <c r="N2990" s="128">
        <v>77438.7</v>
      </c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</row>
    <row r="2991">
      <c r="A2991" s="125" t="s">
        <v>466</v>
      </c>
      <c r="B2991" s="125" t="s">
        <v>531</v>
      </c>
      <c r="C2991" s="125" t="s">
        <v>453</v>
      </c>
      <c r="D2991" s="125" t="s">
        <v>457</v>
      </c>
      <c r="E2991" s="125" t="s">
        <v>284</v>
      </c>
      <c r="F2991" s="126">
        <v>40671.0</v>
      </c>
      <c r="G2991" s="127">
        <v>7.97E8</v>
      </c>
      <c r="H2991" s="126">
        <v>40677.0</v>
      </c>
      <c r="I2991" s="128">
        <v>815.0</v>
      </c>
      <c r="J2991" s="128">
        <v>255.28</v>
      </c>
      <c r="K2991" s="128">
        <v>159.42</v>
      </c>
      <c r="L2991" s="128">
        <v>208053.2</v>
      </c>
      <c r="M2991" s="128">
        <v>129927.3</v>
      </c>
      <c r="N2991" s="128">
        <v>78125.9</v>
      </c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</row>
    <row r="2992">
      <c r="A2992" s="125" t="s">
        <v>475</v>
      </c>
      <c r="B2992" s="125" t="s">
        <v>527</v>
      </c>
      <c r="C2992" s="125" t="s">
        <v>453</v>
      </c>
      <c r="D2992" s="125" t="s">
        <v>457</v>
      </c>
      <c r="E2992" s="125" t="s">
        <v>472</v>
      </c>
      <c r="F2992" s="126">
        <v>42470.0</v>
      </c>
      <c r="G2992" s="127">
        <v>2.32E8</v>
      </c>
      <c r="H2992" s="126">
        <v>42497.0</v>
      </c>
      <c r="I2992" s="128">
        <v>7419.0</v>
      </c>
      <c r="J2992" s="128">
        <v>255.28</v>
      </c>
      <c r="K2992" s="128">
        <v>159.42</v>
      </c>
      <c r="L2992" s="128">
        <v>1893922.0</v>
      </c>
      <c r="M2992" s="128">
        <v>1182737.0</v>
      </c>
      <c r="N2992" s="128">
        <v>711185.3</v>
      </c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</row>
    <row r="2993">
      <c r="A2993" s="125" t="s">
        <v>475</v>
      </c>
      <c r="B2993" s="125" t="s">
        <v>657</v>
      </c>
      <c r="C2993" s="125" t="s">
        <v>494</v>
      </c>
      <c r="D2993" s="125" t="s">
        <v>457</v>
      </c>
      <c r="E2993" s="125" t="s">
        <v>464</v>
      </c>
      <c r="F2993" s="126">
        <v>41707.0</v>
      </c>
      <c r="G2993" s="127">
        <v>6.06E8</v>
      </c>
      <c r="H2993" s="126">
        <v>41708.0</v>
      </c>
      <c r="I2993" s="128">
        <v>5698.0</v>
      </c>
      <c r="J2993" s="128">
        <v>9.33</v>
      </c>
      <c r="K2993" s="128">
        <v>6.92</v>
      </c>
      <c r="L2993" s="128">
        <v>53162.34</v>
      </c>
      <c r="M2993" s="128">
        <v>39430.16</v>
      </c>
      <c r="N2993" s="128">
        <v>13732.18</v>
      </c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</row>
    <row r="2994">
      <c r="A2994" s="125" t="s">
        <v>475</v>
      </c>
      <c r="B2994" s="125" t="s">
        <v>570</v>
      </c>
      <c r="C2994" s="125" t="s">
        <v>453</v>
      </c>
      <c r="D2994" s="125" t="s">
        <v>457</v>
      </c>
      <c r="E2994" s="125" t="s">
        <v>189</v>
      </c>
      <c r="F2994" s="126">
        <v>42810.0</v>
      </c>
      <c r="G2994" s="127">
        <v>7.48E8</v>
      </c>
      <c r="H2994" s="126">
        <v>42860.0</v>
      </c>
      <c r="I2994" s="128">
        <v>8626.0</v>
      </c>
      <c r="J2994" s="128">
        <v>255.28</v>
      </c>
      <c r="K2994" s="128">
        <v>159.42</v>
      </c>
      <c r="L2994" s="128">
        <v>2202045.0</v>
      </c>
      <c r="M2994" s="128">
        <v>1375157.0</v>
      </c>
      <c r="N2994" s="128">
        <v>826888.4</v>
      </c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</row>
    <row r="2995">
      <c r="A2995" s="125" t="s">
        <v>475</v>
      </c>
      <c r="B2995" s="125" t="s">
        <v>648</v>
      </c>
      <c r="C2995" s="125" t="s">
        <v>485</v>
      </c>
      <c r="D2995" s="125" t="s">
        <v>457</v>
      </c>
      <c r="E2995" s="125" t="s">
        <v>189</v>
      </c>
      <c r="F2995" s="126">
        <v>40912.0</v>
      </c>
      <c r="G2995" s="127">
        <v>4.59E8</v>
      </c>
      <c r="H2995" s="126">
        <v>40942.0</v>
      </c>
      <c r="I2995" s="128">
        <v>6208.0</v>
      </c>
      <c r="J2995" s="128">
        <v>421.89</v>
      </c>
      <c r="K2995" s="128">
        <v>364.69</v>
      </c>
      <c r="L2995" s="128">
        <v>2619093.0</v>
      </c>
      <c r="M2995" s="128">
        <v>2263996.0</v>
      </c>
      <c r="N2995" s="128">
        <v>355097.6</v>
      </c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</row>
    <row r="2996">
      <c r="A2996" s="125" t="s">
        <v>458</v>
      </c>
      <c r="B2996" s="125" t="s">
        <v>614</v>
      </c>
      <c r="C2996" s="125" t="s">
        <v>456</v>
      </c>
      <c r="D2996" s="125" t="s">
        <v>454</v>
      </c>
      <c r="E2996" s="125" t="s">
        <v>464</v>
      </c>
      <c r="F2996" s="126">
        <v>42600.0</v>
      </c>
      <c r="G2996" s="127">
        <v>9.58E8</v>
      </c>
      <c r="H2996" s="126">
        <v>42614.0</v>
      </c>
      <c r="I2996" s="128">
        <v>480.0</v>
      </c>
      <c r="J2996" s="128">
        <v>152.58</v>
      </c>
      <c r="K2996" s="128">
        <v>97.44</v>
      </c>
      <c r="L2996" s="128">
        <v>73238.4</v>
      </c>
      <c r="M2996" s="128">
        <v>46771.2</v>
      </c>
      <c r="N2996" s="128">
        <v>26467.2</v>
      </c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</row>
    <row r="2997">
      <c r="A2997" s="125" t="s">
        <v>466</v>
      </c>
      <c r="B2997" s="125" t="s">
        <v>535</v>
      </c>
      <c r="C2997" s="125" t="s">
        <v>453</v>
      </c>
      <c r="D2997" s="125" t="s">
        <v>457</v>
      </c>
      <c r="E2997" s="125" t="s">
        <v>464</v>
      </c>
      <c r="F2997" s="126">
        <v>42402.0</v>
      </c>
      <c r="G2997" s="127">
        <v>8.37E8</v>
      </c>
      <c r="H2997" s="126">
        <v>42413.0</v>
      </c>
      <c r="I2997" s="128">
        <v>510.0</v>
      </c>
      <c r="J2997" s="128">
        <v>255.28</v>
      </c>
      <c r="K2997" s="128">
        <v>159.42</v>
      </c>
      <c r="L2997" s="128">
        <v>130192.8</v>
      </c>
      <c r="M2997" s="128">
        <v>81304.2</v>
      </c>
      <c r="N2997" s="128">
        <v>48888.6</v>
      </c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</row>
    <row r="2998">
      <c r="A2998" s="125" t="s">
        <v>461</v>
      </c>
      <c r="B2998" s="125" t="s">
        <v>578</v>
      </c>
      <c r="C2998" s="125" t="s">
        <v>463</v>
      </c>
      <c r="D2998" s="125" t="s">
        <v>454</v>
      </c>
      <c r="E2998" s="125" t="s">
        <v>284</v>
      </c>
      <c r="F2998" s="126">
        <v>40769.0</v>
      </c>
      <c r="G2998" s="127">
        <v>1.06E8</v>
      </c>
      <c r="H2998" s="126">
        <v>40815.0</v>
      </c>
      <c r="I2998" s="128">
        <v>7397.0</v>
      </c>
      <c r="J2998" s="128">
        <v>205.7</v>
      </c>
      <c r="K2998" s="128">
        <v>117.11</v>
      </c>
      <c r="L2998" s="128">
        <v>1521563.0</v>
      </c>
      <c r="M2998" s="128">
        <v>866262.7</v>
      </c>
      <c r="N2998" s="128">
        <v>655300.2</v>
      </c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</row>
    <row r="2999">
      <c r="A2999" s="125" t="s">
        <v>458</v>
      </c>
      <c r="B2999" s="125" t="s">
        <v>486</v>
      </c>
      <c r="C2999" s="125" t="s">
        <v>460</v>
      </c>
      <c r="D2999" s="125" t="s">
        <v>454</v>
      </c>
      <c r="E2999" s="125" t="s">
        <v>472</v>
      </c>
      <c r="F2999" s="126">
        <v>42688.0</v>
      </c>
      <c r="G2999" s="127">
        <v>6.47E8</v>
      </c>
      <c r="H2999" s="126">
        <v>42717.0</v>
      </c>
      <c r="I2999" s="128">
        <v>9269.0</v>
      </c>
      <c r="J2999" s="128">
        <v>47.45</v>
      </c>
      <c r="K2999" s="128">
        <v>31.79</v>
      </c>
      <c r="L2999" s="128">
        <v>439814.1</v>
      </c>
      <c r="M2999" s="128">
        <v>294661.5</v>
      </c>
      <c r="N2999" s="128">
        <v>145152.5</v>
      </c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</row>
    <row r="3000">
      <c r="A3000" s="125" t="s">
        <v>475</v>
      </c>
      <c r="B3000" s="125" t="s">
        <v>570</v>
      </c>
      <c r="C3000" s="125" t="s">
        <v>480</v>
      </c>
      <c r="D3000" s="125" t="s">
        <v>457</v>
      </c>
      <c r="E3000" s="125" t="s">
        <v>189</v>
      </c>
      <c r="F3000" s="126">
        <v>42471.0</v>
      </c>
      <c r="G3000" s="127">
        <v>3.61E8</v>
      </c>
      <c r="H3000" s="126">
        <v>42505.0</v>
      </c>
      <c r="I3000" s="128">
        <v>6289.0</v>
      </c>
      <c r="J3000" s="128">
        <v>437.2</v>
      </c>
      <c r="K3000" s="128">
        <v>263.33</v>
      </c>
      <c r="L3000" s="128">
        <v>2749551.0</v>
      </c>
      <c r="M3000" s="128">
        <v>1656082.0</v>
      </c>
      <c r="N3000" s="128">
        <v>1093468.0</v>
      </c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</row>
    <row r="3001">
      <c r="A3001" s="125" t="s">
        <v>461</v>
      </c>
      <c r="B3001" s="125" t="s">
        <v>465</v>
      </c>
      <c r="C3001" s="125" t="s">
        <v>456</v>
      </c>
      <c r="D3001" s="125" t="s">
        <v>454</v>
      </c>
      <c r="E3001" s="125" t="s">
        <v>284</v>
      </c>
      <c r="F3001" s="126">
        <v>41736.0</v>
      </c>
      <c r="G3001" s="127">
        <v>8.2E8</v>
      </c>
      <c r="H3001" s="126">
        <v>41761.0</v>
      </c>
      <c r="I3001" s="128">
        <v>5648.0</v>
      </c>
      <c r="J3001" s="128">
        <v>152.58</v>
      </c>
      <c r="K3001" s="128">
        <v>97.44</v>
      </c>
      <c r="L3001" s="128">
        <v>861771.8</v>
      </c>
      <c r="M3001" s="128">
        <v>550341.1</v>
      </c>
      <c r="N3001" s="128">
        <v>311430.7</v>
      </c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</row>
    <row r="3002">
      <c r="A3002" s="125" t="s">
        <v>488</v>
      </c>
      <c r="B3002" s="125" t="s">
        <v>489</v>
      </c>
      <c r="C3002" s="125" t="s">
        <v>506</v>
      </c>
      <c r="D3002" s="125" t="s">
        <v>454</v>
      </c>
      <c r="E3002" s="125" t="s">
        <v>284</v>
      </c>
      <c r="F3002" s="126">
        <v>42488.0</v>
      </c>
      <c r="G3002" s="127">
        <v>5.17E8</v>
      </c>
      <c r="H3002" s="126">
        <v>42517.0</v>
      </c>
      <c r="I3002" s="128">
        <v>6570.0</v>
      </c>
      <c r="J3002" s="128">
        <v>154.06</v>
      </c>
      <c r="K3002" s="128">
        <v>90.93</v>
      </c>
      <c r="L3002" s="128">
        <v>1012174.0</v>
      </c>
      <c r="M3002" s="128">
        <v>597410.1</v>
      </c>
      <c r="N3002" s="128">
        <v>414764.1</v>
      </c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</row>
    <row r="3003">
      <c r="A3003" s="125" t="s">
        <v>475</v>
      </c>
      <c r="B3003" s="125" t="s">
        <v>636</v>
      </c>
      <c r="C3003" s="125" t="s">
        <v>478</v>
      </c>
      <c r="D3003" s="125" t="s">
        <v>454</v>
      </c>
      <c r="E3003" s="125" t="s">
        <v>472</v>
      </c>
      <c r="F3003" s="126">
        <v>40207.0</v>
      </c>
      <c r="G3003" s="127">
        <v>7.15E8</v>
      </c>
      <c r="H3003" s="126">
        <v>40216.0</v>
      </c>
      <c r="I3003" s="128">
        <v>5311.0</v>
      </c>
      <c r="J3003" s="128">
        <v>651.21</v>
      </c>
      <c r="K3003" s="128">
        <v>524.96</v>
      </c>
      <c r="L3003" s="128">
        <v>3458576.0</v>
      </c>
      <c r="M3003" s="128">
        <v>2788063.0</v>
      </c>
      <c r="N3003" s="128">
        <v>670513.8</v>
      </c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</row>
    <row r="3004">
      <c r="A3004" s="125" t="s">
        <v>451</v>
      </c>
      <c r="B3004" s="125" t="s">
        <v>499</v>
      </c>
      <c r="C3004" s="125" t="s">
        <v>478</v>
      </c>
      <c r="D3004" s="125" t="s">
        <v>454</v>
      </c>
      <c r="E3004" s="125" t="s">
        <v>189</v>
      </c>
      <c r="F3004" s="126">
        <v>41825.0</v>
      </c>
      <c r="G3004" s="127">
        <v>4.95E8</v>
      </c>
      <c r="H3004" s="126">
        <v>41870.0</v>
      </c>
      <c r="I3004" s="128">
        <v>156.0</v>
      </c>
      <c r="J3004" s="128">
        <v>651.21</v>
      </c>
      <c r="K3004" s="128">
        <v>524.96</v>
      </c>
      <c r="L3004" s="128">
        <v>101588.8</v>
      </c>
      <c r="M3004" s="128">
        <v>81893.76</v>
      </c>
      <c r="N3004" s="128">
        <v>19695.0</v>
      </c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</row>
    <row r="3005">
      <c r="A3005" s="125" t="s">
        <v>475</v>
      </c>
      <c r="B3005" s="125" t="s">
        <v>579</v>
      </c>
      <c r="C3005" s="125" t="s">
        <v>460</v>
      </c>
      <c r="D3005" s="125" t="s">
        <v>457</v>
      </c>
      <c r="E3005" s="125" t="s">
        <v>464</v>
      </c>
      <c r="F3005" s="126">
        <v>42216.0</v>
      </c>
      <c r="G3005" s="127">
        <v>8.11E8</v>
      </c>
      <c r="H3005" s="126">
        <v>42216.0</v>
      </c>
      <c r="I3005" s="128">
        <v>6423.0</v>
      </c>
      <c r="J3005" s="128">
        <v>47.45</v>
      </c>
      <c r="K3005" s="128">
        <v>31.79</v>
      </c>
      <c r="L3005" s="128">
        <v>304771.4</v>
      </c>
      <c r="M3005" s="128">
        <v>204187.2</v>
      </c>
      <c r="N3005" s="128">
        <v>100584.2</v>
      </c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</row>
    <row r="3006">
      <c r="A3006" s="125" t="s">
        <v>488</v>
      </c>
      <c r="B3006" s="125" t="s">
        <v>577</v>
      </c>
      <c r="C3006" s="125" t="s">
        <v>463</v>
      </c>
      <c r="D3006" s="125" t="s">
        <v>454</v>
      </c>
      <c r="E3006" s="125" t="s">
        <v>464</v>
      </c>
      <c r="F3006" s="126">
        <v>42177.0</v>
      </c>
      <c r="G3006" s="127">
        <v>4.36E8</v>
      </c>
      <c r="H3006" s="126">
        <v>42183.0</v>
      </c>
      <c r="I3006" s="128">
        <v>1460.0</v>
      </c>
      <c r="J3006" s="128">
        <v>205.7</v>
      </c>
      <c r="K3006" s="128">
        <v>117.11</v>
      </c>
      <c r="L3006" s="128">
        <v>300322.0</v>
      </c>
      <c r="M3006" s="128">
        <v>170980.6</v>
      </c>
      <c r="N3006" s="128">
        <v>129341.4</v>
      </c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</row>
    <row r="3007">
      <c r="A3007" s="125" t="s">
        <v>475</v>
      </c>
      <c r="B3007" s="125" t="s">
        <v>651</v>
      </c>
      <c r="C3007" s="125" t="s">
        <v>506</v>
      </c>
      <c r="D3007" s="125" t="s">
        <v>454</v>
      </c>
      <c r="E3007" s="125" t="s">
        <v>464</v>
      </c>
      <c r="F3007" s="126">
        <v>41509.0</v>
      </c>
      <c r="G3007" s="127">
        <v>9.15E8</v>
      </c>
      <c r="H3007" s="126">
        <v>41540.0</v>
      </c>
      <c r="I3007" s="128">
        <v>9647.0</v>
      </c>
      <c r="J3007" s="128">
        <v>154.06</v>
      </c>
      <c r="K3007" s="128">
        <v>90.93</v>
      </c>
      <c r="L3007" s="128">
        <v>1486217.0</v>
      </c>
      <c r="M3007" s="128">
        <v>877201.7</v>
      </c>
      <c r="N3007" s="128">
        <v>609015.1</v>
      </c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</row>
    <row r="3008">
      <c r="A3008" s="125" t="s">
        <v>466</v>
      </c>
      <c r="B3008" s="125" t="s">
        <v>598</v>
      </c>
      <c r="C3008" s="125" t="s">
        <v>514</v>
      </c>
      <c r="D3008" s="125" t="s">
        <v>457</v>
      </c>
      <c r="E3008" s="125" t="s">
        <v>189</v>
      </c>
      <c r="F3008" s="126">
        <v>40401.0</v>
      </c>
      <c r="G3008" s="127">
        <v>7.12E8</v>
      </c>
      <c r="H3008" s="126">
        <v>40404.0</v>
      </c>
      <c r="I3008" s="128">
        <v>7395.0</v>
      </c>
      <c r="J3008" s="128">
        <v>668.27</v>
      </c>
      <c r="K3008" s="128">
        <v>502.54</v>
      </c>
      <c r="L3008" s="128">
        <v>4941857.0</v>
      </c>
      <c r="M3008" s="128">
        <v>3716283.0</v>
      </c>
      <c r="N3008" s="128">
        <v>1225573.0</v>
      </c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</row>
    <row r="3009">
      <c r="A3009" s="125" t="s">
        <v>475</v>
      </c>
      <c r="B3009" s="125" t="s">
        <v>579</v>
      </c>
      <c r="C3009" s="125" t="s">
        <v>478</v>
      </c>
      <c r="D3009" s="125" t="s">
        <v>454</v>
      </c>
      <c r="E3009" s="125" t="s">
        <v>189</v>
      </c>
      <c r="F3009" s="126">
        <v>40817.0</v>
      </c>
      <c r="G3009" s="127">
        <v>1.6E8</v>
      </c>
      <c r="H3009" s="126">
        <v>40862.0</v>
      </c>
      <c r="I3009" s="128">
        <v>8147.0</v>
      </c>
      <c r="J3009" s="128">
        <v>651.21</v>
      </c>
      <c r="K3009" s="128">
        <v>524.96</v>
      </c>
      <c r="L3009" s="128">
        <v>5305408.0</v>
      </c>
      <c r="M3009" s="128">
        <v>4276849.0</v>
      </c>
      <c r="N3009" s="128">
        <v>1028559.0</v>
      </c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</row>
    <row r="3010">
      <c r="A3010" s="125" t="s">
        <v>458</v>
      </c>
      <c r="B3010" s="125" t="s">
        <v>538</v>
      </c>
      <c r="C3010" s="125" t="s">
        <v>478</v>
      </c>
      <c r="D3010" s="125" t="s">
        <v>457</v>
      </c>
      <c r="E3010" s="125" t="s">
        <v>472</v>
      </c>
      <c r="F3010" s="126">
        <v>42342.0</v>
      </c>
      <c r="G3010" s="127">
        <v>1.15E8</v>
      </c>
      <c r="H3010" s="126">
        <v>42379.0</v>
      </c>
      <c r="I3010" s="128">
        <v>7376.0</v>
      </c>
      <c r="J3010" s="128">
        <v>651.21</v>
      </c>
      <c r="K3010" s="128">
        <v>524.96</v>
      </c>
      <c r="L3010" s="128">
        <v>4803325.0</v>
      </c>
      <c r="M3010" s="128">
        <v>3872105.0</v>
      </c>
      <c r="N3010" s="128">
        <v>931220.0</v>
      </c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</row>
    <row r="3011">
      <c r="A3011" s="125" t="s">
        <v>469</v>
      </c>
      <c r="B3011" s="125" t="s">
        <v>519</v>
      </c>
      <c r="C3011" s="125" t="s">
        <v>456</v>
      </c>
      <c r="D3011" s="125" t="s">
        <v>457</v>
      </c>
      <c r="E3011" s="125" t="s">
        <v>472</v>
      </c>
      <c r="F3011" s="126">
        <v>40801.0</v>
      </c>
      <c r="G3011" s="127">
        <v>6.02E8</v>
      </c>
      <c r="H3011" s="126">
        <v>40801.0</v>
      </c>
      <c r="I3011" s="128">
        <v>7588.0</v>
      </c>
      <c r="J3011" s="128">
        <v>152.58</v>
      </c>
      <c r="K3011" s="128">
        <v>97.44</v>
      </c>
      <c r="L3011" s="128">
        <v>1157777.0</v>
      </c>
      <c r="M3011" s="128">
        <v>739374.7</v>
      </c>
      <c r="N3011" s="128">
        <v>418402.3</v>
      </c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</row>
    <row r="3012">
      <c r="A3012" s="125" t="s">
        <v>475</v>
      </c>
      <c r="B3012" s="125" t="s">
        <v>571</v>
      </c>
      <c r="C3012" s="125" t="s">
        <v>494</v>
      </c>
      <c r="D3012" s="125" t="s">
        <v>454</v>
      </c>
      <c r="E3012" s="125" t="s">
        <v>284</v>
      </c>
      <c r="F3012" s="126">
        <v>40707.0</v>
      </c>
      <c r="G3012" s="127">
        <v>3.66E8</v>
      </c>
      <c r="H3012" s="126">
        <v>40726.0</v>
      </c>
      <c r="I3012" s="128">
        <v>3318.0</v>
      </c>
      <c r="J3012" s="128">
        <v>9.33</v>
      </c>
      <c r="K3012" s="128">
        <v>6.92</v>
      </c>
      <c r="L3012" s="128">
        <v>30956.94</v>
      </c>
      <c r="M3012" s="128">
        <v>22960.56</v>
      </c>
      <c r="N3012" s="128">
        <v>7996.38</v>
      </c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</row>
    <row r="3013">
      <c r="A3013" s="125" t="s">
        <v>458</v>
      </c>
      <c r="B3013" s="125" t="s">
        <v>641</v>
      </c>
      <c r="C3013" s="125" t="s">
        <v>514</v>
      </c>
      <c r="D3013" s="125" t="s">
        <v>457</v>
      </c>
      <c r="E3013" s="125" t="s">
        <v>464</v>
      </c>
      <c r="F3013" s="126">
        <v>42811.0</v>
      </c>
      <c r="G3013" s="127">
        <v>9.23E8</v>
      </c>
      <c r="H3013" s="126">
        <v>42827.0</v>
      </c>
      <c r="I3013" s="128">
        <v>6134.0</v>
      </c>
      <c r="J3013" s="128">
        <v>668.27</v>
      </c>
      <c r="K3013" s="128">
        <v>502.54</v>
      </c>
      <c r="L3013" s="128">
        <v>4099168.0</v>
      </c>
      <c r="M3013" s="128">
        <v>3082580.0</v>
      </c>
      <c r="N3013" s="128">
        <v>1016588.0</v>
      </c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</row>
    <row r="3014">
      <c r="A3014" s="125" t="s">
        <v>475</v>
      </c>
      <c r="B3014" s="125" t="s">
        <v>548</v>
      </c>
      <c r="C3014" s="125" t="s">
        <v>514</v>
      </c>
      <c r="D3014" s="125" t="s">
        <v>454</v>
      </c>
      <c r="E3014" s="125" t="s">
        <v>189</v>
      </c>
      <c r="F3014" s="126">
        <v>42724.0</v>
      </c>
      <c r="G3014" s="127">
        <v>7.08E8</v>
      </c>
      <c r="H3014" s="126">
        <v>42751.0</v>
      </c>
      <c r="I3014" s="128">
        <v>9634.0</v>
      </c>
      <c r="J3014" s="128">
        <v>668.27</v>
      </c>
      <c r="K3014" s="128">
        <v>502.54</v>
      </c>
      <c r="L3014" s="128">
        <v>6438113.0</v>
      </c>
      <c r="M3014" s="128">
        <v>4841470.0</v>
      </c>
      <c r="N3014" s="128">
        <v>1596643.0</v>
      </c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</row>
    <row r="3015">
      <c r="A3015" s="125" t="s">
        <v>458</v>
      </c>
      <c r="B3015" s="125" t="s">
        <v>487</v>
      </c>
      <c r="C3015" s="125" t="s">
        <v>463</v>
      </c>
      <c r="D3015" s="125" t="s">
        <v>457</v>
      </c>
      <c r="E3015" s="125" t="s">
        <v>472</v>
      </c>
      <c r="F3015" s="126">
        <v>40591.0</v>
      </c>
      <c r="G3015" s="127">
        <v>9.28E8</v>
      </c>
      <c r="H3015" s="126">
        <v>40617.0</v>
      </c>
      <c r="I3015" s="128">
        <v>4448.0</v>
      </c>
      <c r="J3015" s="128">
        <v>205.7</v>
      </c>
      <c r="K3015" s="128">
        <v>117.11</v>
      </c>
      <c r="L3015" s="128">
        <v>914953.6</v>
      </c>
      <c r="M3015" s="128">
        <v>520905.3</v>
      </c>
      <c r="N3015" s="128">
        <v>394048.3</v>
      </c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</row>
    <row r="3016">
      <c r="A3016" s="125" t="s">
        <v>466</v>
      </c>
      <c r="B3016" s="125" t="s">
        <v>580</v>
      </c>
      <c r="C3016" s="125" t="s">
        <v>494</v>
      </c>
      <c r="D3016" s="125" t="s">
        <v>454</v>
      </c>
      <c r="E3016" s="125" t="s">
        <v>189</v>
      </c>
      <c r="F3016" s="126">
        <v>42483.0</v>
      </c>
      <c r="G3016" s="127">
        <v>6.1E8</v>
      </c>
      <c r="H3016" s="126">
        <v>42533.0</v>
      </c>
      <c r="I3016" s="128">
        <v>3238.0</v>
      </c>
      <c r="J3016" s="128">
        <v>9.33</v>
      </c>
      <c r="K3016" s="128">
        <v>6.92</v>
      </c>
      <c r="L3016" s="128">
        <v>30210.54</v>
      </c>
      <c r="M3016" s="128">
        <v>22406.96</v>
      </c>
      <c r="N3016" s="128">
        <v>7803.58</v>
      </c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</row>
    <row r="3017">
      <c r="A3017" s="125" t="s">
        <v>466</v>
      </c>
      <c r="B3017" s="125" t="s">
        <v>584</v>
      </c>
      <c r="C3017" s="125" t="s">
        <v>471</v>
      </c>
      <c r="D3017" s="125" t="s">
        <v>457</v>
      </c>
      <c r="E3017" s="125" t="s">
        <v>472</v>
      </c>
      <c r="F3017" s="126">
        <v>42407.0</v>
      </c>
      <c r="G3017" s="127">
        <v>6.51E8</v>
      </c>
      <c r="H3017" s="126">
        <v>42430.0</v>
      </c>
      <c r="I3017" s="128">
        <v>5695.0</v>
      </c>
      <c r="J3017" s="128">
        <v>109.28</v>
      </c>
      <c r="K3017" s="128">
        <v>35.84</v>
      </c>
      <c r="L3017" s="128">
        <v>622349.6</v>
      </c>
      <c r="M3017" s="128">
        <v>204108.8</v>
      </c>
      <c r="N3017" s="128">
        <v>418240.8</v>
      </c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</row>
    <row r="3018">
      <c r="A3018" s="125" t="s">
        <v>469</v>
      </c>
      <c r="B3018" s="125" t="s">
        <v>520</v>
      </c>
      <c r="C3018" s="125" t="s">
        <v>453</v>
      </c>
      <c r="D3018" s="125" t="s">
        <v>454</v>
      </c>
      <c r="E3018" s="125" t="s">
        <v>189</v>
      </c>
      <c r="F3018" s="126">
        <v>40297.0</v>
      </c>
      <c r="G3018" s="127">
        <v>6.67E8</v>
      </c>
      <c r="H3018" s="126">
        <v>40333.0</v>
      </c>
      <c r="I3018" s="128">
        <v>3544.0</v>
      </c>
      <c r="J3018" s="128">
        <v>255.28</v>
      </c>
      <c r="K3018" s="128">
        <v>159.42</v>
      </c>
      <c r="L3018" s="128">
        <v>904712.3</v>
      </c>
      <c r="M3018" s="128">
        <v>564984.5</v>
      </c>
      <c r="N3018" s="128">
        <v>339727.8</v>
      </c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</row>
    <row r="3019">
      <c r="A3019" s="125" t="s">
        <v>458</v>
      </c>
      <c r="B3019" s="125" t="s">
        <v>560</v>
      </c>
      <c r="C3019" s="125" t="s">
        <v>506</v>
      </c>
      <c r="D3019" s="125" t="s">
        <v>454</v>
      </c>
      <c r="E3019" s="125" t="s">
        <v>464</v>
      </c>
      <c r="F3019" s="126">
        <v>40620.0</v>
      </c>
      <c r="G3019" s="127">
        <v>3.46E8</v>
      </c>
      <c r="H3019" s="126">
        <v>40635.0</v>
      </c>
      <c r="I3019" s="128">
        <v>5539.0</v>
      </c>
      <c r="J3019" s="128">
        <v>154.06</v>
      </c>
      <c r="K3019" s="128">
        <v>90.93</v>
      </c>
      <c r="L3019" s="128">
        <v>853338.3</v>
      </c>
      <c r="M3019" s="128">
        <v>503661.3</v>
      </c>
      <c r="N3019" s="128">
        <v>349677.1</v>
      </c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</row>
    <row r="3020">
      <c r="A3020" s="125" t="s">
        <v>458</v>
      </c>
      <c r="B3020" s="125" t="s">
        <v>541</v>
      </c>
      <c r="C3020" s="125" t="s">
        <v>460</v>
      </c>
      <c r="D3020" s="125" t="s">
        <v>457</v>
      </c>
      <c r="E3020" s="125" t="s">
        <v>472</v>
      </c>
      <c r="F3020" s="126">
        <v>42703.0</v>
      </c>
      <c r="G3020" s="127">
        <v>7.97E8</v>
      </c>
      <c r="H3020" s="126">
        <v>42703.0</v>
      </c>
      <c r="I3020" s="128">
        <v>2466.0</v>
      </c>
      <c r="J3020" s="128">
        <v>47.45</v>
      </c>
      <c r="K3020" s="128">
        <v>31.79</v>
      </c>
      <c r="L3020" s="128">
        <v>117011.7</v>
      </c>
      <c r="M3020" s="128">
        <v>78394.14</v>
      </c>
      <c r="N3020" s="128">
        <v>38617.56</v>
      </c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</row>
    <row r="3021">
      <c r="A3021" s="125" t="s">
        <v>458</v>
      </c>
      <c r="B3021" s="125" t="s">
        <v>643</v>
      </c>
      <c r="C3021" s="125" t="s">
        <v>453</v>
      </c>
      <c r="D3021" s="125" t="s">
        <v>454</v>
      </c>
      <c r="E3021" s="125" t="s">
        <v>472</v>
      </c>
      <c r="F3021" s="126">
        <v>42112.0</v>
      </c>
      <c r="G3021" s="127">
        <v>4.98E8</v>
      </c>
      <c r="H3021" s="126">
        <v>42134.0</v>
      </c>
      <c r="I3021" s="128">
        <v>2144.0</v>
      </c>
      <c r="J3021" s="128">
        <v>255.28</v>
      </c>
      <c r="K3021" s="128">
        <v>159.42</v>
      </c>
      <c r="L3021" s="128">
        <v>547320.3</v>
      </c>
      <c r="M3021" s="128">
        <v>341796.5</v>
      </c>
      <c r="N3021" s="128">
        <v>205523.8</v>
      </c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</row>
    <row r="3022">
      <c r="A3022" s="125" t="s">
        <v>458</v>
      </c>
      <c r="B3022" s="125" t="s">
        <v>626</v>
      </c>
      <c r="C3022" s="125" t="s">
        <v>468</v>
      </c>
      <c r="D3022" s="125" t="s">
        <v>454</v>
      </c>
      <c r="E3022" s="125" t="s">
        <v>284</v>
      </c>
      <c r="F3022" s="126">
        <v>40334.0</v>
      </c>
      <c r="G3022" s="127">
        <v>2.46E8</v>
      </c>
      <c r="H3022" s="126">
        <v>40354.0</v>
      </c>
      <c r="I3022" s="128">
        <v>4419.0</v>
      </c>
      <c r="J3022" s="128">
        <v>81.73</v>
      </c>
      <c r="K3022" s="128">
        <v>56.67</v>
      </c>
      <c r="L3022" s="128">
        <v>361164.9</v>
      </c>
      <c r="M3022" s="128">
        <v>250424.7</v>
      </c>
      <c r="N3022" s="128">
        <v>110740.1</v>
      </c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</row>
    <row r="3023">
      <c r="A3023" s="125" t="s">
        <v>475</v>
      </c>
      <c r="B3023" s="125" t="s">
        <v>600</v>
      </c>
      <c r="C3023" s="125" t="s">
        <v>456</v>
      </c>
      <c r="D3023" s="125" t="s">
        <v>457</v>
      </c>
      <c r="E3023" s="125" t="s">
        <v>189</v>
      </c>
      <c r="F3023" s="126">
        <v>40628.0</v>
      </c>
      <c r="G3023" s="127">
        <v>9.1E8</v>
      </c>
      <c r="H3023" s="126">
        <v>40654.0</v>
      </c>
      <c r="I3023" s="128">
        <v>6173.0</v>
      </c>
      <c r="J3023" s="128">
        <v>152.58</v>
      </c>
      <c r="K3023" s="128">
        <v>97.44</v>
      </c>
      <c r="L3023" s="128">
        <v>941876.3</v>
      </c>
      <c r="M3023" s="128">
        <v>601497.1</v>
      </c>
      <c r="N3023" s="128">
        <v>340379.2</v>
      </c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</row>
    <row r="3024">
      <c r="A3024" s="125" t="s">
        <v>466</v>
      </c>
      <c r="B3024" s="125" t="s">
        <v>492</v>
      </c>
      <c r="C3024" s="125" t="s">
        <v>485</v>
      </c>
      <c r="D3024" s="125" t="s">
        <v>454</v>
      </c>
      <c r="E3024" s="125" t="s">
        <v>472</v>
      </c>
      <c r="F3024" s="126">
        <v>41109.0</v>
      </c>
      <c r="G3024" s="127">
        <v>2.81E8</v>
      </c>
      <c r="H3024" s="126">
        <v>41141.0</v>
      </c>
      <c r="I3024" s="128">
        <v>6317.0</v>
      </c>
      <c r="J3024" s="128">
        <v>421.89</v>
      </c>
      <c r="K3024" s="128">
        <v>364.69</v>
      </c>
      <c r="L3024" s="128">
        <v>2665079.0</v>
      </c>
      <c r="M3024" s="128">
        <v>2303747.0</v>
      </c>
      <c r="N3024" s="128">
        <v>361332.4</v>
      </c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</row>
    <row r="3025">
      <c r="A3025" s="125" t="s">
        <v>458</v>
      </c>
      <c r="B3025" s="125" t="s">
        <v>540</v>
      </c>
      <c r="C3025" s="125" t="s">
        <v>468</v>
      </c>
      <c r="D3025" s="125" t="s">
        <v>454</v>
      </c>
      <c r="E3025" s="125" t="s">
        <v>464</v>
      </c>
      <c r="F3025" s="126">
        <v>41666.0</v>
      </c>
      <c r="G3025" s="127">
        <v>7.16E8</v>
      </c>
      <c r="H3025" s="126">
        <v>41687.0</v>
      </c>
      <c r="I3025" s="128">
        <v>792.0</v>
      </c>
      <c r="J3025" s="128">
        <v>81.73</v>
      </c>
      <c r="K3025" s="128">
        <v>56.67</v>
      </c>
      <c r="L3025" s="128">
        <v>64730.16</v>
      </c>
      <c r="M3025" s="128">
        <v>44882.64</v>
      </c>
      <c r="N3025" s="128">
        <v>19847.52</v>
      </c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</row>
    <row r="3026">
      <c r="A3026" s="125" t="s">
        <v>466</v>
      </c>
      <c r="B3026" s="125" t="s">
        <v>598</v>
      </c>
      <c r="C3026" s="125" t="s">
        <v>471</v>
      </c>
      <c r="D3026" s="125" t="s">
        <v>457</v>
      </c>
      <c r="E3026" s="125" t="s">
        <v>464</v>
      </c>
      <c r="F3026" s="126">
        <v>42576.0</v>
      </c>
      <c r="G3026" s="127">
        <v>5.97E8</v>
      </c>
      <c r="H3026" s="126">
        <v>42615.0</v>
      </c>
      <c r="I3026" s="128">
        <v>7572.0</v>
      </c>
      <c r="J3026" s="128">
        <v>109.28</v>
      </c>
      <c r="K3026" s="128">
        <v>35.84</v>
      </c>
      <c r="L3026" s="128">
        <v>827468.2</v>
      </c>
      <c r="M3026" s="128">
        <v>271380.5</v>
      </c>
      <c r="N3026" s="128">
        <v>556087.7</v>
      </c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</row>
    <row r="3027">
      <c r="A3027" s="125" t="s">
        <v>451</v>
      </c>
      <c r="B3027" s="125" t="s">
        <v>608</v>
      </c>
      <c r="C3027" s="125" t="s">
        <v>471</v>
      </c>
      <c r="D3027" s="125" t="s">
        <v>457</v>
      </c>
      <c r="E3027" s="125" t="s">
        <v>464</v>
      </c>
      <c r="F3027" s="126">
        <v>40355.0</v>
      </c>
      <c r="G3027" s="127">
        <v>1.73E8</v>
      </c>
      <c r="H3027" s="126">
        <v>40371.0</v>
      </c>
      <c r="I3027" s="128">
        <v>1663.0</v>
      </c>
      <c r="J3027" s="128">
        <v>109.28</v>
      </c>
      <c r="K3027" s="128">
        <v>35.84</v>
      </c>
      <c r="L3027" s="128">
        <v>181732.6</v>
      </c>
      <c r="M3027" s="128">
        <v>59601.92</v>
      </c>
      <c r="N3027" s="128">
        <v>122130.7</v>
      </c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</row>
    <row r="3028">
      <c r="A3028" s="125" t="s">
        <v>451</v>
      </c>
      <c r="B3028" s="125" t="s">
        <v>609</v>
      </c>
      <c r="C3028" s="125" t="s">
        <v>494</v>
      </c>
      <c r="D3028" s="125" t="s">
        <v>457</v>
      </c>
      <c r="E3028" s="125" t="s">
        <v>464</v>
      </c>
      <c r="F3028" s="126">
        <v>40208.0</v>
      </c>
      <c r="G3028" s="127">
        <v>2.14E8</v>
      </c>
      <c r="H3028" s="126">
        <v>40209.0</v>
      </c>
      <c r="I3028" s="128">
        <v>101.0</v>
      </c>
      <c r="J3028" s="128">
        <v>9.33</v>
      </c>
      <c r="K3028" s="128">
        <v>6.92</v>
      </c>
      <c r="L3028" s="128">
        <v>942.33</v>
      </c>
      <c r="M3028" s="128">
        <v>698.92</v>
      </c>
      <c r="N3028" s="128">
        <v>243.41</v>
      </c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</row>
    <row r="3029">
      <c r="A3029" s="125" t="s">
        <v>475</v>
      </c>
      <c r="B3029" s="125" t="s">
        <v>549</v>
      </c>
      <c r="C3029" s="125" t="s">
        <v>471</v>
      </c>
      <c r="D3029" s="125" t="s">
        <v>457</v>
      </c>
      <c r="E3029" s="125" t="s">
        <v>189</v>
      </c>
      <c r="F3029" s="126">
        <v>40811.0</v>
      </c>
      <c r="G3029" s="127">
        <v>6.6E8</v>
      </c>
      <c r="H3029" s="126">
        <v>40840.0</v>
      </c>
      <c r="I3029" s="128">
        <v>6952.0</v>
      </c>
      <c r="J3029" s="128">
        <v>109.28</v>
      </c>
      <c r="K3029" s="128">
        <v>35.84</v>
      </c>
      <c r="L3029" s="128">
        <v>759714.6</v>
      </c>
      <c r="M3029" s="128">
        <v>249159.7</v>
      </c>
      <c r="N3029" s="128">
        <v>510554.9</v>
      </c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</row>
    <row r="3030">
      <c r="A3030" s="125" t="s">
        <v>461</v>
      </c>
      <c r="B3030" s="125" t="s">
        <v>525</v>
      </c>
      <c r="C3030" s="125" t="s">
        <v>468</v>
      </c>
      <c r="D3030" s="125" t="s">
        <v>454</v>
      </c>
      <c r="E3030" s="125" t="s">
        <v>284</v>
      </c>
      <c r="F3030" s="126">
        <v>41232.0</v>
      </c>
      <c r="G3030" s="127">
        <v>1.74E8</v>
      </c>
      <c r="H3030" s="126">
        <v>41280.0</v>
      </c>
      <c r="I3030" s="128">
        <v>8316.0</v>
      </c>
      <c r="J3030" s="128">
        <v>81.73</v>
      </c>
      <c r="K3030" s="128">
        <v>56.67</v>
      </c>
      <c r="L3030" s="128">
        <v>679666.7</v>
      </c>
      <c r="M3030" s="128">
        <v>471267.7</v>
      </c>
      <c r="N3030" s="128">
        <v>208399.0</v>
      </c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</row>
    <row r="3031">
      <c r="A3031" s="125" t="s">
        <v>458</v>
      </c>
      <c r="B3031" s="125" t="s">
        <v>551</v>
      </c>
      <c r="C3031" s="125" t="s">
        <v>478</v>
      </c>
      <c r="D3031" s="125" t="s">
        <v>454</v>
      </c>
      <c r="E3031" s="125" t="s">
        <v>189</v>
      </c>
      <c r="F3031" s="126">
        <v>42309.0</v>
      </c>
      <c r="G3031" s="127">
        <v>1.87E8</v>
      </c>
      <c r="H3031" s="126">
        <v>42353.0</v>
      </c>
      <c r="I3031" s="128">
        <v>7322.0</v>
      </c>
      <c r="J3031" s="128">
        <v>651.21</v>
      </c>
      <c r="K3031" s="128">
        <v>524.96</v>
      </c>
      <c r="L3031" s="128">
        <v>4768160.0</v>
      </c>
      <c r="M3031" s="128">
        <v>3843757.0</v>
      </c>
      <c r="N3031" s="128">
        <v>924402.5</v>
      </c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</row>
    <row r="3032">
      <c r="A3032" s="125" t="s">
        <v>458</v>
      </c>
      <c r="B3032" s="125" t="s">
        <v>567</v>
      </c>
      <c r="C3032" s="125" t="s">
        <v>506</v>
      </c>
      <c r="D3032" s="125" t="s">
        <v>454</v>
      </c>
      <c r="E3032" s="125" t="s">
        <v>464</v>
      </c>
      <c r="F3032" s="126">
        <v>42505.0</v>
      </c>
      <c r="G3032" s="127">
        <v>8.49E8</v>
      </c>
      <c r="H3032" s="126">
        <v>42521.0</v>
      </c>
      <c r="I3032" s="128">
        <v>9132.0</v>
      </c>
      <c r="J3032" s="128">
        <v>154.06</v>
      </c>
      <c r="K3032" s="128">
        <v>90.93</v>
      </c>
      <c r="L3032" s="128">
        <v>1406876.0</v>
      </c>
      <c r="M3032" s="128">
        <v>830372.8</v>
      </c>
      <c r="N3032" s="128">
        <v>576503.2</v>
      </c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</row>
    <row r="3033">
      <c r="A3033" s="125" t="s">
        <v>451</v>
      </c>
      <c r="B3033" s="125" t="s">
        <v>483</v>
      </c>
      <c r="C3033" s="125" t="s">
        <v>514</v>
      </c>
      <c r="D3033" s="125" t="s">
        <v>454</v>
      </c>
      <c r="E3033" s="125" t="s">
        <v>284</v>
      </c>
      <c r="F3033" s="126">
        <v>42052.0</v>
      </c>
      <c r="G3033" s="127">
        <v>5.83E8</v>
      </c>
      <c r="H3033" s="126">
        <v>42055.0</v>
      </c>
      <c r="I3033" s="128">
        <v>5937.0</v>
      </c>
      <c r="J3033" s="128">
        <v>668.27</v>
      </c>
      <c r="K3033" s="128">
        <v>502.54</v>
      </c>
      <c r="L3033" s="128">
        <v>3967519.0</v>
      </c>
      <c r="M3033" s="128">
        <v>2983580.0</v>
      </c>
      <c r="N3033" s="128">
        <v>983939.0</v>
      </c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</row>
    <row r="3034">
      <c r="A3034" s="125" t="s">
        <v>458</v>
      </c>
      <c r="B3034" s="125" t="s">
        <v>603</v>
      </c>
      <c r="C3034" s="125" t="s">
        <v>478</v>
      </c>
      <c r="D3034" s="125" t="s">
        <v>454</v>
      </c>
      <c r="E3034" s="125" t="s">
        <v>472</v>
      </c>
      <c r="F3034" s="126">
        <v>41574.0</v>
      </c>
      <c r="G3034" s="127">
        <v>1.31E8</v>
      </c>
      <c r="H3034" s="126">
        <v>41580.0</v>
      </c>
      <c r="I3034" s="128">
        <v>1962.0</v>
      </c>
      <c r="J3034" s="128">
        <v>651.21</v>
      </c>
      <c r="K3034" s="128">
        <v>524.96</v>
      </c>
      <c r="L3034" s="128">
        <v>1277674.0</v>
      </c>
      <c r="M3034" s="128">
        <v>1029972.0</v>
      </c>
      <c r="N3034" s="128">
        <v>247702.5</v>
      </c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</row>
    <row r="3035">
      <c r="A3035" s="125" t="s">
        <v>451</v>
      </c>
      <c r="B3035" s="125" t="s">
        <v>499</v>
      </c>
      <c r="C3035" s="125" t="s">
        <v>460</v>
      </c>
      <c r="D3035" s="125" t="s">
        <v>454</v>
      </c>
      <c r="E3035" s="125" t="s">
        <v>464</v>
      </c>
      <c r="F3035" s="126">
        <v>40698.0</v>
      </c>
      <c r="G3035" s="127">
        <v>3.05E8</v>
      </c>
      <c r="H3035" s="126">
        <v>40714.0</v>
      </c>
      <c r="I3035" s="128">
        <v>8462.0</v>
      </c>
      <c r="J3035" s="128">
        <v>47.45</v>
      </c>
      <c r="K3035" s="128">
        <v>31.79</v>
      </c>
      <c r="L3035" s="128">
        <v>401521.9</v>
      </c>
      <c r="M3035" s="128">
        <v>269007.0</v>
      </c>
      <c r="N3035" s="128">
        <v>132514.9</v>
      </c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</row>
    <row r="3036">
      <c r="A3036" s="125" t="s">
        <v>451</v>
      </c>
      <c r="B3036" s="125" t="s">
        <v>452</v>
      </c>
      <c r="C3036" s="125" t="s">
        <v>460</v>
      </c>
      <c r="D3036" s="125" t="s">
        <v>457</v>
      </c>
      <c r="E3036" s="125" t="s">
        <v>464</v>
      </c>
      <c r="F3036" s="126">
        <v>42209.0</v>
      </c>
      <c r="G3036" s="127">
        <v>6.4E8</v>
      </c>
      <c r="H3036" s="126">
        <v>42243.0</v>
      </c>
      <c r="I3036" s="128">
        <v>8722.0</v>
      </c>
      <c r="J3036" s="128">
        <v>47.45</v>
      </c>
      <c r="K3036" s="128">
        <v>31.79</v>
      </c>
      <c r="L3036" s="128">
        <v>413858.9</v>
      </c>
      <c r="M3036" s="128">
        <v>277272.4</v>
      </c>
      <c r="N3036" s="128">
        <v>136586.5</v>
      </c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</row>
    <row r="3037">
      <c r="A3037" s="125" t="s">
        <v>475</v>
      </c>
      <c r="B3037" s="125" t="s">
        <v>521</v>
      </c>
      <c r="C3037" s="125" t="s">
        <v>468</v>
      </c>
      <c r="D3037" s="125" t="s">
        <v>454</v>
      </c>
      <c r="E3037" s="125" t="s">
        <v>464</v>
      </c>
      <c r="F3037" s="126">
        <v>42365.0</v>
      </c>
      <c r="G3037" s="127">
        <v>7.36E8</v>
      </c>
      <c r="H3037" s="126">
        <v>42366.0</v>
      </c>
      <c r="I3037" s="128">
        <v>3060.0</v>
      </c>
      <c r="J3037" s="128">
        <v>81.73</v>
      </c>
      <c r="K3037" s="128">
        <v>56.67</v>
      </c>
      <c r="L3037" s="128">
        <v>250093.8</v>
      </c>
      <c r="M3037" s="128">
        <v>173410.2</v>
      </c>
      <c r="N3037" s="128">
        <v>76683.6</v>
      </c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</row>
    <row r="3038">
      <c r="A3038" s="125" t="s">
        <v>458</v>
      </c>
      <c r="B3038" s="125" t="s">
        <v>529</v>
      </c>
      <c r="C3038" s="125" t="s">
        <v>478</v>
      </c>
      <c r="D3038" s="125" t="s">
        <v>457</v>
      </c>
      <c r="E3038" s="125" t="s">
        <v>189</v>
      </c>
      <c r="F3038" s="126">
        <v>40576.0</v>
      </c>
      <c r="G3038" s="127">
        <v>7.19E8</v>
      </c>
      <c r="H3038" s="126">
        <v>40599.0</v>
      </c>
      <c r="I3038" s="128">
        <v>3824.0</v>
      </c>
      <c r="J3038" s="128">
        <v>651.21</v>
      </c>
      <c r="K3038" s="128">
        <v>524.96</v>
      </c>
      <c r="L3038" s="128">
        <v>2490227.0</v>
      </c>
      <c r="M3038" s="128">
        <v>2007447.0</v>
      </c>
      <c r="N3038" s="128">
        <v>482780.0</v>
      </c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</row>
    <row r="3039">
      <c r="A3039" s="125" t="s">
        <v>451</v>
      </c>
      <c r="B3039" s="125" t="s">
        <v>646</v>
      </c>
      <c r="C3039" s="125" t="s">
        <v>468</v>
      </c>
      <c r="D3039" s="125" t="s">
        <v>454</v>
      </c>
      <c r="E3039" s="125" t="s">
        <v>464</v>
      </c>
      <c r="F3039" s="126">
        <v>40795.0</v>
      </c>
      <c r="G3039" s="127">
        <v>7.82E8</v>
      </c>
      <c r="H3039" s="126">
        <v>40837.0</v>
      </c>
      <c r="I3039" s="128">
        <v>395.0</v>
      </c>
      <c r="J3039" s="128">
        <v>81.73</v>
      </c>
      <c r="K3039" s="128">
        <v>56.67</v>
      </c>
      <c r="L3039" s="128">
        <v>32283.35</v>
      </c>
      <c r="M3039" s="128">
        <v>22384.65</v>
      </c>
      <c r="N3039" s="128">
        <v>9898.7</v>
      </c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</row>
    <row r="3040">
      <c r="A3040" s="125" t="s">
        <v>475</v>
      </c>
      <c r="B3040" s="125" t="s">
        <v>636</v>
      </c>
      <c r="C3040" s="125" t="s">
        <v>506</v>
      </c>
      <c r="D3040" s="125" t="s">
        <v>457</v>
      </c>
      <c r="E3040" s="125" t="s">
        <v>189</v>
      </c>
      <c r="F3040" s="126">
        <v>41828.0</v>
      </c>
      <c r="G3040" s="127">
        <v>7.39E8</v>
      </c>
      <c r="H3040" s="126">
        <v>41840.0</v>
      </c>
      <c r="I3040" s="128">
        <v>4183.0</v>
      </c>
      <c r="J3040" s="128">
        <v>154.06</v>
      </c>
      <c r="K3040" s="128">
        <v>90.93</v>
      </c>
      <c r="L3040" s="128">
        <v>644433.0</v>
      </c>
      <c r="M3040" s="128">
        <v>380360.2</v>
      </c>
      <c r="N3040" s="128">
        <v>264072.8</v>
      </c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</row>
    <row r="3041">
      <c r="A3041" s="125" t="s">
        <v>466</v>
      </c>
      <c r="B3041" s="125" t="s">
        <v>496</v>
      </c>
      <c r="C3041" s="125" t="s">
        <v>514</v>
      </c>
      <c r="D3041" s="125" t="s">
        <v>454</v>
      </c>
      <c r="E3041" s="125" t="s">
        <v>472</v>
      </c>
      <c r="F3041" s="126">
        <v>41489.0</v>
      </c>
      <c r="G3041" s="127">
        <v>4.74E8</v>
      </c>
      <c r="H3041" s="126">
        <v>41520.0</v>
      </c>
      <c r="I3041" s="128">
        <v>3632.0</v>
      </c>
      <c r="J3041" s="128">
        <v>668.27</v>
      </c>
      <c r="K3041" s="128">
        <v>502.54</v>
      </c>
      <c r="L3041" s="128">
        <v>2427157.0</v>
      </c>
      <c r="M3041" s="128">
        <v>1825225.0</v>
      </c>
      <c r="N3041" s="128">
        <v>601931.4</v>
      </c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</row>
    <row r="3042">
      <c r="A3042" s="125" t="s">
        <v>475</v>
      </c>
      <c r="B3042" s="125" t="s">
        <v>566</v>
      </c>
      <c r="C3042" s="125" t="s">
        <v>456</v>
      </c>
      <c r="D3042" s="125" t="s">
        <v>454</v>
      </c>
      <c r="E3042" s="125" t="s">
        <v>189</v>
      </c>
      <c r="F3042" s="126">
        <v>40747.0</v>
      </c>
      <c r="G3042" s="127">
        <v>3.93E8</v>
      </c>
      <c r="H3042" s="126">
        <v>40750.0</v>
      </c>
      <c r="I3042" s="128">
        <v>9214.0</v>
      </c>
      <c r="J3042" s="128">
        <v>152.58</v>
      </c>
      <c r="K3042" s="128">
        <v>97.44</v>
      </c>
      <c r="L3042" s="128">
        <v>1405872.0</v>
      </c>
      <c r="M3042" s="128">
        <v>897812.2</v>
      </c>
      <c r="N3042" s="128">
        <v>508060.0</v>
      </c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</row>
    <row r="3043">
      <c r="A3043" s="125" t="s">
        <v>475</v>
      </c>
      <c r="B3043" s="125" t="s">
        <v>624</v>
      </c>
      <c r="C3043" s="125" t="s">
        <v>485</v>
      </c>
      <c r="D3043" s="125" t="s">
        <v>454</v>
      </c>
      <c r="E3043" s="125" t="s">
        <v>284</v>
      </c>
      <c r="F3043" s="126">
        <v>42340.0</v>
      </c>
      <c r="G3043" s="127">
        <v>9.7E8</v>
      </c>
      <c r="H3043" s="126">
        <v>42367.0</v>
      </c>
      <c r="I3043" s="128">
        <v>8434.0</v>
      </c>
      <c r="J3043" s="128">
        <v>421.89</v>
      </c>
      <c r="K3043" s="128">
        <v>364.69</v>
      </c>
      <c r="L3043" s="128">
        <v>3558220.0</v>
      </c>
      <c r="M3043" s="128">
        <v>3075795.0</v>
      </c>
      <c r="N3043" s="128">
        <v>482424.8</v>
      </c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</row>
    <row r="3044">
      <c r="A3044" s="125" t="s">
        <v>488</v>
      </c>
      <c r="B3044" s="125" t="s">
        <v>654</v>
      </c>
      <c r="C3044" s="125" t="s">
        <v>456</v>
      </c>
      <c r="D3044" s="125" t="s">
        <v>457</v>
      </c>
      <c r="E3044" s="125" t="s">
        <v>189</v>
      </c>
      <c r="F3044" s="126">
        <v>41102.0</v>
      </c>
      <c r="G3044" s="127">
        <v>5.0E8</v>
      </c>
      <c r="H3044" s="126">
        <v>41112.0</v>
      </c>
      <c r="I3044" s="128">
        <v>829.0</v>
      </c>
      <c r="J3044" s="128">
        <v>152.58</v>
      </c>
      <c r="K3044" s="128">
        <v>97.44</v>
      </c>
      <c r="L3044" s="128">
        <v>126488.8</v>
      </c>
      <c r="M3044" s="128">
        <v>80777.76</v>
      </c>
      <c r="N3044" s="128">
        <v>45711.06</v>
      </c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</row>
    <row r="3045">
      <c r="A3045" s="125" t="s">
        <v>475</v>
      </c>
      <c r="B3045" s="125" t="s">
        <v>512</v>
      </c>
      <c r="C3045" s="125" t="s">
        <v>494</v>
      </c>
      <c r="D3045" s="125" t="s">
        <v>457</v>
      </c>
      <c r="E3045" s="125" t="s">
        <v>472</v>
      </c>
      <c r="F3045" s="126">
        <v>41933.0</v>
      </c>
      <c r="G3045" s="127">
        <v>9.5E8</v>
      </c>
      <c r="H3045" s="126">
        <v>41933.0</v>
      </c>
      <c r="I3045" s="128">
        <v>2966.0</v>
      </c>
      <c r="J3045" s="128">
        <v>9.33</v>
      </c>
      <c r="K3045" s="128">
        <v>6.92</v>
      </c>
      <c r="L3045" s="128">
        <v>27672.78</v>
      </c>
      <c r="M3045" s="128">
        <v>20524.72</v>
      </c>
      <c r="N3045" s="128">
        <v>7148.06</v>
      </c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</row>
    <row r="3046">
      <c r="A3046" s="125" t="s">
        <v>475</v>
      </c>
      <c r="B3046" s="125" t="s">
        <v>521</v>
      </c>
      <c r="C3046" s="125" t="s">
        <v>456</v>
      </c>
      <c r="D3046" s="125" t="s">
        <v>457</v>
      </c>
      <c r="E3046" s="125" t="s">
        <v>464</v>
      </c>
      <c r="F3046" s="126">
        <v>41825.0</v>
      </c>
      <c r="G3046" s="127">
        <v>3.05E8</v>
      </c>
      <c r="H3046" s="126">
        <v>41832.0</v>
      </c>
      <c r="I3046" s="128">
        <v>3444.0</v>
      </c>
      <c r="J3046" s="128">
        <v>152.58</v>
      </c>
      <c r="K3046" s="128">
        <v>97.44</v>
      </c>
      <c r="L3046" s="128">
        <v>525485.5</v>
      </c>
      <c r="M3046" s="128">
        <v>335583.4</v>
      </c>
      <c r="N3046" s="128">
        <v>189902.2</v>
      </c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</row>
    <row r="3047">
      <c r="A3047" s="125" t="s">
        <v>451</v>
      </c>
      <c r="B3047" s="125" t="s">
        <v>596</v>
      </c>
      <c r="C3047" s="125" t="s">
        <v>453</v>
      </c>
      <c r="D3047" s="125" t="s">
        <v>454</v>
      </c>
      <c r="E3047" s="125" t="s">
        <v>284</v>
      </c>
      <c r="F3047" s="126">
        <v>42309.0</v>
      </c>
      <c r="G3047" s="127">
        <v>2.22E8</v>
      </c>
      <c r="H3047" s="126">
        <v>42341.0</v>
      </c>
      <c r="I3047" s="128">
        <v>7892.0</v>
      </c>
      <c r="J3047" s="128">
        <v>255.28</v>
      </c>
      <c r="K3047" s="128">
        <v>159.42</v>
      </c>
      <c r="L3047" s="128">
        <v>2014670.0</v>
      </c>
      <c r="M3047" s="128">
        <v>1258143.0</v>
      </c>
      <c r="N3047" s="128">
        <v>756527.1</v>
      </c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</row>
    <row r="3048">
      <c r="A3048" s="125" t="s">
        <v>461</v>
      </c>
      <c r="B3048" s="125" t="s">
        <v>525</v>
      </c>
      <c r="C3048" s="125" t="s">
        <v>485</v>
      </c>
      <c r="D3048" s="125" t="s">
        <v>454</v>
      </c>
      <c r="E3048" s="125" t="s">
        <v>472</v>
      </c>
      <c r="F3048" s="126">
        <v>42538.0</v>
      </c>
      <c r="G3048" s="127">
        <v>1.77E8</v>
      </c>
      <c r="H3048" s="126">
        <v>42573.0</v>
      </c>
      <c r="I3048" s="128">
        <v>3971.0</v>
      </c>
      <c r="J3048" s="128">
        <v>421.89</v>
      </c>
      <c r="K3048" s="128">
        <v>364.69</v>
      </c>
      <c r="L3048" s="128">
        <v>1675325.0</v>
      </c>
      <c r="M3048" s="128">
        <v>1448184.0</v>
      </c>
      <c r="N3048" s="128">
        <v>227141.2</v>
      </c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</row>
    <row r="3049">
      <c r="A3049" s="125" t="s">
        <v>458</v>
      </c>
      <c r="B3049" s="125" t="s">
        <v>582</v>
      </c>
      <c r="C3049" s="125" t="s">
        <v>478</v>
      </c>
      <c r="D3049" s="125" t="s">
        <v>457</v>
      </c>
      <c r="E3049" s="125" t="s">
        <v>284</v>
      </c>
      <c r="F3049" s="126">
        <v>40670.0</v>
      </c>
      <c r="G3049" s="127">
        <v>6.17E8</v>
      </c>
      <c r="H3049" s="126">
        <v>40687.0</v>
      </c>
      <c r="I3049" s="128">
        <v>6375.0</v>
      </c>
      <c r="J3049" s="128">
        <v>651.21</v>
      </c>
      <c r="K3049" s="128">
        <v>524.96</v>
      </c>
      <c r="L3049" s="128">
        <v>4151464.0</v>
      </c>
      <c r="M3049" s="128">
        <v>3346620.0</v>
      </c>
      <c r="N3049" s="128">
        <v>804843.8</v>
      </c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</row>
    <row r="3050">
      <c r="A3050" s="125" t="s">
        <v>475</v>
      </c>
      <c r="B3050" s="125" t="s">
        <v>512</v>
      </c>
      <c r="C3050" s="125" t="s">
        <v>471</v>
      </c>
      <c r="D3050" s="125" t="s">
        <v>454</v>
      </c>
      <c r="E3050" s="125" t="s">
        <v>464</v>
      </c>
      <c r="F3050" s="126">
        <v>40787.0</v>
      </c>
      <c r="G3050" s="127">
        <v>7.09E8</v>
      </c>
      <c r="H3050" s="126">
        <v>40829.0</v>
      </c>
      <c r="I3050" s="128">
        <v>1826.0</v>
      </c>
      <c r="J3050" s="128">
        <v>109.28</v>
      </c>
      <c r="K3050" s="128">
        <v>35.84</v>
      </c>
      <c r="L3050" s="128">
        <v>199545.3</v>
      </c>
      <c r="M3050" s="128">
        <v>65443.84</v>
      </c>
      <c r="N3050" s="128">
        <v>134101.4</v>
      </c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</row>
    <row r="3051">
      <c r="A3051" s="125" t="s">
        <v>458</v>
      </c>
      <c r="B3051" s="125" t="s">
        <v>515</v>
      </c>
      <c r="C3051" s="125" t="s">
        <v>494</v>
      </c>
      <c r="D3051" s="125" t="s">
        <v>457</v>
      </c>
      <c r="E3051" s="125" t="s">
        <v>464</v>
      </c>
      <c r="F3051" s="126">
        <v>40441.0</v>
      </c>
      <c r="G3051" s="127">
        <v>5.91E8</v>
      </c>
      <c r="H3051" s="126">
        <v>40453.0</v>
      </c>
      <c r="I3051" s="128">
        <v>4080.0</v>
      </c>
      <c r="J3051" s="128">
        <v>9.33</v>
      </c>
      <c r="K3051" s="128">
        <v>6.92</v>
      </c>
      <c r="L3051" s="128">
        <v>38066.4</v>
      </c>
      <c r="M3051" s="128">
        <v>28233.6</v>
      </c>
      <c r="N3051" s="128">
        <v>9832.8</v>
      </c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</row>
    <row r="3052">
      <c r="A3052" s="125" t="s">
        <v>475</v>
      </c>
      <c r="B3052" s="125" t="s">
        <v>513</v>
      </c>
      <c r="C3052" s="125" t="s">
        <v>468</v>
      </c>
      <c r="D3052" s="125" t="s">
        <v>457</v>
      </c>
      <c r="E3052" s="125" t="s">
        <v>472</v>
      </c>
      <c r="F3052" s="126">
        <v>40343.0</v>
      </c>
      <c r="G3052" s="127">
        <v>9.21E8</v>
      </c>
      <c r="H3052" s="126">
        <v>40387.0</v>
      </c>
      <c r="I3052" s="128">
        <v>8923.0</v>
      </c>
      <c r="J3052" s="128">
        <v>81.73</v>
      </c>
      <c r="K3052" s="128">
        <v>56.67</v>
      </c>
      <c r="L3052" s="128">
        <v>729276.8</v>
      </c>
      <c r="M3052" s="128">
        <v>505666.4</v>
      </c>
      <c r="N3052" s="128">
        <v>223610.4</v>
      </c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</row>
    <row r="3053">
      <c r="A3053" s="125" t="s">
        <v>475</v>
      </c>
      <c r="B3053" s="125" t="s">
        <v>636</v>
      </c>
      <c r="C3053" s="125" t="s">
        <v>485</v>
      </c>
      <c r="D3053" s="125" t="s">
        <v>454</v>
      </c>
      <c r="E3053" s="125" t="s">
        <v>189</v>
      </c>
      <c r="F3053" s="126">
        <v>40207.0</v>
      </c>
      <c r="G3053" s="127">
        <v>6.27E8</v>
      </c>
      <c r="H3053" s="126">
        <v>40246.0</v>
      </c>
      <c r="I3053" s="128">
        <v>9171.0</v>
      </c>
      <c r="J3053" s="128">
        <v>421.89</v>
      </c>
      <c r="K3053" s="128">
        <v>364.69</v>
      </c>
      <c r="L3053" s="128">
        <v>3869153.0</v>
      </c>
      <c r="M3053" s="128">
        <v>3344572.0</v>
      </c>
      <c r="N3053" s="128">
        <v>524581.2</v>
      </c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</row>
    <row r="3054">
      <c r="A3054" s="125" t="s">
        <v>461</v>
      </c>
      <c r="B3054" s="125" t="s">
        <v>525</v>
      </c>
      <c r="C3054" s="125" t="s">
        <v>514</v>
      </c>
      <c r="D3054" s="125" t="s">
        <v>454</v>
      </c>
      <c r="E3054" s="125" t="s">
        <v>464</v>
      </c>
      <c r="F3054" s="126">
        <v>42904.0</v>
      </c>
      <c r="G3054" s="127">
        <v>9.57E8</v>
      </c>
      <c r="H3054" s="126">
        <v>42919.0</v>
      </c>
      <c r="I3054" s="128">
        <v>9674.0</v>
      </c>
      <c r="J3054" s="128">
        <v>668.27</v>
      </c>
      <c r="K3054" s="128">
        <v>502.54</v>
      </c>
      <c r="L3054" s="128">
        <v>6464844.0</v>
      </c>
      <c r="M3054" s="128">
        <v>4861572.0</v>
      </c>
      <c r="N3054" s="128">
        <v>1603272.0</v>
      </c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</row>
    <row r="3055">
      <c r="A3055" s="125" t="s">
        <v>488</v>
      </c>
      <c r="B3055" s="125" t="s">
        <v>645</v>
      </c>
      <c r="C3055" s="125" t="s">
        <v>478</v>
      </c>
      <c r="D3055" s="125" t="s">
        <v>454</v>
      </c>
      <c r="E3055" s="125" t="s">
        <v>284</v>
      </c>
      <c r="F3055" s="126">
        <v>42010.0</v>
      </c>
      <c r="G3055" s="127">
        <v>5.31E8</v>
      </c>
      <c r="H3055" s="126">
        <v>42037.0</v>
      </c>
      <c r="I3055" s="128">
        <v>2312.0</v>
      </c>
      <c r="J3055" s="128">
        <v>651.21</v>
      </c>
      <c r="K3055" s="128">
        <v>524.96</v>
      </c>
      <c r="L3055" s="128">
        <v>1505598.0</v>
      </c>
      <c r="M3055" s="128">
        <v>1213708.0</v>
      </c>
      <c r="N3055" s="128">
        <v>291890.0</v>
      </c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</row>
    <row r="3056">
      <c r="A3056" s="125" t="s">
        <v>466</v>
      </c>
      <c r="B3056" s="125" t="s">
        <v>484</v>
      </c>
      <c r="C3056" s="125" t="s">
        <v>506</v>
      </c>
      <c r="D3056" s="125" t="s">
        <v>457</v>
      </c>
      <c r="E3056" s="125" t="s">
        <v>284</v>
      </c>
      <c r="F3056" s="126">
        <v>42558.0</v>
      </c>
      <c r="G3056" s="127">
        <v>2.87E8</v>
      </c>
      <c r="H3056" s="126">
        <v>42603.0</v>
      </c>
      <c r="I3056" s="128">
        <v>996.0</v>
      </c>
      <c r="J3056" s="128">
        <v>154.06</v>
      </c>
      <c r="K3056" s="128">
        <v>90.93</v>
      </c>
      <c r="L3056" s="128">
        <v>153443.8</v>
      </c>
      <c r="M3056" s="128">
        <v>90566.28</v>
      </c>
      <c r="N3056" s="128">
        <v>62877.48</v>
      </c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</row>
    <row r="3057">
      <c r="A3057" s="125" t="s">
        <v>458</v>
      </c>
      <c r="B3057" s="125" t="s">
        <v>616</v>
      </c>
      <c r="C3057" s="125" t="s">
        <v>471</v>
      </c>
      <c r="D3057" s="125" t="s">
        <v>454</v>
      </c>
      <c r="E3057" s="125" t="s">
        <v>189</v>
      </c>
      <c r="F3057" s="126">
        <v>40286.0</v>
      </c>
      <c r="G3057" s="127">
        <v>3.35E8</v>
      </c>
      <c r="H3057" s="126">
        <v>40309.0</v>
      </c>
      <c r="I3057" s="128">
        <v>6667.0</v>
      </c>
      <c r="J3057" s="128">
        <v>109.28</v>
      </c>
      <c r="K3057" s="128">
        <v>35.84</v>
      </c>
      <c r="L3057" s="128">
        <v>728569.8</v>
      </c>
      <c r="M3057" s="128">
        <v>238945.3</v>
      </c>
      <c r="N3057" s="128">
        <v>489624.5</v>
      </c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</row>
    <row r="3058">
      <c r="A3058" s="125" t="s">
        <v>458</v>
      </c>
      <c r="B3058" s="125" t="s">
        <v>642</v>
      </c>
      <c r="C3058" s="125" t="s">
        <v>456</v>
      </c>
      <c r="D3058" s="125" t="s">
        <v>457</v>
      </c>
      <c r="E3058" s="125" t="s">
        <v>284</v>
      </c>
      <c r="F3058" s="126">
        <v>42385.0</v>
      </c>
      <c r="G3058" s="127">
        <v>4.04E8</v>
      </c>
      <c r="H3058" s="126">
        <v>42419.0</v>
      </c>
      <c r="I3058" s="128">
        <v>2300.0</v>
      </c>
      <c r="J3058" s="128">
        <v>152.58</v>
      </c>
      <c r="K3058" s="128">
        <v>97.44</v>
      </c>
      <c r="L3058" s="128">
        <v>350934.0</v>
      </c>
      <c r="M3058" s="128">
        <v>224112.0</v>
      </c>
      <c r="N3058" s="128">
        <v>126822.0</v>
      </c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</row>
    <row r="3059">
      <c r="A3059" s="125" t="s">
        <v>488</v>
      </c>
      <c r="B3059" s="125" t="s">
        <v>577</v>
      </c>
      <c r="C3059" s="125" t="s">
        <v>460</v>
      </c>
      <c r="D3059" s="125" t="s">
        <v>457</v>
      </c>
      <c r="E3059" s="125" t="s">
        <v>284</v>
      </c>
      <c r="F3059" s="126">
        <v>41225.0</v>
      </c>
      <c r="G3059" s="127">
        <v>2.94E8</v>
      </c>
      <c r="H3059" s="126">
        <v>41259.0</v>
      </c>
      <c r="I3059" s="128">
        <v>7900.0</v>
      </c>
      <c r="J3059" s="128">
        <v>47.45</v>
      </c>
      <c r="K3059" s="128">
        <v>31.79</v>
      </c>
      <c r="L3059" s="128">
        <v>374855.0</v>
      </c>
      <c r="M3059" s="128">
        <v>251141.0</v>
      </c>
      <c r="N3059" s="128">
        <v>123714.0</v>
      </c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</row>
    <row r="3060">
      <c r="A3060" s="125" t="s">
        <v>451</v>
      </c>
      <c r="B3060" s="125" t="s">
        <v>592</v>
      </c>
      <c r="C3060" s="125" t="s">
        <v>453</v>
      </c>
      <c r="D3060" s="125" t="s">
        <v>457</v>
      </c>
      <c r="E3060" s="125" t="s">
        <v>472</v>
      </c>
      <c r="F3060" s="126">
        <v>40624.0</v>
      </c>
      <c r="G3060" s="127">
        <v>3.27E8</v>
      </c>
      <c r="H3060" s="126">
        <v>40670.0</v>
      </c>
      <c r="I3060" s="128">
        <v>5503.0</v>
      </c>
      <c r="J3060" s="128">
        <v>255.28</v>
      </c>
      <c r="K3060" s="128">
        <v>159.42</v>
      </c>
      <c r="L3060" s="128">
        <v>1404806.0</v>
      </c>
      <c r="M3060" s="128">
        <v>877288.3</v>
      </c>
      <c r="N3060" s="128">
        <v>527517.6</v>
      </c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</row>
    <row r="3061">
      <c r="A3061" s="125" t="s">
        <v>458</v>
      </c>
      <c r="B3061" s="125" t="s">
        <v>547</v>
      </c>
      <c r="C3061" s="125" t="s">
        <v>480</v>
      </c>
      <c r="D3061" s="125" t="s">
        <v>457</v>
      </c>
      <c r="E3061" s="125" t="s">
        <v>472</v>
      </c>
      <c r="F3061" s="126">
        <v>40646.0</v>
      </c>
      <c r="G3061" s="127">
        <v>8.92E8</v>
      </c>
      <c r="H3061" s="126">
        <v>40675.0</v>
      </c>
      <c r="I3061" s="128">
        <v>4175.0</v>
      </c>
      <c r="J3061" s="128">
        <v>437.2</v>
      </c>
      <c r="K3061" s="128">
        <v>263.33</v>
      </c>
      <c r="L3061" s="128">
        <v>1825310.0</v>
      </c>
      <c r="M3061" s="128">
        <v>1099403.0</v>
      </c>
      <c r="N3061" s="128">
        <v>725907.3</v>
      </c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</row>
    <row r="3062">
      <c r="A3062" s="125" t="s">
        <v>475</v>
      </c>
      <c r="B3062" s="125" t="s">
        <v>624</v>
      </c>
      <c r="C3062" s="125" t="s">
        <v>478</v>
      </c>
      <c r="D3062" s="125" t="s">
        <v>457</v>
      </c>
      <c r="E3062" s="125" t="s">
        <v>472</v>
      </c>
      <c r="F3062" s="126">
        <v>41738.0</v>
      </c>
      <c r="G3062" s="127">
        <v>2.01E8</v>
      </c>
      <c r="H3062" s="126">
        <v>41744.0</v>
      </c>
      <c r="I3062" s="128">
        <v>5017.0</v>
      </c>
      <c r="J3062" s="128">
        <v>651.21</v>
      </c>
      <c r="K3062" s="128">
        <v>524.96</v>
      </c>
      <c r="L3062" s="128">
        <v>3267121.0</v>
      </c>
      <c r="M3062" s="128">
        <v>2633724.0</v>
      </c>
      <c r="N3062" s="128">
        <v>633396.3</v>
      </c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</row>
    <row r="3063">
      <c r="A3063" s="125" t="s">
        <v>475</v>
      </c>
      <c r="B3063" s="125" t="s">
        <v>624</v>
      </c>
      <c r="C3063" s="125" t="s">
        <v>471</v>
      </c>
      <c r="D3063" s="125" t="s">
        <v>457</v>
      </c>
      <c r="E3063" s="125" t="s">
        <v>464</v>
      </c>
      <c r="F3063" s="126">
        <v>40591.0</v>
      </c>
      <c r="G3063" s="127">
        <v>1.34E8</v>
      </c>
      <c r="H3063" s="126">
        <v>40632.0</v>
      </c>
      <c r="I3063" s="128">
        <v>6157.0</v>
      </c>
      <c r="J3063" s="128">
        <v>109.28</v>
      </c>
      <c r="K3063" s="128">
        <v>35.84</v>
      </c>
      <c r="L3063" s="128">
        <v>672837.0</v>
      </c>
      <c r="M3063" s="128">
        <v>220666.9</v>
      </c>
      <c r="N3063" s="128">
        <v>452170.1</v>
      </c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</row>
    <row r="3064">
      <c r="A3064" s="125" t="s">
        <v>458</v>
      </c>
      <c r="B3064" s="125" t="s">
        <v>553</v>
      </c>
      <c r="C3064" s="125" t="s">
        <v>514</v>
      </c>
      <c r="D3064" s="125" t="s">
        <v>454</v>
      </c>
      <c r="E3064" s="125" t="s">
        <v>284</v>
      </c>
      <c r="F3064" s="126">
        <v>42581.0</v>
      </c>
      <c r="G3064" s="127">
        <v>3.94E8</v>
      </c>
      <c r="H3064" s="126">
        <v>42586.0</v>
      </c>
      <c r="I3064" s="128">
        <v>7756.0</v>
      </c>
      <c r="J3064" s="128">
        <v>668.27</v>
      </c>
      <c r="K3064" s="128">
        <v>502.54</v>
      </c>
      <c r="L3064" s="128">
        <v>5183102.0</v>
      </c>
      <c r="M3064" s="128">
        <v>3897700.0</v>
      </c>
      <c r="N3064" s="128">
        <v>1285402.0</v>
      </c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</row>
    <row r="3065">
      <c r="A3065" s="125" t="s">
        <v>458</v>
      </c>
      <c r="B3065" s="125" t="s">
        <v>563</v>
      </c>
      <c r="C3065" s="125" t="s">
        <v>494</v>
      </c>
      <c r="D3065" s="125" t="s">
        <v>457</v>
      </c>
      <c r="E3065" s="125" t="s">
        <v>189</v>
      </c>
      <c r="F3065" s="126">
        <v>41028.0</v>
      </c>
      <c r="G3065" s="127">
        <v>7.53E8</v>
      </c>
      <c r="H3065" s="126">
        <v>41041.0</v>
      </c>
      <c r="I3065" s="128">
        <v>7008.0</v>
      </c>
      <c r="J3065" s="128">
        <v>9.33</v>
      </c>
      <c r="K3065" s="128">
        <v>6.92</v>
      </c>
      <c r="L3065" s="128">
        <v>65384.64</v>
      </c>
      <c r="M3065" s="128">
        <v>48495.36</v>
      </c>
      <c r="N3065" s="128">
        <v>16889.28</v>
      </c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</row>
    <row r="3066">
      <c r="A3066" s="125" t="s">
        <v>475</v>
      </c>
      <c r="B3066" s="125" t="s">
        <v>651</v>
      </c>
      <c r="C3066" s="125" t="s">
        <v>456</v>
      </c>
      <c r="D3066" s="125" t="s">
        <v>457</v>
      </c>
      <c r="E3066" s="125" t="s">
        <v>464</v>
      </c>
      <c r="F3066" s="126">
        <v>40702.0</v>
      </c>
      <c r="G3066" s="127">
        <v>6.02E8</v>
      </c>
      <c r="H3066" s="126">
        <v>40744.0</v>
      </c>
      <c r="I3066" s="128">
        <v>3136.0</v>
      </c>
      <c r="J3066" s="128">
        <v>152.58</v>
      </c>
      <c r="K3066" s="128">
        <v>97.44</v>
      </c>
      <c r="L3066" s="128">
        <v>478490.9</v>
      </c>
      <c r="M3066" s="128">
        <v>305571.8</v>
      </c>
      <c r="N3066" s="128">
        <v>172919.0</v>
      </c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</row>
    <row r="3067">
      <c r="A3067" s="125" t="s">
        <v>451</v>
      </c>
      <c r="B3067" s="125" t="s">
        <v>482</v>
      </c>
      <c r="C3067" s="125" t="s">
        <v>494</v>
      </c>
      <c r="D3067" s="125" t="s">
        <v>457</v>
      </c>
      <c r="E3067" s="125" t="s">
        <v>472</v>
      </c>
      <c r="F3067" s="126">
        <v>42616.0</v>
      </c>
      <c r="G3067" s="127">
        <v>3.04E8</v>
      </c>
      <c r="H3067" s="126">
        <v>42620.0</v>
      </c>
      <c r="I3067" s="128">
        <v>2394.0</v>
      </c>
      <c r="J3067" s="128">
        <v>9.33</v>
      </c>
      <c r="K3067" s="128">
        <v>6.92</v>
      </c>
      <c r="L3067" s="128">
        <v>22336.02</v>
      </c>
      <c r="M3067" s="128">
        <v>16566.48</v>
      </c>
      <c r="N3067" s="128">
        <v>5769.54</v>
      </c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</row>
    <row r="3068">
      <c r="A3068" s="125" t="s">
        <v>466</v>
      </c>
      <c r="B3068" s="125" t="s">
        <v>502</v>
      </c>
      <c r="C3068" s="125" t="s">
        <v>471</v>
      </c>
      <c r="D3068" s="125" t="s">
        <v>454</v>
      </c>
      <c r="E3068" s="125" t="s">
        <v>189</v>
      </c>
      <c r="F3068" s="126">
        <v>42637.0</v>
      </c>
      <c r="G3068" s="127">
        <v>7.42E8</v>
      </c>
      <c r="H3068" s="126">
        <v>42667.0</v>
      </c>
      <c r="I3068" s="128">
        <v>3069.0</v>
      </c>
      <c r="J3068" s="128">
        <v>109.28</v>
      </c>
      <c r="K3068" s="128">
        <v>35.84</v>
      </c>
      <c r="L3068" s="128">
        <v>335380.3</v>
      </c>
      <c r="M3068" s="128">
        <v>109993.0</v>
      </c>
      <c r="N3068" s="128">
        <v>225387.4</v>
      </c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</row>
    <row r="3069">
      <c r="A3069" s="125" t="s">
        <v>475</v>
      </c>
      <c r="B3069" s="125" t="s">
        <v>649</v>
      </c>
      <c r="C3069" s="125" t="s">
        <v>453</v>
      </c>
      <c r="D3069" s="125" t="s">
        <v>454</v>
      </c>
      <c r="E3069" s="125" t="s">
        <v>464</v>
      </c>
      <c r="F3069" s="126">
        <v>41173.0</v>
      </c>
      <c r="G3069" s="127">
        <v>1.7E8</v>
      </c>
      <c r="H3069" s="126">
        <v>41207.0</v>
      </c>
      <c r="I3069" s="128">
        <v>478.0</v>
      </c>
      <c r="J3069" s="128">
        <v>255.28</v>
      </c>
      <c r="K3069" s="128">
        <v>159.42</v>
      </c>
      <c r="L3069" s="128">
        <v>122023.8</v>
      </c>
      <c r="M3069" s="128">
        <v>76202.76</v>
      </c>
      <c r="N3069" s="128">
        <v>45821.08</v>
      </c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</row>
    <row r="3070">
      <c r="A3070" s="125" t="s">
        <v>461</v>
      </c>
      <c r="B3070" s="125" t="s">
        <v>465</v>
      </c>
      <c r="C3070" s="125" t="s">
        <v>463</v>
      </c>
      <c r="D3070" s="125" t="s">
        <v>457</v>
      </c>
      <c r="E3070" s="125" t="s">
        <v>472</v>
      </c>
      <c r="F3070" s="126">
        <v>41785.0</v>
      </c>
      <c r="G3070" s="127">
        <v>9.6E8</v>
      </c>
      <c r="H3070" s="126">
        <v>41831.0</v>
      </c>
      <c r="I3070" s="128">
        <v>1970.0</v>
      </c>
      <c r="J3070" s="128">
        <v>205.7</v>
      </c>
      <c r="K3070" s="128">
        <v>117.11</v>
      </c>
      <c r="L3070" s="128">
        <v>405229.0</v>
      </c>
      <c r="M3070" s="128">
        <v>230706.7</v>
      </c>
      <c r="N3070" s="128">
        <v>174522.3</v>
      </c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</row>
    <row r="3071">
      <c r="A3071" s="125" t="s">
        <v>488</v>
      </c>
      <c r="B3071" s="125" t="s">
        <v>489</v>
      </c>
      <c r="C3071" s="125" t="s">
        <v>468</v>
      </c>
      <c r="D3071" s="125" t="s">
        <v>457</v>
      </c>
      <c r="E3071" s="125" t="s">
        <v>189</v>
      </c>
      <c r="F3071" s="126">
        <v>41508.0</v>
      </c>
      <c r="G3071" s="127">
        <v>1.57E8</v>
      </c>
      <c r="H3071" s="126">
        <v>41542.0</v>
      </c>
      <c r="I3071" s="128">
        <v>1925.0</v>
      </c>
      <c r="J3071" s="128">
        <v>81.73</v>
      </c>
      <c r="K3071" s="128">
        <v>56.67</v>
      </c>
      <c r="L3071" s="128">
        <v>157330.3</v>
      </c>
      <c r="M3071" s="128">
        <v>109089.8</v>
      </c>
      <c r="N3071" s="128">
        <v>48240.5</v>
      </c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</row>
    <row r="3072">
      <c r="A3072" s="125" t="s">
        <v>466</v>
      </c>
      <c r="B3072" s="125" t="s">
        <v>612</v>
      </c>
      <c r="C3072" s="125" t="s">
        <v>506</v>
      </c>
      <c r="D3072" s="125" t="s">
        <v>457</v>
      </c>
      <c r="E3072" s="125" t="s">
        <v>464</v>
      </c>
      <c r="F3072" s="126">
        <v>40533.0</v>
      </c>
      <c r="G3072" s="127">
        <v>7.24E8</v>
      </c>
      <c r="H3072" s="126">
        <v>40561.0</v>
      </c>
      <c r="I3072" s="128">
        <v>6753.0</v>
      </c>
      <c r="J3072" s="128">
        <v>154.06</v>
      </c>
      <c r="K3072" s="128">
        <v>90.93</v>
      </c>
      <c r="L3072" s="128">
        <v>1040367.0</v>
      </c>
      <c r="M3072" s="128">
        <v>614050.3</v>
      </c>
      <c r="N3072" s="128">
        <v>426316.9</v>
      </c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</row>
    <row r="3073">
      <c r="A3073" s="125" t="s">
        <v>475</v>
      </c>
      <c r="B3073" s="125" t="s">
        <v>628</v>
      </c>
      <c r="C3073" s="125" t="s">
        <v>471</v>
      </c>
      <c r="D3073" s="125" t="s">
        <v>457</v>
      </c>
      <c r="E3073" s="125" t="s">
        <v>284</v>
      </c>
      <c r="F3073" s="126">
        <v>40822.0</v>
      </c>
      <c r="G3073" s="127">
        <v>2.97E8</v>
      </c>
      <c r="H3073" s="126">
        <v>40871.0</v>
      </c>
      <c r="I3073" s="128">
        <v>9898.0</v>
      </c>
      <c r="J3073" s="128">
        <v>109.28</v>
      </c>
      <c r="K3073" s="128">
        <v>35.84</v>
      </c>
      <c r="L3073" s="128">
        <v>1081653.0</v>
      </c>
      <c r="M3073" s="128">
        <v>354744.3</v>
      </c>
      <c r="N3073" s="128">
        <v>726909.1</v>
      </c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</row>
    <row r="3074">
      <c r="A3074" s="125" t="s">
        <v>475</v>
      </c>
      <c r="B3074" s="125" t="s">
        <v>500</v>
      </c>
      <c r="C3074" s="125" t="s">
        <v>468</v>
      </c>
      <c r="D3074" s="125" t="s">
        <v>454</v>
      </c>
      <c r="E3074" s="125" t="s">
        <v>284</v>
      </c>
      <c r="F3074" s="126">
        <v>41960.0</v>
      </c>
      <c r="G3074" s="127">
        <v>6.29E8</v>
      </c>
      <c r="H3074" s="126">
        <v>41988.0</v>
      </c>
      <c r="I3074" s="128">
        <v>6832.0</v>
      </c>
      <c r="J3074" s="128">
        <v>81.73</v>
      </c>
      <c r="K3074" s="128">
        <v>56.67</v>
      </c>
      <c r="L3074" s="128">
        <v>558379.4</v>
      </c>
      <c r="M3074" s="128">
        <v>387169.4</v>
      </c>
      <c r="N3074" s="128">
        <v>171209.9</v>
      </c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</row>
    <row r="3075">
      <c r="A3075" s="125" t="s">
        <v>475</v>
      </c>
      <c r="B3075" s="125" t="s">
        <v>528</v>
      </c>
      <c r="C3075" s="125" t="s">
        <v>453</v>
      </c>
      <c r="D3075" s="125" t="s">
        <v>454</v>
      </c>
      <c r="E3075" s="125" t="s">
        <v>189</v>
      </c>
      <c r="F3075" s="126">
        <v>42540.0</v>
      </c>
      <c r="G3075" s="127">
        <v>8.46E8</v>
      </c>
      <c r="H3075" s="126">
        <v>42577.0</v>
      </c>
      <c r="I3075" s="128">
        <v>61.0</v>
      </c>
      <c r="J3075" s="128">
        <v>255.28</v>
      </c>
      <c r="K3075" s="128">
        <v>159.42</v>
      </c>
      <c r="L3075" s="128">
        <v>15572.08</v>
      </c>
      <c r="M3075" s="128">
        <v>9724.62</v>
      </c>
      <c r="N3075" s="128">
        <v>5847.46</v>
      </c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</row>
    <row r="3076">
      <c r="A3076" s="125" t="s">
        <v>469</v>
      </c>
      <c r="B3076" s="125" t="s">
        <v>519</v>
      </c>
      <c r="C3076" s="125" t="s">
        <v>514</v>
      </c>
      <c r="D3076" s="125" t="s">
        <v>457</v>
      </c>
      <c r="E3076" s="125" t="s">
        <v>189</v>
      </c>
      <c r="F3076" s="126">
        <v>41541.0</v>
      </c>
      <c r="G3076" s="127">
        <v>5.93E8</v>
      </c>
      <c r="H3076" s="126">
        <v>41549.0</v>
      </c>
      <c r="I3076" s="128">
        <v>4122.0</v>
      </c>
      <c r="J3076" s="128">
        <v>668.27</v>
      </c>
      <c r="K3076" s="128">
        <v>502.54</v>
      </c>
      <c r="L3076" s="128">
        <v>2754609.0</v>
      </c>
      <c r="M3076" s="128">
        <v>2071470.0</v>
      </c>
      <c r="N3076" s="128">
        <v>683139.1</v>
      </c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</row>
    <row r="3077">
      <c r="A3077" s="125" t="s">
        <v>461</v>
      </c>
      <c r="B3077" s="125" t="s">
        <v>510</v>
      </c>
      <c r="C3077" s="125" t="s">
        <v>468</v>
      </c>
      <c r="D3077" s="125" t="s">
        <v>457</v>
      </c>
      <c r="E3077" s="125" t="s">
        <v>464</v>
      </c>
      <c r="F3077" s="126">
        <v>42481.0</v>
      </c>
      <c r="G3077" s="127">
        <v>4.86E8</v>
      </c>
      <c r="H3077" s="126">
        <v>42497.0</v>
      </c>
      <c r="I3077" s="128">
        <v>580.0</v>
      </c>
      <c r="J3077" s="128">
        <v>81.73</v>
      </c>
      <c r="K3077" s="128">
        <v>56.67</v>
      </c>
      <c r="L3077" s="128">
        <v>47403.4</v>
      </c>
      <c r="M3077" s="128">
        <v>32868.6</v>
      </c>
      <c r="N3077" s="128">
        <v>14534.8</v>
      </c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</row>
    <row r="3078">
      <c r="A3078" s="125" t="s">
        <v>458</v>
      </c>
      <c r="B3078" s="125" t="s">
        <v>473</v>
      </c>
      <c r="C3078" s="125" t="s">
        <v>506</v>
      </c>
      <c r="D3078" s="125" t="s">
        <v>454</v>
      </c>
      <c r="E3078" s="125" t="s">
        <v>284</v>
      </c>
      <c r="F3078" s="126">
        <v>40970.0</v>
      </c>
      <c r="G3078" s="127">
        <v>7.61E8</v>
      </c>
      <c r="H3078" s="126">
        <v>41015.0</v>
      </c>
      <c r="I3078" s="128">
        <v>3035.0</v>
      </c>
      <c r="J3078" s="128">
        <v>154.06</v>
      </c>
      <c r="K3078" s="128">
        <v>90.93</v>
      </c>
      <c r="L3078" s="128">
        <v>467572.1</v>
      </c>
      <c r="M3078" s="128">
        <v>275972.6</v>
      </c>
      <c r="N3078" s="128">
        <v>191599.6</v>
      </c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</row>
    <row r="3079">
      <c r="A3079" s="125" t="s">
        <v>461</v>
      </c>
      <c r="B3079" s="125" t="s">
        <v>481</v>
      </c>
      <c r="C3079" s="125" t="s">
        <v>514</v>
      </c>
      <c r="D3079" s="125" t="s">
        <v>457</v>
      </c>
      <c r="E3079" s="125" t="s">
        <v>189</v>
      </c>
      <c r="F3079" s="126">
        <v>42687.0</v>
      </c>
      <c r="G3079" s="127">
        <v>8.24E8</v>
      </c>
      <c r="H3079" s="126">
        <v>42707.0</v>
      </c>
      <c r="I3079" s="128">
        <v>2117.0</v>
      </c>
      <c r="J3079" s="128">
        <v>668.27</v>
      </c>
      <c r="K3079" s="128">
        <v>502.54</v>
      </c>
      <c r="L3079" s="128">
        <v>1414728.0</v>
      </c>
      <c r="M3079" s="128">
        <v>1063877.0</v>
      </c>
      <c r="N3079" s="128">
        <v>350850.4</v>
      </c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</row>
    <row r="3080">
      <c r="A3080" s="125" t="s">
        <v>475</v>
      </c>
      <c r="B3080" s="125" t="s">
        <v>657</v>
      </c>
      <c r="C3080" s="125" t="s">
        <v>453</v>
      </c>
      <c r="D3080" s="125" t="s">
        <v>457</v>
      </c>
      <c r="E3080" s="125" t="s">
        <v>472</v>
      </c>
      <c r="F3080" s="126">
        <v>42636.0</v>
      </c>
      <c r="G3080" s="127">
        <v>6.01E8</v>
      </c>
      <c r="H3080" s="126">
        <v>42663.0</v>
      </c>
      <c r="I3080" s="128">
        <v>486.0</v>
      </c>
      <c r="J3080" s="128">
        <v>255.28</v>
      </c>
      <c r="K3080" s="128">
        <v>159.42</v>
      </c>
      <c r="L3080" s="128">
        <v>124066.1</v>
      </c>
      <c r="M3080" s="128">
        <v>77478.12</v>
      </c>
      <c r="N3080" s="128">
        <v>46587.96</v>
      </c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</row>
    <row r="3081">
      <c r="A3081" s="125" t="s">
        <v>475</v>
      </c>
      <c r="B3081" s="125" t="s">
        <v>544</v>
      </c>
      <c r="C3081" s="125" t="s">
        <v>460</v>
      </c>
      <c r="D3081" s="125" t="s">
        <v>457</v>
      </c>
      <c r="E3081" s="125" t="s">
        <v>464</v>
      </c>
      <c r="F3081" s="126">
        <v>40359.0</v>
      </c>
      <c r="G3081" s="127">
        <v>9.91E8</v>
      </c>
      <c r="H3081" s="126">
        <v>40402.0</v>
      </c>
      <c r="I3081" s="128">
        <v>7836.0</v>
      </c>
      <c r="J3081" s="128">
        <v>47.45</v>
      </c>
      <c r="K3081" s="128">
        <v>31.79</v>
      </c>
      <c r="L3081" s="128">
        <v>371818.2</v>
      </c>
      <c r="M3081" s="128">
        <v>249106.4</v>
      </c>
      <c r="N3081" s="128">
        <v>122711.8</v>
      </c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</row>
    <row r="3082">
      <c r="A3082" s="125" t="s">
        <v>461</v>
      </c>
      <c r="B3082" s="125" t="s">
        <v>516</v>
      </c>
      <c r="C3082" s="125" t="s">
        <v>471</v>
      </c>
      <c r="D3082" s="125" t="s">
        <v>454</v>
      </c>
      <c r="E3082" s="125" t="s">
        <v>189</v>
      </c>
      <c r="F3082" s="126">
        <v>41320.0</v>
      </c>
      <c r="G3082" s="127">
        <v>7.09E8</v>
      </c>
      <c r="H3082" s="126">
        <v>41325.0</v>
      </c>
      <c r="I3082" s="128">
        <v>5890.0</v>
      </c>
      <c r="J3082" s="128">
        <v>109.28</v>
      </c>
      <c r="K3082" s="128">
        <v>35.84</v>
      </c>
      <c r="L3082" s="128">
        <v>643659.2</v>
      </c>
      <c r="M3082" s="128">
        <v>211097.6</v>
      </c>
      <c r="N3082" s="128">
        <v>432561.6</v>
      </c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</row>
    <row r="3083">
      <c r="A3083" s="125" t="s">
        <v>458</v>
      </c>
      <c r="B3083" s="125" t="s">
        <v>538</v>
      </c>
      <c r="C3083" s="125" t="s">
        <v>460</v>
      </c>
      <c r="D3083" s="125" t="s">
        <v>454</v>
      </c>
      <c r="E3083" s="125" t="s">
        <v>189</v>
      </c>
      <c r="F3083" s="126">
        <v>41689.0</v>
      </c>
      <c r="G3083" s="127">
        <v>3.44E8</v>
      </c>
      <c r="H3083" s="126">
        <v>41731.0</v>
      </c>
      <c r="I3083" s="128">
        <v>3403.0</v>
      </c>
      <c r="J3083" s="128">
        <v>47.45</v>
      </c>
      <c r="K3083" s="128">
        <v>31.79</v>
      </c>
      <c r="L3083" s="128">
        <v>161472.4</v>
      </c>
      <c r="M3083" s="128">
        <v>108181.4</v>
      </c>
      <c r="N3083" s="128">
        <v>53290.98</v>
      </c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</row>
    <row r="3084">
      <c r="A3084" s="125" t="s">
        <v>475</v>
      </c>
      <c r="B3084" s="125" t="s">
        <v>565</v>
      </c>
      <c r="C3084" s="125" t="s">
        <v>485</v>
      </c>
      <c r="D3084" s="125" t="s">
        <v>457</v>
      </c>
      <c r="E3084" s="125" t="s">
        <v>189</v>
      </c>
      <c r="F3084" s="126">
        <v>40793.0</v>
      </c>
      <c r="G3084" s="127">
        <v>1.03E8</v>
      </c>
      <c r="H3084" s="126">
        <v>40836.0</v>
      </c>
      <c r="I3084" s="128">
        <v>1160.0</v>
      </c>
      <c r="J3084" s="128">
        <v>421.89</v>
      </c>
      <c r="K3084" s="128">
        <v>364.69</v>
      </c>
      <c r="L3084" s="128">
        <v>489392.4</v>
      </c>
      <c r="M3084" s="128">
        <v>423040.4</v>
      </c>
      <c r="N3084" s="128">
        <v>66352.0</v>
      </c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</row>
    <row r="3085">
      <c r="A3085" s="125" t="s">
        <v>451</v>
      </c>
      <c r="B3085" s="125" t="s">
        <v>452</v>
      </c>
      <c r="C3085" s="125" t="s">
        <v>456</v>
      </c>
      <c r="D3085" s="125" t="s">
        <v>457</v>
      </c>
      <c r="E3085" s="125" t="s">
        <v>472</v>
      </c>
      <c r="F3085" s="126">
        <v>42495.0</v>
      </c>
      <c r="G3085" s="127">
        <v>2.65E8</v>
      </c>
      <c r="H3085" s="126">
        <v>42533.0</v>
      </c>
      <c r="I3085" s="128">
        <v>6980.0</v>
      </c>
      <c r="J3085" s="128">
        <v>152.58</v>
      </c>
      <c r="K3085" s="128">
        <v>97.44</v>
      </c>
      <c r="L3085" s="128">
        <v>1065008.0</v>
      </c>
      <c r="M3085" s="128">
        <v>680131.2</v>
      </c>
      <c r="N3085" s="128">
        <v>384877.2</v>
      </c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</row>
    <row r="3086">
      <c r="A3086" s="125" t="s">
        <v>451</v>
      </c>
      <c r="B3086" s="125" t="s">
        <v>499</v>
      </c>
      <c r="C3086" s="125" t="s">
        <v>460</v>
      </c>
      <c r="D3086" s="125" t="s">
        <v>454</v>
      </c>
      <c r="E3086" s="125" t="s">
        <v>284</v>
      </c>
      <c r="F3086" s="126">
        <v>42751.0</v>
      </c>
      <c r="G3086" s="127">
        <v>7.27E8</v>
      </c>
      <c r="H3086" s="126">
        <v>42767.0</v>
      </c>
      <c r="I3086" s="128">
        <v>711.0</v>
      </c>
      <c r="J3086" s="128">
        <v>47.45</v>
      </c>
      <c r="K3086" s="128">
        <v>31.79</v>
      </c>
      <c r="L3086" s="128">
        <v>33736.95</v>
      </c>
      <c r="M3086" s="128">
        <v>22602.69</v>
      </c>
      <c r="N3086" s="128">
        <v>11134.26</v>
      </c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</row>
    <row r="3087">
      <c r="A3087" s="125" t="s">
        <v>451</v>
      </c>
      <c r="B3087" s="125" t="s">
        <v>609</v>
      </c>
      <c r="C3087" s="125" t="s">
        <v>456</v>
      </c>
      <c r="D3087" s="125" t="s">
        <v>457</v>
      </c>
      <c r="E3087" s="125" t="s">
        <v>472</v>
      </c>
      <c r="F3087" s="126">
        <v>42053.0</v>
      </c>
      <c r="G3087" s="127">
        <v>5.6E8</v>
      </c>
      <c r="H3087" s="126">
        <v>42064.0</v>
      </c>
      <c r="I3087" s="128">
        <v>9233.0</v>
      </c>
      <c r="J3087" s="128">
        <v>152.58</v>
      </c>
      <c r="K3087" s="128">
        <v>97.44</v>
      </c>
      <c r="L3087" s="128">
        <v>1408771.0</v>
      </c>
      <c r="M3087" s="128">
        <v>899663.5</v>
      </c>
      <c r="N3087" s="128">
        <v>509107.6</v>
      </c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</row>
    <row r="3088">
      <c r="A3088" s="125" t="s">
        <v>461</v>
      </c>
      <c r="B3088" s="125" t="s">
        <v>615</v>
      </c>
      <c r="C3088" s="125" t="s">
        <v>478</v>
      </c>
      <c r="D3088" s="125" t="s">
        <v>454</v>
      </c>
      <c r="E3088" s="125" t="s">
        <v>464</v>
      </c>
      <c r="F3088" s="126">
        <v>41284.0</v>
      </c>
      <c r="G3088" s="127">
        <v>2.51E8</v>
      </c>
      <c r="H3088" s="126">
        <v>41298.0</v>
      </c>
      <c r="I3088" s="128">
        <v>1456.0</v>
      </c>
      <c r="J3088" s="128">
        <v>651.21</v>
      </c>
      <c r="K3088" s="128">
        <v>524.96</v>
      </c>
      <c r="L3088" s="128">
        <v>948161.8</v>
      </c>
      <c r="M3088" s="128">
        <v>764341.8</v>
      </c>
      <c r="N3088" s="128">
        <v>183820.0</v>
      </c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</row>
    <row r="3089">
      <c r="A3089" s="125" t="s">
        <v>451</v>
      </c>
      <c r="B3089" s="125" t="s">
        <v>455</v>
      </c>
      <c r="C3089" s="125" t="s">
        <v>514</v>
      </c>
      <c r="D3089" s="125" t="s">
        <v>457</v>
      </c>
      <c r="E3089" s="125" t="s">
        <v>284</v>
      </c>
      <c r="F3089" s="126">
        <v>40331.0</v>
      </c>
      <c r="G3089" s="127">
        <v>3.6E8</v>
      </c>
      <c r="H3089" s="126">
        <v>40338.0</v>
      </c>
      <c r="I3089" s="128">
        <v>3324.0</v>
      </c>
      <c r="J3089" s="128">
        <v>668.27</v>
      </c>
      <c r="K3089" s="128">
        <v>502.54</v>
      </c>
      <c r="L3089" s="128">
        <v>2221329.0</v>
      </c>
      <c r="M3089" s="128">
        <v>1670443.0</v>
      </c>
      <c r="N3089" s="128">
        <v>550886.5</v>
      </c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</row>
    <row r="3090">
      <c r="A3090" s="125" t="s">
        <v>466</v>
      </c>
      <c r="B3090" s="125" t="s">
        <v>568</v>
      </c>
      <c r="C3090" s="125" t="s">
        <v>480</v>
      </c>
      <c r="D3090" s="125" t="s">
        <v>454</v>
      </c>
      <c r="E3090" s="125" t="s">
        <v>464</v>
      </c>
      <c r="F3090" s="126">
        <v>42238.0</v>
      </c>
      <c r="G3090" s="127">
        <v>1.68E8</v>
      </c>
      <c r="H3090" s="126">
        <v>42275.0</v>
      </c>
      <c r="I3090" s="128">
        <v>2810.0</v>
      </c>
      <c r="J3090" s="128">
        <v>437.2</v>
      </c>
      <c r="K3090" s="128">
        <v>263.33</v>
      </c>
      <c r="L3090" s="128">
        <v>1228532.0</v>
      </c>
      <c r="M3090" s="128">
        <v>739957.3</v>
      </c>
      <c r="N3090" s="128">
        <v>488574.7</v>
      </c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</row>
    <row r="3091">
      <c r="A3091" s="125" t="s">
        <v>475</v>
      </c>
      <c r="B3091" s="125" t="s">
        <v>649</v>
      </c>
      <c r="C3091" s="125" t="s">
        <v>471</v>
      </c>
      <c r="D3091" s="125" t="s">
        <v>457</v>
      </c>
      <c r="E3091" s="125" t="s">
        <v>284</v>
      </c>
      <c r="F3091" s="126">
        <v>40754.0</v>
      </c>
      <c r="G3091" s="127">
        <v>8.24E8</v>
      </c>
      <c r="H3091" s="126">
        <v>40788.0</v>
      </c>
      <c r="I3091" s="128">
        <v>4918.0</v>
      </c>
      <c r="J3091" s="128">
        <v>109.28</v>
      </c>
      <c r="K3091" s="128">
        <v>35.84</v>
      </c>
      <c r="L3091" s="128">
        <v>537439.0</v>
      </c>
      <c r="M3091" s="128">
        <v>176261.1</v>
      </c>
      <c r="N3091" s="128">
        <v>361177.9</v>
      </c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</row>
    <row r="3092">
      <c r="A3092" s="125" t="s">
        <v>458</v>
      </c>
      <c r="B3092" s="125" t="s">
        <v>555</v>
      </c>
      <c r="C3092" s="125" t="s">
        <v>453</v>
      </c>
      <c r="D3092" s="125" t="s">
        <v>457</v>
      </c>
      <c r="E3092" s="125" t="s">
        <v>464</v>
      </c>
      <c r="F3092" s="126">
        <v>41085.0</v>
      </c>
      <c r="G3092" s="127">
        <v>3.98E8</v>
      </c>
      <c r="H3092" s="126">
        <v>41133.0</v>
      </c>
      <c r="I3092" s="128">
        <v>6686.0</v>
      </c>
      <c r="J3092" s="128">
        <v>255.28</v>
      </c>
      <c r="K3092" s="128">
        <v>159.42</v>
      </c>
      <c r="L3092" s="128">
        <v>1706802.0</v>
      </c>
      <c r="M3092" s="128">
        <v>1065882.0</v>
      </c>
      <c r="N3092" s="128">
        <v>640920.0</v>
      </c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</row>
    <row r="3093">
      <c r="A3093" s="125" t="s">
        <v>458</v>
      </c>
      <c r="B3093" s="125" t="s">
        <v>554</v>
      </c>
      <c r="C3093" s="125" t="s">
        <v>485</v>
      </c>
      <c r="D3093" s="125" t="s">
        <v>457</v>
      </c>
      <c r="E3093" s="125" t="s">
        <v>189</v>
      </c>
      <c r="F3093" s="126">
        <v>41907.0</v>
      </c>
      <c r="G3093" s="127">
        <v>6.31E8</v>
      </c>
      <c r="H3093" s="126">
        <v>41917.0</v>
      </c>
      <c r="I3093" s="128">
        <v>2180.0</v>
      </c>
      <c r="J3093" s="128">
        <v>421.89</v>
      </c>
      <c r="K3093" s="128">
        <v>364.69</v>
      </c>
      <c r="L3093" s="128">
        <v>919720.2</v>
      </c>
      <c r="M3093" s="128">
        <v>795024.2</v>
      </c>
      <c r="N3093" s="128">
        <v>124696.0</v>
      </c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</row>
    <row r="3094">
      <c r="A3094" s="125" t="s">
        <v>466</v>
      </c>
      <c r="B3094" s="125" t="s">
        <v>612</v>
      </c>
      <c r="C3094" s="125" t="s">
        <v>468</v>
      </c>
      <c r="D3094" s="125" t="s">
        <v>454</v>
      </c>
      <c r="E3094" s="125" t="s">
        <v>284</v>
      </c>
      <c r="F3094" s="126">
        <v>42287.0</v>
      </c>
      <c r="G3094" s="127">
        <v>1.85E8</v>
      </c>
      <c r="H3094" s="126">
        <v>42310.0</v>
      </c>
      <c r="I3094" s="128">
        <v>7498.0</v>
      </c>
      <c r="J3094" s="128">
        <v>81.73</v>
      </c>
      <c r="K3094" s="128">
        <v>56.67</v>
      </c>
      <c r="L3094" s="128">
        <v>612811.5</v>
      </c>
      <c r="M3094" s="128">
        <v>424911.7</v>
      </c>
      <c r="N3094" s="128">
        <v>187899.9</v>
      </c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</row>
    <row r="3095">
      <c r="A3095" s="125" t="s">
        <v>458</v>
      </c>
      <c r="B3095" s="125" t="s">
        <v>597</v>
      </c>
      <c r="C3095" s="125" t="s">
        <v>456</v>
      </c>
      <c r="D3095" s="125" t="s">
        <v>457</v>
      </c>
      <c r="E3095" s="125" t="s">
        <v>189</v>
      </c>
      <c r="F3095" s="126">
        <v>40299.0</v>
      </c>
      <c r="G3095" s="127">
        <v>4.9E8</v>
      </c>
      <c r="H3095" s="126">
        <v>40318.0</v>
      </c>
      <c r="I3095" s="128">
        <v>5772.0</v>
      </c>
      <c r="J3095" s="128">
        <v>152.58</v>
      </c>
      <c r="K3095" s="128">
        <v>97.44</v>
      </c>
      <c r="L3095" s="128">
        <v>880691.8</v>
      </c>
      <c r="M3095" s="128">
        <v>562423.7</v>
      </c>
      <c r="N3095" s="128">
        <v>318268.1</v>
      </c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</row>
    <row r="3096">
      <c r="A3096" s="125" t="s">
        <v>458</v>
      </c>
      <c r="B3096" s="125" t="s">
        <v>641</v>
      </c>
      <c r="C3096" s="125" t="s">
        <v>478</v>
      </c>
      <c r="D3096" s="125" t="s">
        <v>454</v>
      </c>
      <c r="E3096" s="125" t="s">
        <v>464</v>
      </c>
      <c r="F3096" s="126">
        <v>42701.0</v>
      </c>
      <c r="G3096" s="127">
        <v>7.98E8</v>
      </c>
      <c r="H3096" s="126">
        <v>42702.0</v>
      </c>
      <c r="I3096" s="128">
        <v>2162.0</v>
      </c>
      <c r="J3096" s="128">
        <v>651.21</v>
      </c>
      <c r="K3096" s="128">
        <v>524.96</v>
      </c>
      <c r="L3096" s="128">
        <v>1407916.0</v>
      </c>
      <c r="M3096" s="128">
        <v>1134964.0</v>
      </c>
      <c r="N3096" s="128">
        <v>272952.5</v>
      </c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</row>
    <row r="3097">
      <c r="A3097" s="125" t="s">
        <v>458</v>
      </c>
      <c r="B3097" s="125" t="s">
        <v>553</v>
      </c>
      <c r="C3097" s="125" t="s">
        <v>468</v>
      </c>
      <c r="D3097" s="125" t="s">
        <v>454</v>
      </c>
      <c r="E3097" s="125" t="s">
        <v>284</v>
      </c>
      <c r="F3097" s="126">
        <v>41430.0</v>
      </c>
      <c r="G3097" s="127">
        <v>4.31E8</v>
      </c>
      <c r="H3097" s="126">
        <v>41435.0</v>
      </c>
      <c r="I3097" s="128">
        <v>8860.0</v>
      </c>
      <c r="J3097" s="128">
        <v>81.73</v>
      </c>
      <c r="K3097" s="128">
        <v>56.67</v>
      </c>
      <c r="L3097" s="128">
        <v>724127.8</v>
      </c>
      <c r="M3097" s="128">
        <v>502096.2</v>
      </c>
      <c r="N3097" s="128">
        <v>222031.6</v>
      </c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</row>
    <row r="3098">
      <c r="A3098" s="125" t="s">
        <v>466</v>
      </c>
      <c r="B3098" s="125" t="s">
        <v>625</v>
      </c>
      <c r="C3098" s="125" t="s">
        <v>485</v>
      </c>
      <c r="D3098" s="125" t="s">
        <v>457</v>
      </c>
      <c r="E3098" s="125" t="s">
        <v>189</v>
      </c>
      <c r="F3098" s="126">
        <v>42640.0</v>
      </c>
      <c r="G3098" s="127">
        <v>1.31E8</v>
      </c>
      <c r="H3098" s="126">
        <v>42674.0</v>
      </c>
      <c r="I3098" s="128">
        <v>90.0</v>
      </c>
      <c r="J3098" s="128">
        <v>421.89</v>
      </c>
      <c r="K3098" s="128">
        <v>364.69</v>
      </c>
      <c r="L3098" s="128">
        <v>37970.1</v>
      </c>
      <c r="M3098" s="128">
        <v>32822.1</v>
      </c>
      <c r="N3098" s="128">
        <v>5148.0</v>
      </c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</row>
    <row r="3099">
      <c r="A3099" s="125" t="s">
        <v>469</v>
      </c>
      <c r="B3099" s="125" t="s">
        <v>470</v>
      </c>
      <c r="C3099" s="125" t="s">
        <v>506</v>
      </c>
      <c r="D3099" s="125" t="s">
        <v>457</v>
      </c>
      <c r="E3099" s="125" t="s">
        <v>472</v>
      </c>
      <c r="F3099" s="126">
        <v>40427.0</v>
      </c>
      <c r="G3099" s="127">
        <v>7.11E8</v>
      </c>
      <c r="H3099" s="126">
        <v>40452.0</v>
      </c>
      <c r="I3099" s="128">
        <v>7107.0</v>
      </c>
      <c r="J3099" s="128">
        <v>154.06</v>
      </c>
      <c r="K3099" s="128">
        <v>90.93</v>
      </c>
      <c r="L3099" s="128">
        <v>1094904.0</v>
      </c>
      <c r="M3099" s="128">
        <v>646239.5</v>
      </c>
      <c r="N3099" s="128">
        <v>448664.9</v>
      </c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</row>
    <row r="3100">
      <c r="A3100" s="125" t="s">
        <v>475</v>
      </c>
      <c r="B3100" s="125" t="s">
        <v>532</v>
      </c>
      <c r="C3100" s="125" t="s">
        <v>456</v>
      </c>
      <c r="D3100" s="125" t="s">
        <v>454</v>
      </c>
      <c r="E3100" s="125" t="s">
        <v>189</v>
      </c>
      <c r="F3100" s="126">
        <v>40342.0</v>
      </c>
      <c r="G3100" s="127">
        <v>8.03E8</v>
      </c>
      <c r="H3100" s="126">
        <v>40375.0</v>
      </c>
      <c r="I3100" s="128">
        <v>3197.0</v>
      </c>
      <c r="J3100" s="128">
        <v>152.58</v>
      </c>
      <c r="K3100" s="128">
        <v>97.44</v>
      </c>
      <c r="L3100" s="128">
        <v>487798.3</v>
      </c>
      <c r="M3100" s="128">
        <v>311515.7</v>
      </c>
      <c r="N3100" s="128">
        <v>176282.6</v>
      </c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</row>
    <row r="3101">
      <c r="A3101" s="125" t="s">
        <v>461</v>
      </c>
      <c r="B3101" s="125" t="s">
        <v>522</v>
      </c>
      <c r="C3101" s="125" t="s">
        <v>494</v>
      </c>
      <c r="D3101" s="125" t="s">
        <v>454</v>
      </c>
      <c r="E3101" s="125" t="s">
        <v>464</v>
      </c>
      <c r="F3101" s="126">
        <v>41407.0</v>
      </c>
      <c r="G3101" s="127">
        <v>9.11E8</v>
      </c>
      <c r="H3101" s="126">
        <v>41456.0</v>
      </c>
      <c r="I3101" s="128">
        <v>8678.0</v>
      </c>
      <c r="J3101" s="128">
        <v>9.33</v>
      </c>
      <c r="K3101" s="128">
        <v>6.92</v>
      </c>
      <c r="L3101" s="128">
        <v>80965.74</v>
      </c>
      <c r="M3101" s="128">
        <v>60051.76</v>
      </c>
      <c r="N3101" s="128">
        <v>20913.98</v>
      </c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</row>
    <row r="3102">
      <c r="A3102" s="125" t="s">
        <v>488</v>
      </c>
      <c r="B3102" s="125" t="s">
        <v>489</v>
      </c>
      <c r="C3102" s="125" t="s">
        <v>463</v>
      </c>
      <c r="D3102" s="125" t="s">
        <v>457</v>
      </c>
      <c r="E3102" s="125" t="s">
        <v>189</v>
      </c>
      <c r="F3102" s="126">
        <v>40270.0</v>
      </c>
      <c r="G3102" s="127">
        <v>2.59E8</v>
      </c>
      <c r="H3102" s="126">
        <v>40296.0</v>
      </c>
      <c r="I3102" s="128">
        <v>5897.0</v>
      </c>
      <c r="J3102" s="128">
        <v>205.7</v>
      </c>
      <c r="K3102" s="128">
        <v>117.11</v>
      </c>
      <c r="L3102" s="128">
        <v>1213013.0</v>
      </c>
      <c r="M3102" s="128">
        <v>690597.7</v>
      </c>
      <c r="N3102" s="128">
        <v>522415.2</v>
      </c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</row>
    <row r="3103">
      <c r="A3103" s="125" t="s">
        <v>475</v>
      </c>
      <c r="B3103" s="125" t="s">
        <v>566</v>
      </c>
      <c r="C3103" s="125" t="s">
        <v>506</v>
      </c>
      <c r="D3103" s="125" t="s">
        <v>457</v>
      </c>
      <c r="E3103" s="125" t="s">
        <v>284</v>
      </c>
      <c r="F3103" s="126">
        <v>40881.0</v>
      </c>
      <c r="G3103" s="127">
        <v>8.39E8</v>
      </c>
      <c r="H3103" s="126">
        <v>40889.0</v>
      </c>
      <c r="I3103" s="128">
        <v>4236.0</v>
      </c>
      <c r="J3103" s="128">
        <v>154.06</v>
      </c>
      <c r="K3103" s="128">
        <v>90.93</v>
      </c>
      <c r="L3103" s="128">
        <v>652598.2</v>
      </c>
      <c r="M3103" s="128">
        <v>385179.5</v>
      </c>
      <c r="N3103" s="128">
        <v>267418.7</v>
      </c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</row>
    <row r="3104">
      <c r="A3104" s="125" t="s">
        <v>458</v>
      </c>
      <c r="B3104" s="125" t="s">
        <v>545</v>
      </c>
      <c r="C3104" s="125" t="s">
        <v>468</v>
      </c>
      <c r="D3104" s="125" t="s">
        <v>454</v>
      </c>
      <c r="E3104" s="125" t="s">
        <v>472</v>
      </c>
      <c r="F3104" s="126">
        <v>42046.0</v>
      </c>
      <c r="G3104" s="127">
        <v>6.67E8</v>
      </c>
      <c r="H3104" s="126">
        <v>42047.0</v>
      </c>
      <c r="I3104" s="128">
        <v>5104.0</v>
      </c>
      <c r="J3104" s="128">
        <v>81.73</v>
      </c>
      <c r="K3104" s="128">
        <v>56.67</v>
      </c>
      <c r="L3104" s="128">
        <v>417149.9</v>
      </c>
      <c r="M3104" s="128">
        <v>289243.7</v>
      </c>
      <c r="N3104" s="128">
        <v>127906.2</v>
      </c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</row>
    <row r="3105">
      <c r="A3105" s="125" t="s">
        <v>475</v>
      </c>
      <c r="B3105" s="125" t="s">
        <v>532</v>
      </c>
      <c r="C3105" s="125" t="s">
        <v>485</v>
      </c>
      <c r="D3105" s="125" t="s">
        <v>457</v>
      </c>
      <c r="E3105" s="125" t="s">
        <v>189</v>
      </c>
      <c r="F3105" s="126">
        <v>41580.0</v>
      </c>
      <c r="G3105" s="127">
        <v>5.26E8</v>
      </c>
      <c r="H3105" s="126">
        <v>41629.0</v>
      </c>
      <c r="I3105" s="128">
        <v>6945.0</v>
      </c>
      <c r="J3105" s="128">
        <v>421.89</v>
      </c>
      <c r="K3105" s="128">
        <v>364.69</v>
      </c>
      <c r="L3105" s="128">
        <v>2930026.0</v>
      </c>
      <c r="M3105" s="128">
        <v>2532772.0</v>
      </c>
      <c r="N3105" s="128">
        <v>397254.0</v>
      </c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</row>
    <row r="3106">
      <c r="A3106" s="125" t="s">
        <v>488</v>
      </c>
      <c r="B3106" s="125" t="s">
        <v>577</v>
      </c>
      <c r="C3106" s="125" t="s">
        <v>468</v>
      </c>
      <c r="D3106" s="125" t="s">
        <v>454</v>
      </c>
      <c r="E3106" s="125" t="s">
        <v>284</v>
      </c>
      <c r="F3106" s="126">
        <v>40451.0</v>
      </c>
      <c r="G3106" s="127">
        <v>8.22E8</v>
      </c>
      <c r="H3106" s="126">
        <v>40460.0</v>
      </c>
      <c r="I3106" s="128">
        <v>232.0</v>
      </c>
      <c r="J3106" s="128">
        <v>81.73</v>
      </c>
      <c r="K3106" s="128">
        <v>56.67</v>
      </c>
      <c r="L3106" s="128">
        <v>18961.36</v>
      </c>
      <c r="M3106" s="128">
        <v>13147.44</v>
      </c>
      <c r="N3106" s="128">
        <v>5813.92</v>
      </c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</row>
    <row r="3107">
      <c r="A3107" s="125" t="s">
        <v>466</v>
      </c>
      <c r="B3107" s="125" t="s">
        <v>477</v>
      </c>
      <c r="C3107" s="125" t="s">
        <v>494</v>
      </c>
      <c r="D3107" s="125" t="s">
        <v>457</v>
      </c>
      <c r="E3107" s="125" t="s">
        <v>284</v>
      </c>
      <c r="F3107" s="126">
        <v>41399.0</v>
      </c>
      <c r="G3107" s="127">
        <v>2.29E8</v>
      </c>
      <c r="H3107" s="126">
        <v>41426.0</v>
      </c>
      <c r="I3107" s="128">
        <v>2470.0</v>
      </c>
      <c r="J3107" s="128">
        <v>9.33</v>
      </c>
      <c r="K3107" s="128">
        <v>6.92</v>
      </c>
      <c r="L3107" s="128">
        <v>23045.1</v>
      </c>
      <c r="M3107" s="128">
        <v>17092.4</v>
      </c>
      <c r="N3107" s="128">
        <v>5952.7</v>
      </c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</row>
    <row r="3108">
      <c r="A3108" s="125" t="s">
        <v>461</v>
      </c>
      <c r="B3108" s="125" t="s">
        <v>557</v>
      </c>
      <c r="C3108" s="125" t="s">
        <v>456</v>
      </c>
      <c r="D3108" s="125" t="s">
        <v>454</v>
      </c>
      <c r="E3108" s="125" t="s">
        <v>284</v>
      </c>
      <c r="F3108" s="126">
        <v>42022.0</v>
      </c>
      <c r="G3108" s="127">
        <v>6.43E8</v>
      </c>
      <c r="H3108" s="126">
        <v>42035.0</v>
      </c>
      <c r="I3108" s="128">
        <v>3195.0</v>
      </c>
      <c r="J3108" s="128">
        <v>152.58</v>
      </c>
      <c r="K3108" s="128">
        <v>97.44</v>
      </c>
      <c r="L3108" s="128">
        <v>487493.1</v>
      </c>
      <c r="M3108" s="128">
        <v>311320.8</v>
      </c>
      <c r="N3108" s="128">
        <v>176172.3</v>
      </c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</row>
    <row r="3109">
      <c r="A3109" s="125" t="s">
        <v>475</v>
      </c>
      <c r="B3109" s="125" t="s">
        <v>562</v>
      </c>
      <c r="C3109" s="125" t="s">
        <v>456</v>
      </c>
      <c r="D3109" s="125" t="s">
        <v>457</v>
      </c>
      <c r="E3109" s="125" t="s">
        <v>472</v>
      </c>
      <c r="F3109" s="126">
        <v>41689.0</v>
      </c>
      <c r="G3109" s="127">
        <v>4.29E8</v>
      </c>
      <c r="H3109" s="126">
        <v>41702.0</v>
      </c>
      <c r="I3109" s="128">
        <v>8975.0</v>
      </c>
      <c r="J3109" s="128">
        <v>152.58</v>
      </c>
      <c r="K3109" s="128">
        <v>97.44</v>
      </c>
      <c r="L3109" s="128">
        <v>1369406.0</v>
      </c>
      <c r="M3109" s="128">
        <v>874524.0</v>
      </c>
      <c r="N3109" s="128">
        <v>494881.5</v>
      </c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</row>
    <row r="3110">
      <c r="A3110" s="125" t="s">
        <v>475</v>
      </c>
      <c r="B3110" s="125" t="s">
        <v>657</v>
      </c>
      <c r="C3110" s="125" t="s">
        <v>480</v>
      </c>
      <c r="D3110" s="125" t="s">
        <v>457</v>
      </c>
      <c r="E3110" s="125" t="s">
        <v>284</v>
      </c>
      <c r="F3110" s="126">
        <v>42924.0</v>
      </c>
      <c r="G3110" s="127">
        <v>2.74E8</v>
      </c>
      <c r="H3110" s="126">
        <v>42964.0</v>
      </c>
      <c r="I3110" s="128">
        <v>8407.0</v>
      </c>
      <c r="J3110" s="128">
        <v>437.2</v>
      </c>
      <c r="K3110" s="128">
        <v>263.33</v>
      </c>
      <c r="L3110" s="128">
        <v>3675540.0</v>
      </c>
      <c r="M3110" s="128">
        <v>2213815.0</v>
      </c>
      <c r="N3110" s="128">
        <v>1461725.0</v>
      </c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</row>
    <row r="3111">
      <c r="A3111" s="125" t="s">
        <v>475</v>
      </c>
      <c r="B3111" s="125" t="s">
        <v>628</v>
      </c>
      <c r="C3111" s="125" t="s">
        <v>480</v>
      </c>
      <c r="D3111" s="125" t="s">
        <v>457</v>
      </c>
      <c r="E3111" s="125" t="s">
        <v>464</v>
      </c>
      <c r="F3111" s="126">
        <v>41725.0</v>
      </c>
      <c r="G3111" s="127">
        <v>9.33E8</v>
      </c>
      <c r="H3111" s="126">
        <v>41765.0</v>
      </c>
      <c r="I3111" s="128">
        <v>7123.0</v>
      </c>
      <c r="J3111" s="128">
        <v>437.2</v>
      </c>
      <c r="K3111" s="128">
        <v>263.33</v>
      </c>
      <c r="L3111" s="128">
        <v>3114176.0</v>
      </c>
      <c r="M3111" s="128">
        <v>1875700.0</v>
      </c>
      <c r="N3111" s="128">
        <v>1238476.0</v>
      </c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</row>
    <row r="3112">
      <c r="A3112" s="125" t="s">
        <v>461</v>
      </c>
      <c r="B3112" s="125" t="s">
        <v>510</v>
      </c>
      <c r="C3112" s="125" t="s">
        <v>456</v>
      </c>
      <c r="D3112" s="125" t="s">
        <v>454</v>
      </c>
      <c r="E3112" s="125" t="s">
        <v>189</v>
      </c>
      <c r="F3112" s="126">
        <v>42777.0</v>
      </c>
      <c r="G3112" s="127">
        <v>9.84E8</v>
      </c>
      <c r="H3112" s="126">
        <v>42804.0</v>
      </c>
      <c r="I3112" s="128">
        <v>2783.0</v>
      </c>
      <c r="J3112" s="128">
        <v>152.58</v>
      </c>
      <c r="K3112" s="128">
        <v>97.44</v>
      </c>
      <c r="L3112" s="128">
        <v>424630.1</v>
      </c>
      <c r="M3112" s="128">
        <v>271175.5</v>
      </c>
      <c r="N3112" s="128">
        <v>153454.6</v>
      </c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</row>
    <row r="3113">
      <c r="A3113" s="125" t="s">
        <v>488</v>
      </c>
      <c r="B3113" s="125" t="s">
        <v>654</v>
      </c>
      <c r="C3113" s="125" t="s">
        <v>494</v>
      </c>
      <c r="D3113" s="125" t="s">
        <v>457</v>
      </c>
      <c r="E3113" s="125" t="s">
        <v>284</v>
      </c>
      <c r="F3113" s="126">
        <v>41474.0</v>
      </c>
      <c r="G3113" s="127">
        <v>8.73E8</v>
      </c>
      <c r="H3113" s="126">
        <v>41474.0</v>
      </c>
      <c r="I3113" s="128">
        <v>79.0</v>
      </c>
      <c r="J3113" s="128">
        <v>9.33</v>
      </c>
      <c r="K3113" s="128">
        <v>6.92</v>
      </c>
      <c r="L3113" s="128">
        <v>737.07</v>
      </c>
      <c r="M3113" s="128">
        <v>546.68</v>
      </c>
      <c r="N3113" s="128">
        <v>190.39</v>
      </c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</row>
    <row r="3114">
      <c r="A3114" s="125" t="s">
        <v>458</v>
      </c>
      <c r="B3114" s="125" t="s">
        <v>573</v>
      </c>
      <c r="C3114" s="125" t="s">
        <v>463</v>
      </c>
      <c r="D3114" s="125" t="s">
        <v>454</v>
      </c>
      <c r="E3114" s="125" t="s">
        <v>472</v>
      </c>
      <c r="F3114" s="126">
        <v>41896.0</v>
      </c>
      <c r="G3114" s="127">
        <v>6.67E8</v>
      </c>
      <c r="H3114" s="126">
        <v>41922.0</v>
      </c>
      <c r="I3114" s="128">
        <v>5735.0</v>
      </c>
      <c r="J3114" s="128">
        <v>205.7</v>
      </c>
      <c r="K3114" s="128">
        <v>117.11</v>
      </c>
      <c r="L3114" s="128">
        <v>1179690.0</v>
      </c>
      <c r="M3114" s="128">
        <v>671625.9</v>
      </c>
      <c r="N3114" s="128">
        <v>508063.7</v>
      </c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</row>
    <row r="3115">
      <c r="A3115" s="125" t="s">
        <v>469</v>
      </c>
      <c r="B3115" s="125" t="s">
        <v>630</v>
      </c>
      <c r="C3115" s="125" t="s">
        <v>478</v>
      </c>
      <c r="D3115" s="125" t="s">
        <v>454</v>
      </c>
      <c r="E3115" s="125" t="s">
        <v>284</v>
      </c>
      <c r="F3115" s="126">
        <v>41597.0</v>
      </c>
      <c r="G3115" s="127">
        <v>5.04E8</v>
      </c>
      <c r="H3115" s="126">
        <v>41600.0</v>
      </c>
      <c r="I3115" s="128">
        <v>3507.0</v>
      </c>
      <c r="J3115" s="128">
        <v>651.21</v>
      </c>
      <c r="K3115" s="128">
        <v>524.96</v>
      </c>
      <c r="L3115" s="128">
        <v>2283793.0</v>
      </c>
      <c r="M3115" s="128">
        <v>1841035.0</v>
      </c>
      <c r="N3115" s="128">
        <v>442758.8</v>
      </c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</row>
    <row r="3116">
      <c r="A3116" s="125" t="s">
        <v>475</v>
      </c>
      <c r="B3116" s="125" t="s">
        <v>635</v>
      </c>
      <c r="C3116" s="125" t="s">
        <v>471</v>
      </c>
      <c r="D3116" s="125" t="s">
        <v>457</v>
      </c>
      <c r="E3116" s="125" t="s">
        <v>472</v>
      </c>
      <c r="F3116" s="126">
        <v>41285.0</v>
      </c>
      <c r="G3116" s="127">
        <v>1.43E8</v>
      </c>
      <c r="H3116" s="126">
        <v>41335.0</v>
      </c>
      <c r="I3116" s="128">
        <v>9179.0</v>
      </c>
      <c r="J3116" s="128">
        <v>109.28</v>
      </c>
      <c r="K3116" s="128">
        <v>35.84</v>
      </c>
      <c r="L3116" s="128">
        <v>1003081.0</v>
      </c>
      <c r="M3116" s="128">
        <v>328975.4</v>
      </c>
      <c r="N3116" s="128">
        <v>674105.8</v>
      </c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</row>
    <row r="3117">
      <c r="A3117" s="125" t="s">
        <v>488</v>
      </c>
      <c r="B3117" s="125" t="s">
        <v>645</v>
      </c>
      <c r="C3117" s="125" t="s">
        <v>453</v>
      </c>
      <c r="D3117" s="125" t="s">
        <v>457</v>
      </c>
      <c r="E3117" s="125" t="s">
        <v>284</v>
      </c>
      <c r="F3117" s="126">
        <v>40677.0</v>
      </c>
      <c r="G3117" s="127">
        <v>3.1E8</v>
      </c>
      <c r="H3117" s="126">
        <v>40695.0</v>
      </c>
      <c r="I3117" s="128">
        <v>5570.0</v>
      </c>
      <c r="J3117" s="128">
        <v>255.28</v>
      </c>
      <c r="K3117" s="128">
        <v>159.42</v>
      </c>
      <c r="L3117" s="128">
        <v>1421910.0</v>
      </c>
      <c r="M3117" s="128">
        <v>887969.4</v>
      </c>
      <c r="N3117" s="128">
        <v>533940.2</v>
      </c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</row>
    <row r="3118">
      <c r="A3118" s="125" t="s">
        <v>469</v>
      </c>
      <c r="B3118" s="125" t="s">
        <v>503</v>
      </c>
      <c r="C3118" s="125" t="s">
        <v>468</v>
      </c>
      <c r="D3118" s="125" t="s">
        <v>457</v>
      </c>
      <c r="E3118" s="125" t="s">
        <v>472</v>
      </c>
      <c r="F3118" s="126">
        <v>42641.0</v>
      </c>
      <c r="G3118" s="127">
        <v>4.55E8</v>
      </c>
      <c r="H3118" s="126">
        <v>42666.0</v>
      </c>
      <c r="I3118" s="128">
        <v>7529.0</v>
      </c>
      <c r="J3118" s="128">
        <v>81.73</v>
      </c>
      <c r="K3118" s="128">
        <v>56.67</v>
      </c>
      <c r="L3118" s="128">
        <v>615345.2</v>
      </c>
      <c r="M3118" s="128">
        <v>426668.4</v>
      </c>
      <c r="N3118" s="128">
        <v>188676.7</v>
      </c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</row>
    <row r="3119">
      <c r="A3119" s="125" t="s">
        <v>469</v>
      </c>
      <c r="B3119" s="125" t="s">
        <v>647</v>
      </c>
      <c r="C3119" s="125" t="s">
        <v>463</v>
      </c>
      <c r="D3119" s="125" t="s">
        <v>454</v>
      </c>
      <c r="E3119" s="125" t="s">
        <v>472</v>
      </c>
      <c r="F3119" s="126">
        <v>40756.0</v>
      </c>
      <c r="G3119" s="127">
        <v>9.96E8</v>
      </c>
      <c r="H3119" s="126">
        <v>40782.0</v>
      </c>
      <c r="I3119" s="128">
        <v>6934.0</v>
      </c>
      <c r="J3119" s="128">
        <v>205.7</v>
      </c>
      <c r="K3119" s="128">
        <v>117.11</v>
      </c>
      <c r="L3119" s="128">
        <v>1426324.0</v>
      </c>
      <c r="M3119" s="128">
        <v>812040.7</v>
      </c>
      <c r="N3119" s="128">
        <v>614283.1</v>
      </c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</row>
    <row r="3120">
      <c r="A3120" s="125" t="s">
        <v>451</v>
      </c>
      <c r="B3120" s="125" t="s">
        <v>646</v>
      </c>
      <c r="C3120" s="125" t="s">
        <v>456</v>
      </c>
      <c r="D3120" s="125" t="s">
        <v>457</v>
      </c>
      <c r="E3120" s="125" t="s">
        <v>284</v>
      </c>
      <c r="F3120" s="126">
        <v>42819.0</v>
      </c>
      <c r="G3120" s="127">
        <v>1.73E8</v>
      </c>
      <c r="H3120" s="126">
        <v>42859.0</v>
      </c>
      <c r="I3120" s="128">
        <v>7698.0</v>
      </c>
      <c r="J3120" s="128">
        <v>152.58</v>
      </c>
      <c r="K3120" s="128">
        <v>97.44</v>
      </c>
      <c r="L3120" s="128">
        <v>1174561.0</v>
      </c>
      <c r="M3120" s="128">
        <v>750093.1</v>
      </c>
      <c r="N3120" s="128">
        <v>424467.7</v>
      </c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</row>
    <row r="3121">
      <c r="A3121" s="125" t="s">
        <v>466</v>
      </c>
      <c r="B3121" s="125" t="s">
        <v>492</v>
      </c>
      <c r="C3121" s="125" t="s">
        <v>506</v>
      </c>
      <c r="D3121" s="125" t="s">
        <v>454</v>
      </c>
      <c r="E3121" s="125" t="s">
        <v>472</v>
      </c>
      <c r="F3121" s="126">
        <v>41803.0</v>
      </c>
      <c r="G3121" s="127">
        <v>7.94E8</v>
      </c>
      <c r="H3121" s="126">
        <v>41826.0</v>
      </c>
      <c r="I3121" s="128">
        <v>762.0</v>
      </c>
      <c r="J3121" s="128">
        <v>154.06</v>
      </c>
      <c r="K3121" s="128">
        <v>90.93</v>
      </c>
      <c r="L3121" s="128">
        <v>117393.7</v>
      </c>
      <c r="M3121" s="128">
        <v>69288.66</v>
      </c>
      <c r="N3121" s="128">
        <v>48105.06</v>
      </c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</row>
    <row r="3122">
      <c r="A3122" s="125" t="s">
        <v>475</v>
      </c>
      <c r="B3122" s="125" t="s">
        <v>628</v>
      </c>
      <c r="C3122" s="125" t="s">
        <v>456</v>
      </c>
      <c r="D3122" s="125" t="s">
        <v>454</v>
      </c>
      <c r="E3122" s="125" t="s">
        <v>464</v>
      </c>
      <c r="F3122" s="126">
        <v>42133.0</v>
      </c>
      <c r="G3122" s="127">
        <v>7.9E8</v>
      </c>
      <c r="H3122" s="126">
        <v>42179.0</v>
      </c>
      <c r="I3122" s="128">
        <v>9100.0</v>
      </c>
      <c r="J3122" s="128">
        <v>152.58</v>
      </c>
      <c r="K3122" s="128">
        <v>97.44</v>
      </c>
      <c r="L3122" s="128">
        <v>1388478.0</v>
      </c>
      <c r="M3122" s="128">
        <v>886704.0</v>
      </c>
      <c r="N3122" s="128">
        <v>501774.0</v>
      </c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</row>
    <row r="3123">
      <c r="A3123" s="125" t="s">
        <v>458</v>
      </c>
      <c r="B3123" s="125" t="s">
        <v>486</v>
      </c>
      <c r="C3123" s="125" t="s">
        <v>478</v>
      </c>
      <c r="D3123" s="125" t="s">
        <v>454</v>
      </c>
      <c r="E3123" s="125" t="s">
        <v>464</v>
      </c>
      <c r="F3123" s="126">
        <v>41710.0</v>
      </c>
      <c r="G3123" s="127">
        <v>8.61E8</v>
      </c>
      <c r="H3123" s="126">
        <v>41726.0</v>
      </c>
      <c r="I3123" s="128">
        <v>2717.0</v>
      </c>
      <c r="J3123" s="128">
        <v>651.21</v>
      </c>
      <c r="K3123" s="128">
        <v>524.96</v>
      </c>
      <c r="L3123" s="128">
        <v>1769338.0</v>
      </c>
      <c r="M3123" s="128">
        <v>1426316.0</v>
      </c>
      <c r="N3123" s="128">
        <v>343021.3</v>
      </c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</row>
    <row r="3124">
      <c r="A3124" s="125" t="s">
        <v>469</v>
      </c>
      <c r="B3124" s="125" t="s">
        <v>520</v>
      </c>
      <c r="C3124" s="125" t="s">
        <v>506</v>
      </c>
      <c r="D3124" s="125" t="s">
        <v>457</v>
      </c>
      <c r="E3124" s="125" t="s">
        <v>464</v>
      </c>
      <c r="F3124" s="126">
        <v>41588.0</v>
      </c>
      <c r="G3124" s="127">
        <v>4.27E8</v>
      </c>
      <c r="H3124" s="126">
        <v>41593.0</v>
      </c>
      <c r="I3124" s="128">
        <v>3650.0</v>
      </c>
      <c r="J3124" s="128">
        <v>154.06</v>
      </c>
      <c r="K3124" s="128">
        <v>90.93</v>
      </c>
      <c r="L3124" s="128">
        <v>562319.0</v>
      </c>
      <c r="M3124" s="128">
        <v>331894.5</v>
      </c>
      <c r="N3124" s="128">
        <v>230424.5</v>
      </c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</row>
    <row r="3125">
      <c r="A3125" s="125" t="s">
        <v>475</v>
      </c>
      <c r="B3125" s="125" t="s">
        <v>591</v>
      </c>
      <c r="C3125" s="125" t="s">
        <v>468</v>
      </c>
      <c r="D3125" s="125" t="s">
        <v>457</v>
      </c>
      <c r="E3125" s="125" t="s">
        <v>464</v>
      </c>
      <c r="F3125" s="126">
        <v>41828.0</v>
      </c>
      <c r="G3125" s="127">
        <v>7.79E8</v>
      </c>
      <c r="H3125" s="126">
        <v>41852.0</v>
      </c>
      <c r="I3125" s="128">
        <v>965.0</v>
      </c>
      <c r="J3125" s="128">
        <v>81.73</v>
      </c>
      <c r="K3125" s="128">
        <v>56.67</v>
      </c>
      <c r="L3125" s="128">
        <v>78869.45</v>
      </c>
      <c r="M3125" s="128">
        <v>54686.55</v>
      </c>
      <c r="N3125" s="128">
        <v>24182.9</v>
      </c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</row>
    <row r="3126">
      <c r="A3126" s="125" t="s">
        <v>458</v>
      </c>
      <c r="B3126" s="125" t="s">
        <v>641</v>
      </c>
      <c r="C3126" s="125" t="s">
        <v>453</v>
      </c>
      <c r="D3126" s="125" t="s">
        <v>454</v>
      </c>
      <c r="E3126" s="125" t="s">
        <v>284</v>
      </c>
      <c r="F3126" s="126">
        <v>42879.0</v>
      </c>
      <c r="G3126" s="127">
        <v>1.27E8</v>
      </c>
      <c r="H3126" s="126">
        <v>42925.0</v>
      </c>
      <c r="I3126" s="128">
        <v>5762.0</v>
      </c>
      <c r="J3126" s="128">
        <v>255.28</v>
      </c>
      <c r="K3126" s="128">
        <v>159.42</v>
      </c>
      <c r="L3126" s="128">
        <v>1470923.0</v>
      </c>
      <c r="M3126" s="128">
        <v>918578.0</v>
      </c>
      <c r="N3126" s="128">
        <v>552345.3</v>
      </c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</row>
    <row r="3127">
      <c r="A3127" s="125" t="s">
        <v>458</v>
      </c>
      <c r="B3127" s="125" t="s">
        <v>493</v>
      </c>
      <c r="C3127" s="125" t="s">
        <v>471</v>
      </c>
      <c r="D3127" s="125" t="s">
        <v>457</v>
      </c>
      <c r="E3127" s="125" t="s">
        <v>472</v>
      </c>
      <c r="F3127" s="126">
        <v>41433.0</v>
      </c>
      <c r="G3127" s="127">
        <v>3.53E8</v>
      </c>
      <c r="H3127" s="126">
        <v>41464.0</v>
      </c>
      <c r="I3127" s="128">
        <v>6169.0</v>
      </c>
      <c r="J3127" s="128">
        <v>109.28</v>
      </c>
      <c r="K3127" s="128">
        <v>35.84</v>
      </c>
      <c r="L3127" s="128">
        <v>674148.3</v>
      </c>
      <c r="M3127" s="128">
        <v>221097.0</v>
      </c>
      <c r="N3127" s="128">
        <v>453051.4</v>
      </c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</row>
    <row r="3128">
      <c r="A3128" s="125" t="s">
        <v>458</v>
      </c>
      <c r="B3128" s="125" t="s">
        <v>517</v>
      </c>
      <c r="C3128" s="125" t="s">
        <v>506</v>
      </c>
      <c r="D3128" s="125" t="s">
        <v>454</v>
      </c>
      <c r="E3128" s="125" t="s">
        <v>464</v>
      </c>
      <c r="F3128" s="126">
        <v>42864.0</v>
      </c>
      <c r="G3128" s="127">
        <v>2.59E8</v>
      </c>
      <c r="H3128" s="126">
        <v>42868.0</v>
      </c>
      <c r="I3128" s="128">
        <v>2349.0</v>
      </c>
      <c r="J3128" s="128">
        <v>154.06</v>
      </c>
      <c r="K3128" s="128">
        <v>90.93</v>
      </c>
      <c r="L3128" s="128">
        <v>361886.9</v>
      </c>
      <c r="M3128" s="128">
        <v>213594.6</v>
      </c>
      <c r="N3128" s="128">
        <v>148292.4</v>
      </c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</row>
    <row r="3129">
      <c r="A3129" s="125" t="s">
        <v>475</v>
      </c>
      <c r="B3129" s="125" t="s">
        <v>548</v>
      </c>
      <c r="C3129" s="125" t="s">
        <v>471</v>
      </c>
      <c r="D3129" s="125" t="s">
        <v>454</v>
      </c>
      <c r="E3129" s="125" t="s">
        <v>189</v>
      </c>
      <c r="F3129" s="126">
        <v>40492.0</v>
      </c>
      <c r="G3129" s="127">
        <v>5.16E8</v>
      </c>
      <c r="H3129" s="126">
        <v>40521.0</v>
      </c>
      <c r="I3129" s="128">
        <v>1493.0</v>
      </c>
      <c r="J3129" s="128">
        <v>109.28</v>
      </c>
      <c r="K3129" s="128">
        <v>35.84</v>
      </c>
      <c r="L3129" s="128">
        <v>163155.0</v>
      </c>
      <c r="M3129" s="128">
        <v>53509.12</v>
      </c>
      <c r="N3129" s="128">
        <v>109645.9</v>
      </c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</row>
    <row r="3130">
      <c r="A3130" s="125" t="s">
        <v>458</v>
      </c>
      <c r="B3130" s="125" t="s">
        <v>653</v>
      </c>
      <c r="C3130" s="125" t="s">
        <v>485</v>
      </c>
      <c r="D3130" s="125" t="s">
        <v>457</v>
      </c>
      <c r="E3130" s="125" t="s">
        <v>464</v>
      </c>
      <c r="F3130" s="126">
        <v>41854.0</v>
      </c>
      <c r="G3130" s="127">
        <v>5.18E8</v>
      </c>
      <c r="H3130" s="126">
        <v>41886.0</v>
      </c>
      <c r="I3130" s="128">
        <v>2826.0</v>
      </c>
      <c r="J3130" s="128">
        <v>421.89</v>
      </c>
      <c r="K3130" s="128">
        <v>364.69</v>
      </c>
      <c r="L3130" s="128">
        <v>1192261.0</v>
      </c>
      <c r="M3130" s="128">
        <v>1030614.0</v>
      </c>
      <c r="N3130" s="128">
        <v>161647.2</v>
      </c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</row>
    <row r="3131">
      <c r="A3131" s="125" t="s">
        <v>458</v>
      </c>
      <c r="B3131" s="125" t="s">
        <v>553</v>
      </c>
      <c r="C3131" s="125" t="s">
        <v>480</v>
      </c>
      <c r="D3131" s="125" t="s">
        <v>457</v>
      </c>
      <c r="E3131" s="125" t="s">
        <v>472</v>
      </c>
      <c r="F3131" s="126">
        <v>42431.0</v>
      </c>
      <c r="G3131" s="127">
        <v>6.25E8</v>
      </c>
      <c r="H3131" s="126">
        <v>42459.0</v>
      </c>
      <c r="I3131" s="128">
        <v>2602.0</v>
      </c>
      <c r="J3131" s="128">
        <v>437.2</v>
      </c>
      <c r="K3131" s="128">
        <v>263.33</v>
      </c>
      <c r="L3131" s="128">
        <v>1137594.0</v>
      </c>
      <c r="M3131" s="128">
        <v>685184.7</v>
      </c>
      <c r="N3131" s="128">
        <v>452409.7</v>
      </c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</row>
    <row r="3132">
      <c r="A3132" s="125" t="s">
        <v>469</v>
      </c>
      <c r="B3132" s="125" t="s">
        <v>530</v>
      </c>
      <c r="C3132" s="125" t="s">
        <v>494</v>
      </c>
      <c r="D3132" s="125" t="s">
        <v>457</v>
      </c>
      <c r="E3132" s="125" t="s">
        <v>464</v>
      </c>
      <c r="F3132" s="126">
        <v>40856.0</v>
      </c>
      <c r="G3132" s="127">
        <v>8.22E8</v>
      </c>
      <c r="H3132" s="126">
        <v>40900.0</v>
      </c>
      <c r="I3132" s="128">
        <v>9107.0</v>
      </c>
      <c r="J3132" s="128">
        <v>9.33</v>
      </c>
      <c r="K3132" s="128">
        <v>6.92</v>
      </c>
      <c r="L3132" s="128">
        <v>84968.31</v>
      </c>
      <c r="M3132" s="128">
        <v>63020.44</v>
      </c>
      <c r="N3132" s="128">
        <v>21947.87</v>
      </c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</row>
    <row r="3133">
      <c r="A3133" s="125" t="s">
        <v>475</v>
      </c>
      <c r="B3133" s="125" t="s">
        <v>561</v>
      </c>
      <c r="C3133" s="125" t="s">
        <v>494</v>
      </c>
      <c r="D3133" s="125" t="s">
        <v>454</v>
      </c>
      <c r="E3133" s="125" t="s">
        <v>189</v>
      </c>
      <c r="F3133" s="126">
        <v>40302.0</v>
      </c>
      <c r="G3133" s="127">
        <v>2.6E8</v>
      </c>
      <c r="H3133" s="126">
        <v>40348.0</v>
      </c>
      <c r="I3133" s="128">
        <v>7659.0</v>
      </c>
      <c r="J3133" s="128">
        <v>9.33</v>
      </c>
      <c r="K3133" s="128">
        <v>6.92</v>
      </c>
      <c r="L3133" s="128">
        <v>71458.47</v>
      </c>
      <c r="M3133" s="128">
        <v>53000.28</v>
      </c>
      <c r="N3133" s="128">
        <v>18458.19</v>
      </c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</row>
    <row r="3134">
      <c r="A3134" s="125" t="s">
        <v>475</v>
      </c>
      <c r="B3134" s="125" t="s">
        <v>532</v>
      </c>
      <c r="C3134" s="125" t="s">
        <v>506</v>
      </c>
      <c r="D3134" s="125" t="s">
        <v>454</v>
      </c>
      <c r="E3134" s="125" t="s">
        <v>472</v>
      </c>
      <c r="F3134" s="126">
        <v>41565.0</v>
      </c>
      <c r="G3134" s="127">
        <v>4.15E8</v>
      </c>
      <c r="H3134" s="126">
        <v>41578.0</v>
      </c>
      <c r="I3134" s="128">
        <v>5606.0</v>
      </c>
      <c r="J3134" s="128">
        <v>154.06</v>
      </c>
      <c r="K3134" s="128">
        <v>90.93</v>
      </c>
      <c r="L3134" s="128">
        <v>863660.4</v>
      </c>
      <c r="M3134" s="128">
        <v>509753.6</v>
      </c>
      <c r="N3134" s="128">
        <v>353906.8</v>
      </c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</row>
    <row r="3135">
      <c r="A3135" s="125" t="s">
        <v>466</v>
      </c>
      <c r="B3135" s="125" t="s">
        <v>496</v>
      </c>
      <c r="C3135" s="125" t="s">
        <v>453</v>
      </c>
      <c r="D3135" s="125" t="s">
        <v>454</v>
      </c>
      <c r="E3135" s="125" t="s">
        <v>189</v>
      </c>
      <c r="F3135" s="126">
        <v>41680.0</v>
      </c>
      <c r="G3135" s="127">
        <v>1.3E8</v>
      </c>
      <c r="H3135" s="126">
        <v>41695.0</v>
      </c>
      <c r="I3135" s="128">
        <v>7328.0</v>
      </c>
      <c r="J3135" s="128">
        <v>255.28</v>
      </c>
      <c r="K3135" s="128">
        <v>159.42</v>
      </c>
      <c r="L3135" s="128">
        <v>1870692.0</v>
      </c>
      <c r="M3135" s="128">
        <v>1168230.0</v>
      </c>
      <c r="N3135" s="128">
        <v>702462.1</v>
      </c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</row>
    <row r="3136">
      <c r="A3136" s="125" t="s">
        <v>458</v>
      </c>
      <c r="B3136" s="125" t="s">
        <v>555</v>
      </c>
      <c r="C3136" s="125" t="s">
        <v>480</v>
      </c>
      <c r="D3136" s="125" t="s">
        <v>454</v>
      </c>
      <c r="E3136" s="125" t="s">
        <v>284</v>
      </c>
      <c r="F3136" s="126">
        <v>40837.0</v>
      </c>
      <c r="G3136" s="127">
        <v>5.68E8</v>
      </c>
      <c r="H3136" s="126">
        <v>40868.0</v>
      </c>
      <c r="I3136" s="128">
        <v>9236.0</v>
      </c>
      <c r="J3136" s="128">
        <v>437.2</v>
      </c>
      <c r="K3136" s="128">
        <v>263.33</v>
      </c>
      <c r="L3136" s="128">
        <v>4037979.0</v>
      </c>
      <c r="M3136" s="128">
        <v>2432116.0</v>
      </c>
      <c r="N3136" s="128">
        <v>1605863.0</v>
      </c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</row>
    <row r="3137">
      <c r="A3137" s="125" t="s">
        <v>475</v>
      </c>
      <c r="B3137" s="125" t="s">
        <v>572</v>
      </c>
      <c r="C3137" s="125" t="s">
        <v>480</v>
      </c>
      <c r="D3137" s="125" t="s">
        <v>454</v>
      </c>
      <c r="E3137" s="125" t="s">
        <v>464</v>
      </c>
      <c r="F3137" s="126">
        <v>40999.0</v>
      </c>
      <c r="G3137" s="127">
        <v>2.64E8</v>
      </c>
      <c r="H3137" s="126">
        <v>41030.0</v>
      </c>
      <c r="I3137" s="128">
        <v>4774.0</v>
      </c>
      <c r="J3137" s="128">
        <v>437.2</v>
      </c>
      <c r="K3137" s="128">
        <v>263.33</v>
      </c>
      <c r="L3137" s="128">
        <v>2087193.0</v>
      </c>
      <c r="M3137" s="128">
        <v>1257137.0</v>
      </c>
      <c r="N3137" s="128">
        <v>830055.4</v>
      </c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</row>
    <row r="3138">
      <c r="A3138" s="125" t="s">
        <v>461</v>
      </c>
      <c r="B3138" s="125" t="s">
        <v>539</v>
      </c>
      <c r="C3138" s="125" t="s">
        <v>456</v>
      </c>
      <c r="D3138" s="125" t="s">
        <v>454</v>
      </c>
      <c r="E3138" s="125" t="s">
        <v>472</v>
      </c>
      <c r="F3138" s="126">
        <v>41751.0</v>
      </c>
      <c r="G3138" s="127">
        <v>9.73E8</v>
      </c>
      <c r="H3138" s="126">
        <v>41798.0</v>
      </c>
      <c r="I3138" s="128">
        <v>9413.0</v>
      </c>
      <c r="J3138" s="128">
        <v>152.58</v>
      </c>
      <c r="K3138" s="128">
        <v>97.44</v>
      </c>
      <c r="L3138" s="128">
        <v>1436236.0</v>
      </c>
      <c r="M3138" s="128">
        <v>917202.7</v>
      </c>
      <c r="N3138" s="128">
        <v>519032.8</v>
      </c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</row>
    <row r="3139">
      <c r="A3139" s="125" t="s">
        <v>475</v>
      </c>
      <c r="B3139" s="125" t="s">
        <v>572</v>
      </c>
      <c r="C3139" s="125" t="s">
        <v>506</v>
      </c>
      <c r="D3139" s="125" t="s">
        <v>454</v>
      </c>
      <c r="E3139" s="125" t="s">
        <v>284</v>
      </c>
      <c r="F3139" s="126">
        <v>41685.0</v>
      </c>
      <c r="G3139" s="127">
        <v>9.2E8</v>
      </c>
      <c r="H3139" s="126">
        <v>41685.0</v>
      </c>
      <c r="I3139" s="128">
        <v>5660.0</v>
      </c>
      <c r="J3139" s="128">
        <v>154.06</v>
      </c>
      <c r="K3139" s="128">
        <v>90.93</v>
      </c>
      <c r="L3139" s="128">
        <v>871979.6</v>
      </c>
      <c r="M3139" s="128">
        <v>514663.8</v>
      </c>
      <c r="N3139" s="128">
        <v>357315.8</v>
      </c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</row>
    <row r="3140">
      <c r="A3140" s="125" t="s">
        <v>461</v>
      </c>
      <c r="B3140" s="125" t="s">
        <v>611</v>
      </c>
      <c r="C3140" s="125" t="s">
        <v>506</v>
      </c>
      <c r="D3140" s="125" t="s">
        <v>457</v>
      </c>
      <c r="E3140" s="125" t="s">
        <v>189</v>
      </c>
      <c r="F3140" s="126">
        <v>42547.0</v>
      </c>
      <c r="G3140" s="127">
        <v>6.51E8</v>
      </c>
      <c r="H3140" s="126">
        <v>42572.0</v>
      </c>
      <c r="I3140" s="128">
        <v>8050.0</v>
      </c>
      <c r="J3140" s="128">
        <v>154.06</v>
      </c>
      <c r="K3140" s="128">
        <v>90.93</v>
      </c>
      <c r="L3140" s="128">
        <v>1240183.0</v>
      </c>
      <c r="M3140" s="128">
        <v>731986.5</v>
      </c>
      <c r="N3140" s="128">
        <v>508196.5</v>
      </c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</row>
    <row r="3141">
      <c r="A3141" s="125" t="s">
        <v>475</v>
      </c>
      <c r="B3141" s="125" t="s">
        <v>507</v>
      </c>
      <c r="C3141" s="125" t="s">
        <v>471</v>
      </c>
      <c r="D3141" s="125" t="s">
        <v>457</v>
      </c>
      <c r="E3141" s="125" t="s">
        <v>472</v>
      </c>
      <c r="F3141" s="126">
        <v>42323.0</v>
      </c>
      <c r="G3141" s="127">
        <v>7.8E8</v>
      </c>
      <c r="H3141" s="126">
        <v>42367.0</v>
      </c>
      <c r="I3141" s="128">
        <v>8151.0</v>
      </c>
      <c r="J3141" s="128">
        <v>109.28</v>
      </c>
      <c r="K3141" s="128">
        <v>35.84</v>
      </c>
      <c r="L3141" s="128">
        <v>890741.3</v>
      </c>
      <c r="M3141" s="128">
        <v>292131.8</v>
      </c>
      <c r="N3141" s="128">
        <v>598609.4</v>
      </c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</row>
    <row r="3142">
      <c r="A3142" s="125" t="s">
        <v>475</v>
      </c>
      <c r="B3142" s="125" t="s">
        <v>513</v>
      </c>
      <c r="C3142" s="125" t="s">
        <v>494</v>
      </c>
      <c r="D3142" s="125" t="s">
        <v>457</v>
      </c>
      <c r="E3142" s="125" t="s">
        <v>284</v>
      </c>
      <c r="F3142" s="126">
        <v>42155.0</v>
      </c>
      <c r="G3142" s="127">
        <v>6.45E8</v>
      </c>
      <c r="H3142" s="126">
        <v>42196.0</v>
      </c>
      <c r="I3142" s="128">
        <v>9561.0</v>
      </c>
      <c r="J3142" s="128">
        <v>9.33</v>
      </c>
      <c r="K3142" s="128">
        <v>6.92</v>
      </c>
      <c r="L3142" s="128">
        <v>89204.13</v>
      </c>
      <c r="M3142" s="128">
        <v>66162.12</v>
      </c>
      <c r="N3142" s="128">
        <v>23042.01</v>
      </c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</row>
    <row r="3143">
      <c r="A3143" s="125" t="s">
        <v>475</v>
      </c>
      <c r="B3143" s="125" t="s">
        <v>571</v>
      </c>
      <c r="C3143" s="125" t="s">
        <v>485</v>
      </c>
      <c r="D3143" s="125" t="s">
        <v>454</v>
      </c>
      <c r="E3143" s="125" t="s">
        <v>284</v>
      </c>
      <c r="F3143" s="126">
        <v>42189.0</v>
      </c>
      <c r="G3143" s="127">
        <v>5.5E8</v>
      </c>
      <c r="H3143" s="126">
        <v>42231.0</v>
      </c>
      <c r="I3143" s="128">
        <v>2910.0</v>
      </c>
      <c r="J3143" s="128">
        <v>421.89</v>
      </c>
      <c r="K3143" s="128">
        <v>364.69</v>
      </c>
      <c r="L3143" s="128">
        <v>1227700.0</v>
      </c>
      <c r="M3143" s="128">
        <v>1061248.0</v>
      </c>
      <c r="N3143" s="128">
        <v>166452.0</v>
      </c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</row>
    <row r="3144">
      <c r="A3144" s="125" t="s">
        <v>466</v>
      </c>
      <c r="B3144" s="125" t="s">
        <v>584</v>
      </c>
      <c r="C3144" s="125" t="s">
        <v>453</v>
      </c>
      <c r="D3144" s="125" t="s">
        <v>457</v>
      </c>
      <c r="E3144" s="125" t="s">
        <v>472</v>
      </c>
      <c r="F3144" s="126">
        <v>40196.0</v>
      </c>
      <c r="G3144" s="127">
        <v>4.24E8</v>
      </c>
      <c r="H3144" s="126">
        <v>40229.0</v>
      </c>
      <c r="I3144" s="128">
        <v>860.0</v>
      </c>
      <c r="J3144" s="128">
        <v>255.28</v>
      </c>
      <c r="K3144" s="128">
        <v>159.42</v>
      </c>
      <c r="L3144" s="128">
        <v>219540.8</v>
      </c>
      <c r="M3144" s="128">
        <v>137101.2</v>
      </c>
      <c r="N3144" s="128">
        <v>82439.6</v>
      </c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</row>
    <row r="3145">
      <c r="A3145" s="125" t="s">
        <v>458</v>
      </c>
      <c r="B3145" s="125" t="s">
        <v>606</v>
      </c>
      <c r="C3145" s="125" t="s">
        <v>494</v>
      </c>
      <c r="D3145" s="125" t="s">
        <v>457</v>
      </c>
      <c r="E3145" s="125" t="s">
        <v>472</v>
      </c>
      <c r="F3145" s="126">
        <v>41249.0</v>
      </c>
      <c r="G3145" s="127">
        <v>2.62E8</v>
      </c>
      <c r="H3145" s="126">
        <v>41290.0</v>
      </c>
      <c r="I3145" s="128">
        <v>3103.0</v>
      </c>
      <c r="J3145" s="128">
        <v>9.33</v>
      </c>
      <c r="K3145" s="128">
        <v>6.92</v>
      </c>
      <c r="L3145" s="128">
        <v>28950.99</v>
      </c>
      <c r="M3145" s="128">
        <v>21472.76</v>
      </c>
      <c r="N3145" s="128">
        <v>7478.23</v>
      </c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</row>
    <row r="3146">
      <c r="A3146" s="125" t="s">
        <v>458</v>
      </c>
      <c r="B3146" s="125" t="s">
        <v>631</v>
      </c>
      <c r="C3146" s="125" t="s">
        <v>514</v>
      </c>
      <c r="D3146" s="125" t="s">
        <v>454</v>
      </c>
      <c r="E3146" s="125" t="s">
        <v>464</v>
      </c>
      <c r="F3146" s="126">
        <v>42515.0</v>
      </c>
      <c r="G3146" s="127">
        <v>5.83E8</v>
      </c>
      <c r="H3146" s="126">
        <v>42518.0</v>
      </c>
      <c r="I3146" s="128">
        <v>1362.0</v>
      </c>
      <c r="J3146" s="128">
        <v>668.27</v>
      </c>
      <c r="K3146" s="128">
        <v>502.54</v>
      </c>
      <c r="L3146" s="128">
        <v>910183.7</v>
      </c>
      <c r="M3146" s="128">
        <v>684459.5</v>
      </c>
      <c r="N3146" s="128">
        <v>225724.3</v>
      </c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</row>
    <row r="3147">
      <c r="A3147" s="125" t="s">
        <v>451</v>
      </c>
      <c r="B3147" s="125" t="s">
        <v>490</v>
      </c>
      <c r="C3147" s="125" t="s">
        <v>514</v>
      </c>
      <c r="D3147" s="125" t="s">
        <v>454</v>
      </c>
      <c r="E3147" s="125" t="s">
        <v>472</v>
      </c>
      <c r="F3147" s="126">
        <v>42930.0</v>
      </c>
      <c r="G3147" s="127">
        <v>1.73E8</v>
      </c>
      <c r="H3147" s="126">
        <v>42978.0</v>
      </c>
      <c r="I3147" s="128">
        <v>4392.0</v>
      </c>
      <c r="J3147" s="128">
        <v>668.27</v>
      </c>
      <c r="K3147" s="128">
        <v>502.54</v>
      </c>
      <c r="L3147" s="128">
        <v>2935042.0</v>
      </c>
      <c r="M3147" s="128">
        <v>2207156.0</v>
      </c>
      <c r="N3147" s="128">
        <v>727886.2</v>
      </c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</row>
    <row r="3148">
      <c r="A3148" s="125" t="s">
        <v>458</v>
      </c>
      <c r="B3148" s="125" t="s">
        <v>582</v>
      </c>
      <c r="C3148" s="125" t="s">
        <v>506</v>
      </c>
      <c r="D3148" s="125" t="s">
        <v>454</v>
      </c>
      <c r="E3148" s="125" t="s">
        <v>472</v>
      </c>
      <c r="F3148" s="126">
        <v>41821.0</v>
      </c>
      <c r="G3148" s="127">
        <v>1.4E8</v>
      </c>
      <c r="H3148" s="126">
        <v>41834.0</v>
      </c>
      <c r="I3148" s="128">
        <v>2980.0</v>
      </c>
      <c r="J3148" s="128">
        <v>154.06</v>
      </c>
      <c r="K3148" s="128">
        <v>90.93</v>
      </c>
      <c r="L3148" s="128">
        <v>459098.8</v>
      </c>
      <c r="M3148" s="128">
        <v>270971.4</v>
      </c>
      <c r="N3148" s="128">
        <v>188127.4</v>
      </c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</row>
    <row r="3149">
      <c r="A3149" s="125" t="s">
        <v>475</v>
      </c>
      <c r="B3149" s="125" t="s">
        <v>649</v>
      </c>
      <c r="C3149" s="125" t="s">
        <v>460</v>
      </c>
      <c r="D3149" s="125" t="s">
        <v>457</v>
      </c>
      <c r="E3149" s="125" t="s">
        <v>464</v>
      </c>
      <c r="F3149" s="126">
        <v>40284.0</v>
      </c>
      <c r="G3149" s="127">
        <v>7.63E8</v>
      </c>
      <c r="H3149" s="126">
        <v>40315.0</v>
      </c>
      <c r="I3149" s="128">
        <v>4942.0</v>
      </c>
      <c r="J3149" s="128">
        <v>47.45</v>
      </c>
      <c r="K3149" s="128">
        <v>31.79</v>
      </c>
      <c r="L3149" s="128">
        <v>234497.9</v>
      </c>
      <c r="M3149" s="128">
        <v>157106.2</v>
      </c>
      <c r="N3149" s="128">
        <v>77391.72</v>
      </c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</row>
    <row r="3150">
      <c r="A3150" s="125" t="s">
        <v>469</v>
      </c>
      <c r="B3150" s="125" t="s">
        <v>501</v>
      </c>
      <c r="C3150" s="125" t="s">
        <v>485</v>
      </c>
      <c r="D3150" s="125" t="s">
        <v>457</v>
      </c>
      <c r="E3150" s="125" t="s">
        <v>284</v>
      </c>
      <c r="F3150" s="126">
        <v>42574.0</v>
      </c>
      <c r="G3150" s="127">
        <v>1.4E8</v>
      </c>
      <c r="H3150" s="126">
        <v>42615.0</v>
      </c>
      <c r="I3150" s="128">
        <v>128.0</v>
      </c>
      <c r="J3150" s="128">
        <v>421.89</v>
      </c>
      <c r="K3150" s="128">
        <v>364.69</v>
      </c>
      <c r="L3150" s="128">
        <v>54001.92</v>
      </c>
      <c r="M3150" s="128">
        <v>46680.32</v>
      </c>
      <c r="N3150" s="128">
        <v>7321.6</v>
      </c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</row>
    <row r="3151">
      <c r="A3151" s="125" t="s">
        <v>451</v>
      </c>
      <c r="B3151" s="125" t="s">
        <v>608</v>
      </c>
      <c r="C3151" s="125" t="s">
        <v>463</v>
      </c>
      <c r="D3151" s="125" t="s">
        <v>457</v>
      </c>
      <c r="E3151" s="125" t="s">
        <v>284</v>
      </c>
      <c r="F3151" s="126">
        <v>40885.0</v>
      </c>
      <c r="G3151" s="127">
        <v>9.4E8</v>
      </c>
      <c r="H3151" s="126">
        <v>40909.0</v>
      </c>
      <c r="I3151" s="128">
        <v>5417.0</v>
      </c>
      <c r="J3151" s="128">
        <v>205.7</v>
      </c>
      <c r="K3151" s="128">
        <v>117.11</v>
      </c>
      <c r="L3151" s="128">
        <v>1114277.0</v>
      </c>
      <c r="M3151" s="128">
        <v>634384.9</v>
      </c>
      <c r="N3151" s="128">
        <v>479892.0</v>
      </c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</row>
    <row r="3152">
      <c r="A3152" s="125" t="s">
        <v>469</v>
      </c>
      <c r="B3152" s="125" t="s">
        <v>632</v>
      </c>
      <c r="C3152" s="125" t="s">
        <v>468</v>
      </c>
      <c r="D3152" s="125" t="s">
        <v>457</v>
      </c>
      <c r="E3152" s="125" t="s">
        <v>189</v>
      </c>
      <c r="F3152" s="126">
        <v>41631.0</v>
      </c>
      <c r="G3152" s="127">
        <v>9.52E8</v>
      </c>
      <c r="H3152" s="126">
        <v>41654.0</v>
      </c>
      <c r="I3152" s="128">
        <v>9720.0</v>
      </c>
      <c r="J3152" s="128">
        <v>81.73</v>
      </c>
      <c r="K3152" s="128">
        <v>56.67</v>
      </c>
      <c r="L3152" s="128">
        <v>794415.6</v>
      </c>
      <c r="M3152" s="128">
        <v>550832.4</v>
      </c>
      <c r="N3152" s="128">
        <v>243583.2</v>
      </c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</row>
    <row r="3153">
      <c r="A3153" s="125" t="s">
        <v>469</v>
      </c>
      <c r="B3153" s="125" t="s">
        <v>519</v>
      </c>
      <c r="C3153" s="125" t="s">
        <v>460</v>
      </c>
      <c r="D3153" s="125" t="s">
        <v>454</v>
      </c>
      <c r="E3153" s="125" t="s">
        <v>189</v>
      </c>
      <c r="F3153" s="126">
        <v>41935.0</v>
      </c>
      <c r="G3153" s="127">
        <v>7.36E8</v>
      </c>
      <c r="H3153" s="126">
        <v>41956.0</v>
      </c>
      <c r="I3153" s="128">
        <v>8981.0</v>
      </c>
      <c r="J3153" s="128">
        <v>47.45</v>
      </c>
      <c r="K3153" s="128">
        <v>31.79</v>
      </c>
      <c r="L3153" s="128">
        <v>426148.5</v>
      </c>
      <c r="M3153" s="128">
        <v>285506.0</v>
      </c>
      <c r="N3153" s="128">
        <v>140642.5</v>
      </c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</row>
    <row r="3154">
      <c r="A3154" s="125" t="s">
        <v>458</v>
      </c>
      <c r="B3154" s="125" t="s">
        <v>594</v>
      </c>
      <c r="C3154" s="125" t="s">
        <v>471</v>
      </c>
      <c r="D3154" s="125" t="s">
        <v>457</v>
      </c>
      <c r="E3154" s="125" t="s">
        <v>472</v>
      </c>
      <c r="F3154" s="126">
        <v>42072.0</v>
      </c>
      <c r="G3154" s="127">
        <v>4.71E8</v>
      </c>
      <c r="H3154" s="126">
        <v>42084.0</v>
      </c>
      <c r="I3154" s="128">
        <v>1172.0</v>
      </c>
      <c r="J3154" s="128">
        <v>109.28</v>
      </c>
      <c r="K3154" s="128">
        <v>35.84</v>
      </c>
      <c r="L3154" s="128">
        <v>128076.2</v>
      </c>
      <c r="M3154" s="128">
        <v>42004.48</v>
      </c>
      <c r="N3154" s="128">
        <v>86071.68</v>
      </c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</row>
    <row r="3155">
      <c r="A3155" s="125" t="s">
        <v>461</v>
      </c>
      <c r="B3155" s="125" t="s">
        <v>525</v>
      </c>
      <c r="C3155" s="125" t="s">
        <v>460</v>
      </c>
      <c r="D3155" s="125" t="s">
        <v>454</v>
      </c>
      <c r="E3155" s="125" t="s">
        <v>472</v>
      </c>
      <c r="F3155" s="126">
        <v>41326.0</v>
      </c>
      <c r="G3155" s="127">
        <v>4.06E8</v>
      </c>
      <c r="H3155" s="126">
        <v>41356.0</v>
      </c>
      <c r="I3155" s="128">
        <v>1298.0</v>
      </c>
      <c r="J3155" s="128">
        <v>47.45</v>
      </c>
      <c r="K3155" s="128">
        <v>31.79</v>
      </c>
      <c r="L3155" s="128">
        <v>61590.1</v>
      </c>
      <c r="M3155" s="128">
        <v>41263.42</v>
      </c>
      <c r="N3155" s="128">
        <v>20326.68</v>
      </c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</row>
    <row r="3156">
      <c r="A3156" s="125" t="s">
        <v>458</v>
      </c>
      <c r="B3156" s="125" t="s">
        <v>486</v>
      </c>
      <c r="C3156" s="125" t="s">
        <v>460</v>
      </c>
      <c r="D3156" s="125" t="s">
        <v>457</v>
      </c>
      <c r="E3156" s="125" t="s">
        <v>284</v>
      </c>
      <c r="F3156" s="126">
        <v>42134.0</v>
      </c>
      <c r="G3156" s="127">
        <v>4.14E8</v>
      </c>
      <c r="H3156" s="126">
        <v>42155.0</v>
      </c>
      <c r="I3156" s="128">
        <v>6395.0</v>
      </c>
      <c r="J3156" s="128">
        <v>47.45</v>
      </c>
      <c r="K3156" s="128">
        <v>31.79</v>
      </c>
      <c r="L3156" s="128">
        <v>303442.8</v>
      </c>
      <c r="M3156" s="128">
        <v>203297.1</v>
      </c>
      <c r="N3156" s="128">
        <v>100145.7</v>
      </c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</row>
    <row r="3157">
      <c r="A3157" s="125" t="s">
        <v>458</v>
      </c>
      <c r="B3157" s="125" t="s">
        <v>622</v>
      </c>
      <c r="C3157" s="125" t="s">
        <v>478</v>
      </c>
      <c r="D3157" s="125" t="s">
        <v>457</v>
      </c>
      <c r="E3157" s="125" t="s">
        <v>464</v>
      </c>
      <c r="F3157" s="126">
        <v>40409.0</v>
      </c>
      <c r="G3157" s="127">
        <v>4.34E8</v>
      </c>
      <c r="H3157" s="126">
        <v>40429.0</v>
      </c>
      <c r="I3157" s="128">
        <v>532.0</v>
      </c>
      <c r="J3157" s="128">
        <v>651.21</v>
      </c>
      <c r="K3157" s="128">
        <v>524.96</v>
      </c>
      <c r="L3157" s="128">
        <v>346443.7</v>
      </c>
      <c r="M3157" s="128">
        <v>279278.7</v>
      </c>
      <c r="N3157" s="128">
        <v>67165.0</v>
      </c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</row>
    <row r="3158">
      <c r="A3158" s="125" t="s">
        <v>488</v>
      </c>
      <c r="B3158" s="125" t="s">
        <v>489</v>
      </c>
      <c r="C3158" s="125" t="s">
        <v>471</v>
      </c>
      <c r="D3158" s="125" t="s">
        <v>457</v>
      </c>
      <c r="E3158" s="125" t="s">
        <v>472</v>
      </c>
      <c r="F3158" s="126">
        <v>40749.0</v>
      </c>
      <c r="G3158" s="127">
        <v>9.27E8</v>
      </c>
      <c r="H3158" s="126">
        <v>40775.0</v>
      </c>
      <c r="I3158" s="128">
        <v>9806.0</v>
      </c>
      <c r="J3158" s="128">
        <v>109.28</v>
      </c>
      <c r="K3158" s="128">
        <v>35.84</v>
      </c>
      <c r="L3158" s="128">
        <v>1071600.0</v>
      </c>
      <c r="M3158" s="128">
        <v>351447.0</v>
      </c>
      <c r="N3158" s="128">
        <v>720152.6</v>
      </c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</row>
    <row r="3159">
      <c r="A3159" s="125" t="s">
        <v>458</v>
      </c>
      <c r="B3159" s="125" t="s">
        <v>538</v>
      </c>
      <c r="C3159" s="125" t="s">
        <v>478</v>
      </c>
      <c r="D3159" s="125" t="s">
        <v>454</v>
      </c>
      <c r="E3159" s="125" t="s">
        <v>284</v>
      </c>
      <c r="F3159" s="126">
        <v>41227.0</v>
      </c>
      <c r="G3159" s="127">
        <v>6.24E8</v>
      </c>
      <c r="H3159" s="126">
        <v>41251.0</v>
      </c>
      <c r="I3159" s="128">
        <v>7347.0</v>
      </c>
      <c r="J3159" s="128">
        <v>651.21</v>
      </c>
      <c r="K3159" s="128">
        <v>524.96</v>
      </c>
      <c r="L3159" s="128">
        <v>4784440.0</v>
      </c>
      <c r="M3159" s="128">
        <v>3856881.0</v>
      </c>
      <c r="N3159" s="128">
        <v>927558.8</v>
      </c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</row>
    <row r="3160">
      <c r="A3160" s="125" t="s">
        <v>475</v>
      </c>
      <c r="B3160" s="125" t="s">
        <v>526</v>
      </c>
      <c r="C3160" s="125" t="s">
        <v>514</v>
      </c>
      <c r="D3160" s="125" t="s">
        <v>454</v>
      </c>
      <c r="E3160" s="125" t="s">
        <v>284</v>
      </c>
      <c r="F3160" s="126">
        <v>40304.0</v>
      </c>
      <c r="G3160" s="127">
        <v>5.78E8</v>
      </c>
      <c r="H3160" s="126">
        <v>40318.0</v>
      </c>
      <c r="I3160" s="128">
        <v>8317.0</v>
      </c>
      <c r="J3160" s="128">
        <v>668.27</v>
      </c>
      <c r="K3160" s="128">
        <v>502.54</v>
      </c>
      <c r="L3160" s="128">
        <v>5558002.0</v>
      </c>
      <c r="M3160" s="128">
        <v>4179625.0</v>
      </c>
      <c r="N3160" s="128">
        <v>1378376.0</v>
      </c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</row>
    <row r="3161">
      <c r="A3161" s="125" t="s">
        <v>458</v>
      </c>
      <c r="B3161" s="125" t="s">
        <v>547</v>
      </c>
      <c r="C3161" s="125" t="s">
        <v>471</v>
      </c>
      <c r="D3161" s="125" t="s">
        <v>457</v>
      </c>
      <c r="E3161" s="125" t="s">
        <v>189</v>
      </c>
      <c r="F3161" s="126">
        <v>40980.0</v>
      </c>
      <c r="G3161" s="127">
        <v>1.1E8</v>
      </c>
      <c r="H3161" s="126">
        <v>41015.0</v>
      </c>
      <c r="I3161" s="128">
        <v>4908.0</v>
      </c>
      <c r="J3161" s="128">
        <v>109.28</v>
      </c>
      <c r="K3161" s="128">
        <v>35.84</v>
      </c>
      <c r="L3161" s="128">
        <v>536346.2</v>
      </c>
      <c r="M3161" s="128">
        <v>175902.7</v>
      </c>
      <c r="N3161" s="128">
        <v>360443.5</v>
      </c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</row>
    <row r="3162">
      <c r="A3162" s="125" t="s">
        <v>466</v>
      </c>
      <c r="B3162" s="125" t="s">
        <v>479</v>
      </c>
      <c r="C3162" s="125" t="s">
        <v>471</v>
      </c>
      <c r="D3162" s="125" t="s">
        <v>454</v>
      </c>
      <c r="E3162" s="125" t="s">
        <v>472</v>
      </c>
      <c r="F3162" s="126">
        <v>41113.0</v>
      </c>
      <c r="G3162" s="127">
        <v>8.62E8</v>
      </c>
      <c r="H3162" s="126">
        <v>41151.0</v>
      </c>
      <c r="I3162" s="128">
        <v>1343.0</v>
      </c>
      <c r="J3162" s="128">
        <v>109.28</v>
      </c>
      <c r="K3162" s="128">
        <v>35.84</v>
      </c>
      <c r="L3162" s="128">
        <v>146763.0</v>
      </c>
      <c r="M3162" s="128">
        <v>48133.12</v>
      </c>
      <c r="N3162" s="128">
        <v>98629.92</v>
      </c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</row>
    <row r="3163">
      <c r="A3163" s="125" t="s">
        <v>458</v>
      </c>
      <c r="B3163" s="125" t="s">
        <v>653</v>
      </c>
      <c r="C3163" s="125" t="s">
        <v>456</v>
      </c>
      <c r="D3163" s="125" t="s">
        <v>454</v>
      </c>
      <c r="E3163" s="125" t="s">
        <v>284</v>
      </c>
      <c r="F3163" s="126">
        <v>40329.0</v>
      </c>
      <c r="G3163" s="127">
        <v>9.47E8</v>
      </c>
      <c r="H3163" s="126">
        <v>40341.0</v>
      </c>
      <c r="I3163" s="128">
        <v>8878.0</v>
      </c>
      <c r="J3163" s="128">
        <v>152.58</v>
      </c>
      <c r="K3163" s="128">
        <v>97.44</v>
      </c>
      <c r="L3163" s="128">
        <v>1354605.0</v>
      </c>
      <c r="M3163" s="128">
        <v>865072.3</v>
      </c>
      <c r="N3163" s="128">
        <v>489532.9</v>
      </c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</row>
    <row r="3164">
      <c r="A3164" s="125" t="s">
        <v>469</v>
      </c>
      <c r="B3164" s="125" t="s">
        <v>495</v>
      </c>
      <c r="C3164" s="125" t="s">
        <v>460</v>
      </c>
      <c r="D3164" s="125" t="s">
        <v>457</v>
      </c>
      <c r="E3164" s="125" t="s">
        <v>189</v>
      </c>
      <c r="F3164" s="126">
        <v>41413.0</v>
      </c>
      <c r="G3164" s="127">
        <v>7.98E8</v>
      </c>
      <c r="H3164" s="126">
        <v>41423.0</v>
      </c>
      <c r="I3164" s="128">
        <v>798.0</v>
      </c>
      <c r="J3164" s="128">
        <v>47.45</v>
      </c>
      <c r="K3164" s="128">
        <v>31.79</v>
      </c>
      <c r="L3164" s="128">
        <v>37865.1</v>
      </c>
      <c r="M3164" s="128">
        <v>25368.42</v>
      </c>
      <c r="N3164" s="128">
        <v>12496.68</v>
      </c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</row>
    <row r="3165">
      <c r="A3165" s="125" t="s">
        <v>451</v>
      </c>
      <c r="B3165" s="125" t="s">
        <v>455</v>
      </c>
      <c r="C3165" s="125" t="s">
        <v>463</v>
      </c>
      <c r="D3165" s="125" t="s">
        <v>457</v>
      </c>
      <c r="E3165" s="125" t="s">
        <v>284</v>
      </c>
      <c r="F3165" s="126">
        <v>40623.0</v>
      </c>
      <c r="G3165" s="127">
        <v>9.17E8</v>
      </c>
      <c r="H3165" s="126">
        <v>40647.0</v>
      </c>
      <c r="I3165" s="128">
        <v>7421.0</v>
      </c>
      <c r="J3165" s="128">
        <v>205.7</v>
      </c>
      <c r="K3165" s="128">
        <v>117.11</v>
      </c>
      <c r="L3165" s="128">
        <v>1526500.0</v>
      </c>
      <c r="M3165" s="128">
        <v>869073.3</v>
      </c>
      <c r="N3165" s="128">
        <v>657426.4</v>
      </c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</row>
    <row r="3166">
      <c r="A3166" s="125" t="s">
        <v>475</v>
      </c>
      <c r="B3166" s="125" t="s">
        <v>521</v>
      </c>
      <c r="C3166" s="125" t="s">
        <v>460</v>
      </c>
      <c r="D3166" s="125" t="s">
        <v>457</v>
      </c>
      <c r="E3166" s="125" t="s">
        <v>284</v>
      </c>
      <c r="F3166" s="126">
        <v>42903.0</v>
      </c>
      <c r="G3166" s="127">
        <v>5.3E8</v>
      </c>
      <c r="H3166" s="126">
        <v>42910.0</v>
      </c>
      <c r="I3166" s="128">
        <v>1095.0</v>
      </c>
      <c r="J3166" s="128">
        <v>47.45</v>
      </c>
      <c r="K3166" s="128">
        <v>31.79</v>
      </c>
      <c r="L3166" s="128">
        <v>51957.75</v>
      </c>
      <c r="M3166" s="128">
        <v>34810.05</v>
      </c>
      <c r="N3166" s="128">
        <v>17147.7</v>
      </c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</row>
    <row r="3167">
      <c r="A3167" s="125" t="s">
        <v>469</v>
      </c>
      <c r="B3167" s="125" t="s">
        <v>530</v>
      </c>
      <c r="C3167" s="125" t="s">
        <v>506</v>
      </c>
      <c r="D3167" s="125" t="s">
        <v>457</v>
      </c>
      <c r="E3167" s="125" t="s">
        <v>464</v>
      </c>
      <c r="F3167" s="126">
        <v>41139.0</v>
      </c>
      <c r="G3167" s="127">
        <v>7.28E8</v>
      </c>
      <c r="H3167" s="126">
        <v>41142.0</v>
      </c>
      <c r="I3167" s="128">
        <v>1201.0</v>
      </c>
      <c r="J3167" s="128">
        <v>154.06</v>
      </c>
      <c r="K3167" s="128">
        <v>90.93</v>
      </c>
      <c r="L3167" s="128">
        <v>185026.1</v>
      </c>
      <c r="M3167" s="128">
        <v>109206.9</v>
      </c>
      <c r="N3167" s="128">
        <v>75819.13</v>
      </c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</row>
    <row r="3168">
      <c r="A3168" s="125" t="s">
        <v>466</v>
      </c>
      <c r="B3168" s="125" t="s">
        <v>492</v>
      </c>
      <c r="C3168" s="125" t="s">
        <v>453</v>
      </c>
      <c r="D3168" s="125" t="s">
        <v>457</v>
      </c>
      <c r="E3168" s="125" t="s">
        <v>472</v>
      </c>
      <c r="F3168" s="126">
        <v>42437.0</v>
      </c>
      <c r="G3168" s="127">
        <v>4.26E8</v>
      </c>
      <c r="H3168" s="126">
        <v>42455.0</v>
      </c>
      <c r="I3168" s="128">
        <v>9150.0</v>
      </c>
      <c r="J3168" s="128">
        <v>255.28</v>
      </c>
      <c r="K3168" s="128">
        <v>159.42</v>
      </c>
      <c r="L3168" s="128">
        <v>2335812.0</v>
      </c>
      <c r="M3168" s="128">
        <v>1458693.0</v>
      </c>
      <c r="N3168" s="128">
        <v>877119.0</v>
      </c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</row>
    <row r="3169">
      <c r="A3169" s="125" t="s">
        <v>458</v>
      </c>
      <c r="B3169" s="125" t="s">
        <v>473</v>
      </c>
      <c r="C3169" s="125" t="s">
        <v>468</v>
      </c>
      <c r="D3169" s="125" t="s">
        <v>454</v>
      </c>
      <c r="E3169" s="125" t="s">
        <v>464</v>
      </c>
      <c r="F3169" s="126">
        <v>41844.0</v>
      </c>
      <c r="G3169" s="127">
        <v>4.1E8</v>
      </c>
      <c r="H3169" s="126">
        <v>41889.0</v>
      </c>
      <c r="I3169" s="128">
        <v>3383.0</v>
      </c>
      <c r="J3169" s="128">
        <v>81.73</v>
      </c>
      <c r="K3169" s="128">
        <v>56.67</v>
      </c>
      <c r="L3169" s="128">
        <v>276492.6</v>
      </c>
      <c r="M3169" s="128">
        <v>191714.6</v>
      </c>
      <c r="N3169" s="128">
        <v>84777.98</v>
      </c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</row>
    <row r="3170">
      <c r="A3170" s="125" t="s">
        <v>458</v>
      </c>
      <c r="B3170" s="125" t="s">
        <v>540</v>
      </c>
      <c r="C3170" s="125" t="s">
        <v>478</v>
      </c>
      <c r="D3170" s="125" t="s">
        <v>454</v>
      </c>
      <c r="E3170" s="125" t="s">
        <v>464</v>
      </c>
      <c r="F3170" s="126">
        <v>40329.0</v>
      </c>
      <c r="G3170" s="127">
        <v>1.82E8</v>
      </c>
      <c r="H3170" s="126">
        <v>40371.0</v>
      </c>
      <c r="I3170" s="128">
        <v>4375.0</v>
      </c>
      <c r="J3170" s="128">
        <v>651.21</v>
      </c>
      <c r="K3170" s="128">
        <v>524.96</v>
      </c>
      <c r="L3170" s="128">
        <v>2849044.0</v>
      </c>
      <c r="M3170" s="128">
        <v>2296700.0</v>
      </c>
      <c r="N3170" s="128">
        <v>552343.8</v>
      </c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</row>
    <row r="3171">
      <c r="A3171" s="125" t="s">
        <v>475</v>
      </c>
      <c r="B3171" s="125" t="s">
        <v>591</v>
      </c>
      <c r="C3171" s="125" t="s">
        <v>494</v>
      </c>
      <c r="D3171" s="125" t="s">
        <v>457</v>
      </c>
      <c r="E3171" s="125" t="s">
        <v>284</v>
      </c>
      <c r="F3171" s="126">
        <v>40631.0</v>
      </c>
      <c r="G3171" s="127">
        <v>2.19E8</v>
      </c>
      <c r="H3171" s="126">
        <v>40636.0</v>
      </c>
      <c r="I3171" s="128">
        <v>9631.0</v>
      </c>
      <c r="J3171" s="128">
        <v>9.33</v>
      </c>
      <c r="K3171" s="128">
        <v>6.92</v>
      </c>
      <c r="L3171" s="128">
        <v>89857.23</v>
      </c>
      <c r="M3171" s="128">
        <v>66646.52</v>
      </c>
      <c r="N3171" s="128">
        <v>23210.71</v>
      </c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</row>
    <row r="3172">
      <c r="A3172" s="125" t="s">
        <v>475</v>
      </c>
      <c r="B3172" s="125" t="s">
        <v>532</v>
      </c>
      <c r="C3172" s="125" t="s">
        <v>463</v>
      </c>
      <c r="D3172" s="125" t="s">
        <v>457</v>
      </c>
      <c r="E3172" s="125" t="s">
        <v>189</v>
      </c>
      <c r="F3172" s="126">
        <v>40349.0</v>
      </c>
      <c r="G3172" s="127">
        <v>6.17E8</v>
      </c>
      <c r="H3172" s="126">
        <v>40393.0</v>
      </c>
      <c r="I3172" s="128">
        <v>8686.0</v>
      </c>
      <c r="J3172" s="128">
        <v>205.7</v>
      </c>
      <c r="K3172" s="128">
        <v>117.11</v>
      </c>
      <c r="L3172" s="128">
        <v>1786710.0</v>
      </c>
      <c r="M3172" s="128">
        <v>1017217.0</v>
      </c>
      <c r="N3172" s="128">
        <v>769492.7</v>
      </c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</row>
    <row r="3173">
      <c r="A3173" s="125" t="s">
        <v>475</v>
      </c>
      <c r="B3173" s="125" t="s">
        <v>648</v>
      </c>
      <c r="C3173" s="125" t="s">
        <v>468</v>
      </c>
      <c r="D3173" s="125" t="s">
        <v>457</v>
      </c>
      <c r="E3173" s="125" t="s">
        <v>472</v>
      </c>
      <c r="F3173" s="126">
        <v>41618.0</v>
      </c>
      <c r="G3173" s="127">
        <v>6.39E8</v>
      </c>
      <c r="H3173" s="126">
        <v>41623.0</v>
      </c>
      <c r="I3173" s="128">
        <v>8108.0</v>
      </c>
      <c r="J3173" s="128">
        <v>81.73</v>
      </c>
      <c r="K3173" s="128">
        <v>56.67</v>
      </c>
      <c r="L3173" s="128">
        <v>662666.8</v>
      </c>
      <c r="M3173" s="128">
        <v>459480.4</v>
      </c>
      <c r="N3173" s="128">
        <v>203186.5</v>
      </c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</row>
    <row r="3174">
      <c r="A3174" s="125" t="s">
        <v>475</v>
      </c>
      <c r="B3174" s="125" t="s">
        <v>601</v>
      </c>
      <c r="C3174" s="125" t="s">
        <v>468</v>
      </c>
      <c r="D3174" s="125" t="s">
        <v>454</v>
      </c>
      <c r="E3174" s="125" t="s">
        <v>189</v>
      </c>
      <c r="F3174" s="126">
        <v>41429.0</v>
      </c>
      <c r="G3174" s="127">
        <v>9.73E8</v>
      </c>
      <c r="H3174" s="126">
        <v>41479.0</v>
      </c>
      <c r="I3174" s="128">
        <v>6496.0</v>
      </c>
      <c r="J3174" s="128">
        <v>81.73</v>
      </c>
      <c r="K3174" s="128">
        <v>56.67</v>
      </c>
      <c r="L3174" s="128">
        <v>530918.1</v>
      </c>
      <c r="M3174" s="128">
        <v>368128.3</v>
      </c>
      <c r="N3174" s="128">
        <v>162789.8</v>
      </c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</row>
    <row r="3175">
      <c r="A3175" s="125" t="s">
        <v>466</v>
      </c>
      <c r="B3175" s="125" t="s">
        <v>491</v>
      </c>
      <c r="C3175" s="125" t="s">
        <v>468</v>
      </c>
      <c r="D3175" s="125" t="s">
        <v>454</v>
      </c>
      <c r="E3175" s="125" t="s">
        <v>284</v>
      </c>
      <c r="F3175" s="126">
        <v>41313.0</v>
      </c>
      <c r="G3175" s="127">
        <v>5.75E8</v>
      </c>
      <c r="H3175" s="126">
        <v>41339.0</v>
      </c>
      <c r="I3175" s="128">
        <v>9479.0</v>
      </c>
      <c r="J3175" s="128">
        <v>81.73</v>
      </c>
      <c r="K3175" s="128">
        <v>56.67</v>
      </c>
      <c r="L3175" s="128">
        <v>774718.7</v>
      </c>
      <c r="M3175" s="128">
        <v>537174.9</v>
      </c>
      <c r="N3175" s="128">
        <v>237543.7</v>
      </c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</row>
    <row r="3176">
      <c r="A3176" s="125" t="s">
        <v>461</v>
      </c>
      <c r="B3176" s="125" t="s">
        <v>621</v>
      </c>
      <c r="C3176" s="125" t="s">
        <v>478</v>
      </c>
      <c r="D3176" s="125" t="s">
        <v>454</v>
      </c>
      <c r="E3176" s="125" t="s">
        <v>472</v>
      </c>
      <c r="F3176" s="126">
        <v>40423.0</v>
      </c>
      <c r="G3176" s="127">
        <v>7.22E8</v>
      </c>
      <c r="H3176" s="126">
        <v>40470.0</v>
      </c>
      <c r="I3176" s="128">
        <v>4719.0</v>
      </c>
      <c r="J3176" s="128">
        <v>651.21</v>
      </c>
      <c r="K3176" s="128">
        <v>524.96</v>
      </c>
      <c r="L3176" s="128">
        <v>3073060.0</v>
      </c>
      <c r="M3176" s="128">
        <v>2477286.0</v>
      </c>
      <c r="N3176" s="128">
        <v>595773.8</v>
      </c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</row>
    <row r="3177">
      <c r="A3177" s="125" t="s">
        <v>475</v>
      </c>
      <c r="B3177" s="125" t="s">
        <v>562</v>
      </c>
      <c r="C3177" s="125" t="s">
        <v>480</v>
      </c>
      <c r="D3177" s="125" t="s">
        <v>457</v>
      </c>
      <c r="E3177" s="125" t="s">
        <v>472</v>
      </c>
      <c r="F3177" s="126">
        <v>42451.0</v>
      </c>
      <c r="G3177" s="127">
        <v>9.6E8</v>
      </c>
      <c r="H3177" s="126">
        <v>42464.0</v>
      </c>
      <c r="I3177" s="128">
        <v>6908.0</v>
      </c>
      <c r="J3177" s="128">
        <v>437.2</v>
      </c>
      <c r="K3177" s="128">
        <v>263.33</v>
      </c>
      <c r="L3177" s="128">
        <v>3020178.0</v>
      </c>
      <c r="M3177" s="128">
        <v>1819084.0</v>
      </c>
      <c r="N3177" s="128">
        <v>1201094.0</v>
      </c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</row>
    <row r="3178">
      <c r="A3178" s="125" t="s">
        <v>461</v>
      </c>
      <c r="B3178" s="125" t="s">
        <v>511</v>
      </c>
      <c r="C3178" s="125" t="s">
        <v>468</v>
      </c>
      <c r="D3178" s="125" t="s">
        <v>454</v>
      </c>
      <c r="E3178" s="125" t="s">
        <v>472</v>
      </c>
      <c r="F3178" s="126">
        <v>40412.0</v>
      </c>
      <c r="G3178" s="127">
        <v>4.56E8</v>
      </c>
      <c r="H3178" s="126">
        <v>40450.0</v>
      </c>
      <c r="I3178" s="128">
        <v>2769.0</v>
      </c>
      <c r="J3178" s="128">
        <v>81.73</v>
      </c>
      <c r="K3178" s="128">
        <v>56.67</v>
      </c>
      <c r="L3178" s="128">
        <v>226310.4</v>
      </c>
      <c r="M3178" s="128">
        <v>156919.2</v>
      </c>
      <c r="N3178" s="128">
        <v>69391.14</v>
      </c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</row>
    <row r="3179">
      <c r="A3179" s="125" t="s">
        <v>451</v>
      </c>
      <c r="B3179" s="125" t="s">
        <v>593</v>
      </c>
      <c r="C3179" s="125" t="s">
        <v>471</v>
      </c>
      <c r="D3179" s="125" t="s">
        <v>454</v>
      </c>
      <c r="E3179" s="125" t="s">
        <v>189</v>
      </c>
      <c r="F3179" s="126">
        <v>42925.0</v>
      </c>
      <c r="G3179" s="127">
        <v>2.49E8</v>
      </c>
      <c r="H3179" s="126">
        <v>42948.0</v>
      </c>
      <c r="I3179" s="128">
        <v>6058.0</v>
      </c>
      <c r="J3179" s="128">
        <v>109.28</v>
      </c>
      <c r="K3179" s="128">
        <v>35.84</v>
      </c>
      <c r="L3179" s="128">
        <v>662018.2</v>
      </c>
      <c r="M3179" s="128">
        <v>217118.7</v>
      </c>
      <c r="N3179" s="128">
        <v>444899.5</v>
      </c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</row>
    <row r="3180">
      <c r="A3180" s="125" t="s">
        <v>475</v>
      </c>
      <c r="B3180" s="125" t="s">
        <v>624</v>
      </c>
      <c r="C3180" s="125" t="s">
        <v>480</v>
      </c>
      <c r="D3180" s="125" t="s">
        <v>457</v>
      </c>
      <c r="E3180" s="125" t="s">
        <v>189</v>
      </c>
      <c r="F3180" s="126">
        <v>42400.0</v>
      </c>
      <c r="G3180" s="127">
        <v>9.95E8</v>
      </c>
      <c r="H3180" s="126">
        <v>42434.0</v>
      </c>
      <c r="I3180" s="128">
        <v>2561.0</v>
      </c>
      <c r="J3180" s="128">
        <v>437.2</v>
      </c>
      <c r="K3180" s="128">
        <v>263.33</v>
      </c>
      <c r="L3180" s="128">
        <v>1119669.0</v>
      </c>
      <c r="M3180" s="128">
        <v>674388.1</v>
      </c>
      <c r="N3180" s="128">
        <v>445281.1</v>
      </c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</row>
    <row r="3181">
      <c r="A3181" s="125" t="s">
        <v>458</v>
      </c>
      <c r="B3181" s="125" t="s">
        <v>473</v>
      </c>
      <c r="C3181" s="125" t="s">
        <v>514</v>
      </c>
      <c r="D3181" s="125" t="s">
        <v>454</v>
      </c>
      <c r="E3181" s="125" t="s">
        <v>284</v>
      </c>
      <c r="F3181" s="126">
        <v>41318.0</v>
      </c>
      <c r="G3181" s="127">
        <v>7.24E8</v>
      </c>
      <c r="H3181" s="126">
        <v>41344.0</v>
      </c>
      <c r="I3181" s="128">
        <v>5095.0</v>
      </c>
      <c r="J3181" s="128">
        <v>668.27</v>
      </c>
      <c r="K3181" s="128">
        <v>502.54</v>
      </c>
      <c r="L3181" s="128">
        <v>3404836.0</v>
      </c>
      <c r="M3181" s="128">
        <v>2560441.0</v>
      </c>
      <c r="N3181" s="128">
        <v>844394.4</v>
      </c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</row>
    <row r="3182">
      <c r="A3182" s="125" t="s">
        <v>475</v>
      </c>
      <c r="B3182" s="125" t="s">
        <v>604</v>
      </c>
      <c r="C3182" s="125" t="s">
        <v>514</v>
      </c>
      <c r="D3182" s="125" t="s">
        <v>454</v>
      </c>
      <c r="E3182" s="125" t="s">
        <v>284</v>
      </c>
      <c r="F3182" s="126">
        <v>42551.0</v>
      </c>
      <c r="G3182" s="127">
        <v>6.83E8</v>
      </c>
      <c r="H3182" s="126">
        <v>42564.0</v>
      </c>
      <c r="I3182" s="128">
        <v>8508.0</v>
      </c>
      <c r="J3182" s="128">
        <v>668.27</v>
      </c>
      <c r="K3182" s="128">
        <v>502.54</v>
      </c>
      <c r="L3182" s="128">
        <v>5685641.0</v>
      </c>
      <c r="M3182" s="128">
        <v>4275610.0</v>
      </c>
      <c r="N3182" s="128">
        <v>1410031.0</v>
      </c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</row>
    <row r="3183">
      <c r="A3183" s="125" t="s">
        <v>458</v>
      </c>
      <c r="B3183" s="125" t="s">
        <v>563</v>
      </c>
      <c r="C3183" s="125" t="s">
        <v>456</v>
      </c>
      <c r="D3183" s="125" t="s">
        <v>457</v>
      </c>
      <c r="E3183" s="125" t="s">
        <v>464</v>
      </c>
      <c r="F3183" s="126">
        <v>42441.0</v>
      </c>
      <c r="G3183" s="127">
        <v>3.92E8</v>
      </c>
      <c r="H3183" s="126">
        <v>42444.0</v>
      </c>
      <c r="I3183" s="128">
        <v>4681.0</v>
      </c>
      <c r="J3183" s="128">
        <v>152.58</v>
      </c>
      <c r="K3183" s="128">
        <v>97.44</v>
      </c>
      <c r="L3183" s="128">
        <v>714227.0</v>
      </c>
      <c r="M3183" s="128">
        <v>456116.6</v>
      </c>
      <c r="N3183" s="128">
        <v>258110.3</v>
      </c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</row>
    <row r="3184">
      <c r="A3184" s="125" t="s">
        <v>461</v>
      </c>
      <c r="B3184" s="125" t="s">
        <v>525</v>
      </c>
      <c r="C3184" s="125" t="s">
        <v>468</v>
      </c>
      <c r="D3184" s="125" t="s">
        <v>457</v>
      </c>
      <c r="E3184" s="125" t="s">
        <v>472</v>
      </c>
      <c r="F3184" s="126">
        <v>40487.0</v>
      </c>
      <c r="G3184" s="127">
        <v>7.9E8</v>
      </c>
      <c r="H3184" s="126">
        <v>40501.0</v>
      </c>
      <c r="I3184" s="128">
        <v>7525.0</v>
      </c>
      <c r="J3184" s="128">
        <v>81.73</v>
      </c>
      <c r="K3184" s="128">
        <v>56.67</v>
      </c>
      <c r="L3184" s="128">
        <v>615018.3</v>
      </c>
      <c r="M3184" s="128">
        <v>426441.8</v>
      </c>
      <c r="N3184" s="128">
        <v>188576.5</v>
      </c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</row>
    <row r="3185">
      <c r="A3185" s="125" t="s">
        <v>469</v>
      </c>
      <c r="B3185" s="125" t="s">
        <v>569</v>
      </c>
      <c r="C3185" s="125" t="s">
        <v>494</v>
      </c>
      <c r="D3185" s="125" t="s">
        <v>457</v>
      </c>
      <c r="E3185" s="125" t="s">
        <v>189</v>
      </c>
      <c r="F3185" s="126">
        <v>40727.0</v>
      </c>
      <c r="G3185" s="127">
        <v>1.85E8</v>
      </c>
      <c r="H3185" s="126">
        <v>40728.0</v>
      </c>
      <c r="I3185" s="128">
        <v>7981.0</v>
      </c>
      <c r="J3185" s="128">
        <v>9.33</v>
      </c>
      <c r="K3185" s="128">
        <v>6.92</v>
      </c>
      <c r="L3185" s="128">
        <v>74462.73</v>
      </c>
      <c r="M3185" s="128">
        <v>55228.52</v>
      </c>
      <c r="N3185" s="128">
        <v>19234.21</v>
      </c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</row>
    <row r="3186">
      <c r="A3186" s="125" t="s">
        <v>458</v>
      </c>
      <c r="B3186" s="125" t="s">
        <v>652</v>
      </c>
      <c r="C3186" s="125" t="s">
        <v>453</v>
      </c>
      <c r="D3186" s="125" t="s">
        <v>457</v>
      </c>
      <c r="E3186" s="125" t="s">
        <v>284</v>
      </c>
      <c r="F3186" s="126">
        <v>42054.0</v>
      </c>
      <c r="G3186" s="127">
        <v>1.08E8</v>
      </c>
      <c r="H3186" s="126">
        <v>42090.0</v>
      </c>
      <c r="I3186" s="128">
        <v>9025.0</v>
      </c>
      <c r="J3186" s="128">
        <v>255.28</v>
      </c>
      <c r="K3186" s="128">
        <v>159.42</v>
      </c>
      <c r="L3186" s="128">
        <v>2303902.0</v>
      </c>
      <c r="M3186" s="128">
        <v>1438766.0</v>
      </c>
      <c r="N3186" s="128">
        <v>865136.5</v>
      </c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</row>
    <row r="3187">
      <c r="A3187" s="125" t="s">
        <v>461</v>
      </c>
      <c r="B3187" s="125" t="s">
        <v>638</v>
      </c>
      <c r="C3187" s="125" t="s">
        <v>480</v>
      </c>
      <c r="D3187" s="125" t="s">
        <v>457</v>
      </c>
      <c r="E3187" s="125" t="s">
        <v>464</v>
      </c>
      <c r="F3187" s="126">
        <v>42368.0</v>
      </c>
      <c r="G3187" s="127">
        <v>3.59E8</v>
      </c>
      <c r="H3187" s="126">
        <v>42394.0</v>
      </c>
      <c r="I3187" s="128">
        <v>660.0</v>
      </c>
      <c r="J3187" s="128">
        <v>437.2</v>
      </c>
      <c r="K3187" s="128">
        <v>263.33</v>
      </c>
      <c r="L3187" s="128">
        <v>288552.0</v>
      </c>
      <c r="M3187" s="128">
        <v>173797.8</v>
      </c>
      <c r="N3187" s="128">
        <v>114754.2</v>
      </c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</row>
    <row r="3188">
      <c r="A3188" s="125" t="s">
        <v>458</v>
      </c>
      <c r="B3188" s="125" t="s">
        <v>627</v>
      </c>
      <c r="C3188" s="125" t="s">
        <v>456</v>
      </c>
      <c r="D3188" s="125" t="s">
        <v>457</v>
      </c>
      <c r="E3188" s="125" t="s">
        <v>464</v>
      </c>
      <c r="F3188" s="126">
        <v>42724.0</v>
      </c>
      <c r="G3188" s="127">
        <v>3.59E8</v>
      </c>
      <c r="H3188" s="126">
        <v>42768.0</v>
      </c>
      <c r="I3188" s="128">
        <v>4922.0</v>
      </c>
      <c r="J3188" s="128">
        <v>152.58</v>
      </c>
      <c r="K3188" s="128">
        <v>97.44</v>
      </c>
      <c r="L3188" s="128">
        <v>750998.8</v>
      </c>
      <c r="M3188" s="128">
        <v>479599.7</v>
      </c>
      <c r="N3188" s="128">
        <v>271399.1</v>
      </c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</row>
    <row r="3189">
      <c r="A3189" s="125" t="s">
        <v>466</v>
      </c>
      <c r="B3189" s="125" t="s">
        <v>568</v>
      </c>
      <c r="C3189" s="125" t="s">
        <v>463</v>
      </c>
      <c r="D3189" s="125" t="s">
        <v>454</v>
      </c>
      <c r="E3189" s="125" t="s">
        <v>464</v>
      </c>
      <c r="F3189" s="126">
        <v>40417.0</v>
      </c>
      <c r="G3189" s="127">
        <v>4.97E8</v>
      </c>
      <c r="H3189" s="126">
        <v>40465.0</v>
      </c>
      <c r="I3189" s="128">
        <v>880.0</v>
      </c>
      <c r="J3189" s="128">
        <v>205.7</v>
      </c>
      <c r="K3189" s="128">
        <v>117.11</v>
      </c>
      <c r="L3189" s="128">
        <v>181016.0</v>
      </c>
      <c r="M3189" s="128">
        <v>103056.8</v>
      </c>
      <c r="N3189" s="128">
        <v>77959.2</v>
      </c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</row>
    <row r="3190">
      <c r="A3190" s="125" t="s">
        <v>458</v>
      </c>
      <c r="B3190" s="125" t="s">
        <v>573</v>
      </c>
      <c r="C3190" s="125" t="s">
        <v>456</v>
      </c>
      <c r="D3190" s="125" t="s">
        <v>457</v>
      </c>
      <c r="E3190" s="125" t="s">
        <v>284</v>
      </c>
      <c r="F3190" s="126">
        <v>41428.0</v>
      </c>
      <c r="G3190" s="127">
        <v>7.84E8</v>
      </c>
      <c r="H3190" s="126">
        <v>41440.0</v>
      </c>
      <c r="I3190" s="128">
        <v>9631.0</v>
      </c>
      <c r="J3190" s="128">
        <v>152.58</v>
      </c>
      <c r="K3190" s="128">
        <v>97.44</v>
      </c>
      <c r="L3190" s="128">
        <v>1469498.0</v>
      </c>
      <c r="M3190" s="128">
        <v>938444.6</v>
      </c>
      <c r="N3190" s="128">
        <v>531053.3</v>
      </c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</row>
    <row r="3191">
      <c r="A3191" s="125" t="s">
        <v>469</v>
      </c>
      <c r="B3191" s="125" t="s">
        <v>617</v>
      </c>
      <c r="C3191" s="125" t="s">
        <v>460</v>
      </c>
      <c r="D3191" s="125" t="s">
        <v>454</v>
      </c>
      <c r="E3191" s="125" t="s">
        <v>472</v>
      </c>
      <c r="F3191" s="126">
        <v>42447.0</v>
      </c>
      <c r="G3191" s="127">
        <v>4.03E8</v>
      </c>
      <c r="H3191" s="126">
        <v>42496.0</v>
      </c>
      <c r="I3191" s="128">
        <v>9307.0</v>
      </c>
      <c r="J3191" s="128">
        <v>47.45</v>
      </c>
      <c r="K3191" s="128">
        <v>31.79</v>
      </c>
      <c r="L3191" s="128">
        <v>441617.2</v>
      </c>
      <c r="M3191" s="128">
        <v>295869.5</v>
      </c>
      <c r="N3191" s="128">
        <v>145747.6</v>
      </c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</row>
    <row r="3192">
      <c r="A3192" s="125" t="s">
        <v>461</v>
      </c>
      <c r="B3192" s="125" t="s">
        <v>621</v>
      </c>
      <c r="C3192" s="125" t="s">
        <v>494</v>
      </c>
      <c r="D3192" s="125" t="s">
        <v>454</v>
      </c>
      <c r="E3192" s="125" t="s">
        <v>464</v>
      </c>
      <c r="F3192" s="126">
        <v>40553.0</v>
      </c>
      <c r="G3192" s="127">
        <v>8.55E8</v>
      </c>
      <c r="H3192" s="126">
        <v>40584.0</v>
      </c>
      <c r="I3192" s="128">
        <v>66.0</v>
      </c>
      <c r="J3192" s="128">
        <v>9.33</v>
      </c>
      <c r="K3192" s="128">
        <v>6.92</v>
      </c>
      <c r="L3192" s="128">
        <v>615.78</v>
      </c>
      <c r="M3192" s="128">
        <v>456.72</v>
      </c>
      <c r="N3192" s="128">
        <v>159.06</v>
      </c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</row>
    <row r="3193">
      <c r="A3193" s="125" t="s">
        <v>458</v>
      </c>
      <c r="B3193" s="125" t="s">
        <v>559</v>
      </c>
      <c r="C3193" s="125" t="s">
        <v>485</v>
      </c>
      <c r="D3193" s="125" t="s">
        <v>457</v>
      </c>
      <c r="E3193" s="125" t="s">
        <v>189</v>
      </c>
      <c r="F3193" s="126">
        <v>42895.0</v>
      </c>
      <c r="G3193" s="127">
        <v>1.11E8</v>
      </c>
      <c r="H3193" s="126">
        <v>42918.0</v>
      </c>
      <c r="I3193" s="128">
        <v>9103.0</v>
      </c>
      <c r="J3193" s="128">
        <v>421.89</v>
      </c>
      <c r="K3193" s="128">
        <v>364.69</v>
      </c>
      <c r="L3193" s="128">
        <v>3840465.0</v>
      </c>
      <c r="M3193" s="128">
        <v>3319773.0</v>
      </c>
      <c r="N3193" s="128">
        <v>520691.6</v>
      </c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</row>
    <row r="3194">
      <c r="A3194" s="125" t="s">
        <v>475</v>
      </c>
      <c r="B3194" s="125" t="s">
        <v>628</v>
      </c>
      <c r="C3194" s="125" t="s">
        <v>506</v>
      </c>
      <c r="D3194" s="125" t="s">
        <v>454</v>
      </c>
      <c r="E3194" s="125" t="s">
        <v>284</v>
      </c>
      <c r="F3194" s="126">
        <v>40414.0</v>
      </c>
      <c r="G3194" s="127">
        <v>2.64E8</v>
      </c>
      <c r="H3194" s="126">
        <v>40414.0</v>
      </c>
      <c r="I3194" s="128">
        <v>5641.0</v>
      </c>
      <c r="J3194" s="128">
        <v>154.06</v>
      </c>
      <c r="K3194" s="128">
        <v>90.93</v>
      </c>
      <c r="L3194" s="128">
        <v>869052.5</v>
      </c>
      <c r="M3194" s="128">
        <v>512936.1</v>
      </c>
      <c r="N3194" s="128">
        <v>356116.3</v>
      </c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</row>
    <row r="3195">
      <c r="A3195" s="125" t="s">
        <v>458</v>
      </c>
      <c r="B3195" s="125" t="s">
        <v>547</v>
      </c>
      <c r="C3195" s="125" t="s">
        <v>506</v>
      </c>
      <c r="D3195" s="125" t="s">
        <v>454</v>
      </c>
      <c r="E3195" s="125" t="s">
        <v>464</v>
      </c>
      <c r="F3195" s="126">
        <v>42419.0</v>
      </c>
      <c r="G3195" s="127">
        <v>7.77E8</v>
      </c>
      <c r="H3195" s="126">
        <v>42448.0</v>
      </c>
      <c r="I3195" s="128">
        <v>5935.0</v>
      </c>
      <c r="J3195" s="128">
        <v>154.06</v>
      </c>
      <c r="K3195" s="128">
        <v>90.93</v>
      </c>
      <c r="L3195" s="128">
        <v>914346.1</v>
      </c>
      <c r="M3195" s="128">
        <v>539669.6</v>
      </c>
      <c r="N3195" s="128">
        <v>374676.6</v>
      </c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</row>
    <row r="3196">
      <c r="A3196" s="125" t="s">
        <v>475</v>
      </c>
      <c r="B3196" s="125" t="s">
        <v>635</v>
      </c>
      <c r="C3196" s="125" t="s">
        <v>460</v>
      </c>
      <c r="D3196" s="125" t="s">
        <v>457</v>
      </c>
      <c r="E3196" s="125" t="s">
        <v>189</v>
      </c>
      <c r="F3196" s="126">
        <v>42014.0</v>
      </c>
      <c r="G3196" s="127">
        <v>7.32E8</v>
      </c>
      <c r="H3196" s="126">
        <v>42049.0</v>
      </c>
      <c r="I3196" s="128">
        <v>8270.0</v>
      </c>
      <c r="J3196" s="128">
        <v>47.45</v>
      </c>
      <c r="K3196" s="128">
        <v>31.79</v>
      </c>
      <c r="L3196" s="128">
        <v>392411.5</v>
      </c>
      <c r="M3196" s="128">
        <v>262903.3</v>
      </c>
      <c r="N3196" s="128">
        <v>129508.2</v>
      </c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</row>
    <row r="3197">
      <c r="A3197" s="125" t="s">
        <v>475</v>
      </c>
      <c r="B3197" s="125" t="s">
        <v>649</v>
      </c>
      <c r="C3197" s="125" t="s">
        <v>514</v>
      </c>
      <c r="D3197" s="125" t="s">
        <v>454</v>
      </c>
      <c r="E3197" s="125" t="s">
        <v>472</v>
      </c>
      <c r="F3197" s="126">
        <v>42370.0</v>
      </c>
      <c r="G3197" s="127">
        <v>1.82E8</v>
      </c>
      <c r="H3197" s="126">
        <v>42405.0</v>
      </c>
      <c r="I3197" s="128">
        <v>7964.0</v>
      </c>
      <c r="J3197" s="128">
        <v>668.27</v>
      </c>
      <c r="K3197" s="128">
        <v>502.54</v>
      </c>
      <c r="L3197" s="128">
        <v>5322102.0</v>
      </c>
      <c r="M3197" s="128">
        <v>4002229.0</v>
      </c>
      <c r="N3197" s="128">
        <v>1319874.0</v>
      </c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</row>
    <row r="3198">
      <c r="A3198" s="125" t="s">
        <v>458</v>
      </c>
      <c r="B3198" s="125" t="s">
        <v>597</v>
      </c>
      <c r="C3198" s="125" t="s">
        <v>471</v>
      </c>
      <c r="D3198" s="125" t="s">
        <v>457</v>
      </c>
      <c r="E3198" s="125" t="s">
        <v>472</v>
      </c>
      <c r="F3198" s="126">
        <v>41518.0</v>
      </c>
      <c r="G3198" s="127">
        <v>6.02E8</v>
      </c>
      <c r="H3198" s="126">
        <v>41527.0</v>
      </c>
      <c r="I3198" s="128">
        <v>2366.0</v>
      </c>
      <c r="J3198" s="128">
        <v>109.28</v>
      </c>
      <c r="K3198" s="128">
        <v>35.84</v>
      </c>
      <c r="L3198" s="128">
        <v>258556.5</v>
      </c>
      <c r="M3198" s="128">
        <v>84797.44</v>
      </c>
      <c r="N3198" s="128">
        <v>173759.0</v>
      </c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</row>
    <row r="3199">
      <c r="A3199" s="125" t="s">
        <v>469</v>
      </c>
      <c r="B3199" s="125" t="s">
        <v>569</v>
      </c>
      <c r="C3199" s="125" t="s">
        <v>468</v>
      </c>
      <c r="D3199" s="125" t="s">
        <v>457</v>
      </c>
      <c r="E3199" s="125" t="s">
        <v>284</v>
      </c>
      <c r="F3199" s="126">
        <v>42024.0</v>
      </c>
      <c r="G3199" s="127">
        <v>8.34E8</v>
      </c>
      <c r="H3199" s="126">
        <v>42048.0</v>
      </c>
      <c r="I3199" s="128">
        <v>5856.0</v>
      </c>
      <c r="J3199" s="128">
        <v>81.73</v>
      </c>
      <c r="K3199" s="128">
        <v>56.67</v>
      </c>
      <c r="L3199" s="128">
        <v>478610.9</v>
      </c>
      <c r="M3199" s="128">
        <v>331859.5</v>
      </c>
      <c r="N3199" s="128">
        <v>146751.4</v>
      </c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</row>
    <row r="3200">
      <c r="A3200" s="125" t="s">
        <v>451</v>
      </c>
      <c r="B3200" s="125" t="s">
        <v>482</v>
      </c>
      <c r="C3200" s="125" t="s">
        <v>480</v>
      </c>
      <c r="D3200" s="125" t="s">
        <v>454</v>
      </c>
      <c r="E3200" s="125" t="s">
        <v>464</v>
      </c>
      <c r="F3200" s="126">
        <v>41314.0</v>
      </c>
      <c r="G3200" s="127">
        <v>2.43E8</v>
      </c>
      <c r="H3200" s="126">
        <v>41325.0</v>
      </c>
      <c r="I3200" s="128">
        <v>4845.0</v>
      </c>
      <c r="J3200" s="128">
        <v>437.2</v>
      </c>
      <c r="K3200" s="128">
        <v>263.33</v>
      </c>
      <c r="L3200" s="128">
        <v>2118234.0</v>
      </c>
      <c r="M3200" s="128">
        <v>1275834.0</v>
      </c>
      <c r="N3200" s="128">
        <v>842400.2</v>
      </c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</row>
    <row r="3201">
      <c r="A3201" s="125" t="s">
        <v>469</v>
      </c>
      <c r="B3201" s="125" t="s">
        <v>569</v>
      </c>
      <c r="C3201" s="125" t="s">
        <v>456</v>
      </c>
      <c r="D3201" s="125" t="s">
        <v>454</v>
      </c>
      <c r="E3201" s="125" t="s">
        <v>464</v>
      </c>
      <c r="F3201" s="126">
        <v>41349.0</v>
      </c>
      <c r="G3201" s="127">
        <v>9.63E8</v>
      </c>
      <c r="H3201" s="126">
        <v>41390.0</v>
      </c>
      <c r="I3201" s="128">
        <v>2774.0</v>
      </c>
      <c r="J3201" s="128">
        <v>152.58</v>
      </c>
      <c r="K3201" s="128">
        <v>97.44</v>
      </c>
      <c r="L3201" s="128">
        <v>423256.9</v>
      </c>
      <c r="M3201" s="128">
        <v>270298.6</v>
      </c>
      <c r="N3201" s="128">
        <v>152958.4</v>
      </c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</row>
    <row r="3202">
      <c r="A3202" s="125" t="s">
        <v>458</v>
      </c>
      <c r="B3202" s="125" t="s">
        <v>533</v>
      </c>
      <c r="C3202" s="125" t="s">
        <v>506</v>
      </c>
      <c r="D3202" s="125" t="s">
        <v>457</v>
      </c>
      <c r="E3202" s="125" t="s">
        <v>464</v>
      </c>
      <c r="F3202" s="126">
        <v>41715.0</v>
      </c>
      <c r="G3202" s="127">
        <v>2.49E8</v>
      </c>
      <c r="H3202" s="126">
        <v>41760.0</v>
      </c>
      <c r="I3202" s="128">
        <v>5119.0</v>
      </c>
      <c r="J3202" s="128">
        <v>154.06</v>
      </c>
      <c r="K3202" s="128">
        <v>90.93</v>
      </c>
      <c r="L3202" s="128">
        <v>788633.1</v>
      </c>
      <c r="M3202" s="128">
        <v>465470.7</v>
      </c>
      <c r="N3202" s="128">
        <v>323162.5</v>
      </c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</row>
    <row r="3203">
      <c r="A3203" s="125" t="s">
        <v>469</v>
      </c>
      <c r="B3203" s="125" t="s">
        <v>617</v>
      </c>
      <c r="C3203" s="125" t="s">
        <v>460</v>
      </c>
      <c r="D3203" s="125" t="s">
        <v>454</v>
      </c>
      <c r="E3203" s="125" t="s">
        <v>284</v>
      </c>
      <c r="F3203" s="126">
        <v>41004.0</v>
      </c>
      <c r="G3203" s="127">
        <v>8.26E8</v>
      </c>
      <c r="H3203" s="126">
        <v>41047.0</v>
      </c>
      <c r="I3203" s="128">
        <v>4383.0</v>
      </c>
      <c r="J3203" s="128">
        <v>47.45</v>
      </c>
      <c r="K3203" s="128">
        <v>31.79</v>
      </c>
      <c r="L3203" s="128">
        <v>207973.4</v>
      </c>
      <c r="M3203" s="128">
        <v>139335.6</v>
      </c>
      <c r="N3203" s="128">
        <v>68637.78</v>
      </c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</row>
    <row r="3204">
      <c r="A3204" s="125" t="s">
        <v>466</v>
      </c>
      <c r="B3204" s="125" t="s">
        <v>484</v>
      </c>
      <c r="C3204" s="125" t="s">
        <v>480</v>
      </c>
      <c r="D3204" s="125" t="s">
        <v>454</v>
      </c>
      <c r="E3204" s="125" t="s">
        <v>464</v>
      </c>
      <c r="F3204" s="126">
        <v>40961.0</v>
      </c>
      <c r="G3204" s="127">
        <v>5.4E8</v>
      </c>
      <c r="H3204" s="126">
        <v>40981.0</v>
      </c>
      <c r="I3204" s="128">
        <v>5104.0</v>
      </c>
      <c r="J3204" s="128">
        <v>437.2</v>
      </c>
      <c r="K3204" s="128">
        <v>263.33</v>
      </c>
      <c r="L3204" s="128">
        <v>2231469.0</v>
      </c>
      <c r="M3204" s="128">
        <v>1344036.0</v>
      </c>
      <c r="N3204" s="128">
        <v>887432.5</v>
      </c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</row>
    <row r="3205">
      <c r="A3205" s="125" t="s">
        <v>458</v>
      </c>
      <c r="B3205" s="125" t="s">
        <v>573</v>
      </c>
      <c r="C3205" s="125" t="s">
        <v>463</v>
      </c>
      <c r="D3205" s="125" t="s">
        <v>454</v>
      </c>
      <c r="E3205" s="125" t="s">
        <v>284</v>
      </c>
      <c r="F3205" s="126">
        <v>42338.0</v>
      </c>
      <c r="G3205" s="127">
        <v>9.06E8</v>
      </c>
      <c r="H3205" s="126">
        <v>42387.0</v>
      </c>
      <c r="I3205" s="128">
        <v>8847.0</v>
      </c>
      <c r="J3205" s="128">
        <v>205.7</v>
      </c>
      <c r="K3205" s="128">
        <v>117.11</v>
      </c>
      <c r="L3205" s="128">
        <v>1819828.0</v>
      </c>
      <c r="M3205" s="128">
        <v>1036072.0</v>
      </c>
      <c r="N3205" s="128">
        <v>783755.7</v>
      </c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</row>
    <row r="3206">
      <c r="A3206" s="125" t="s">
        <v>458</v>
      </c>
      <c r="B3206" s="125" t="s">
        <v>616</v>
      </c>
      <c r="C3206" s="125" t="s">
        <v>506</v>
      </c>
      <c r="D3206" s="125" t="s">
        <v>454</v>
      </c>
      <c r="E3206" s="125" t="s">
        <v>472</v>
      </c>
      <c r="F3206" s="126">
        <v>40746.0</v>
      </c>
      <c r="G3206" s="127">
        <v>3.6E8</v>
      </c>
      <c r="H3206" s="126">
        <v>40761.0</v>
      </c>
      <c r="I3206" s="128">
        <v>9212.0</v>
      </c>
      <c r="J3206" s="128">
        <v>154.06</v>
      </c>
      <c r="K3206" s="128">
        <v>90.93</v>
      </c>
      <c r="L3206" s="128">
        <v>1419201.0</v>
      </c>
      <c r="M3206" s="128">
        <v>837647.2</v>
      </c>
      <c r="N3206" s="128">
        <v>581553.6</v>
      </c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</row>
    <row r="3207">
      <c r="A3207" s="125" t="s">
        <v>475</v>
      </c>
      <c r="B3207" s="125" t="s">
        <v>624</v>
      </c>
      <c r="C3207" s="125" t="s">
        <v>485</v>
      </c>
      <c r="D3207" s="125" t="s">
        <v>454</v>
      </c>
      <c r="E3207" s="125" t="s">
        <v>464</v>
      </c>
      <c r="F3207" s="126">
        <v>41864.0</v>
      </c>
      <c r="G3207" s="127">
        <v>1.08E8</v>
      </c>
      <c r="H3207" s="126">
        <v>41906.0</v>
      </c>
      <c r="I3207" s="128">
        <v>6829.0</v>
      </c>
      <c r="J3207" s="128">
        <v>421.89</v>
      </c>
      <c r="K3207" s="128">
        <v>364.69</v>
      </c>
      <c r="L3207" s="128">
        <v>2881087.0</v>
      </c>
      <c r="M3207" s="128">
        <v>2490468.0</v>
      </c>
      <c r="N3207" s="128">
        <v>390618.8</v>
      </c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</row>
    <row r="3208">
      <c r="A3208" s="125" t="s">
        <v>475</v>
      </c>
      <c r="B3208" s="125" t="s">
        <v>544</v>
      </c>
      <c r="C3208" s="125" t="s">
        <v>480</v>
      </c>
      <c r="D3208" s="125" t="s">
        <v>454</v>
      </c>
      <c r="E3208" s="125" t="s">
        <v>189</v>
      </c>
      <c r="F3208" s="126">
        <v>40694.0</v>
      </c>
      <c r="G3208" s="127">
        <v>9.78E8</v>
      </c>
      <c r="H3208" s="126">
        <v>40711.0</v>
      </c>
      <c r="I3208" s="128">
        <v>4359.0</v>
      </c>
      <c r="J3208" s="128">
        <v>437.2</v>
      </c>
      <c r="K3208" s="128">
        <v>263.33</v>
      </c>
      <c r="L3208" s="128">
        <v>1905755.0</v>
      </c>
      <c r="M3208" s="128">
        <v>1147855.0</v>
      </c>
      <c r="N3208" s="128">
        <v>757899.3</v>
      </c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</row>
    <row r="3209">
      <c r="A3209" s="125" t="s">
        <v>466</v>
      </c>
      <c r="B3209" s="125" t="s">
        <v>524</v>
      </c>
      <c r="C3209" s="125" t="s">
        <v>456</v>
      </c>
      <c r="D3209" s="125" t="s">
        <v>454</v>
      </c>
      <c r="E3209" s="125" t="s">
        <v>472</v>
      </c>
      <c r="F3209" s="126">
        <v>42313.0</v>
      </c>
      <c r="G3209" s="127">
        <v>2.65E8</v>
      </c>
      <c r="H3209" s="126">
        <v>42330.0</v>
      </c>
      <c r="I3209" s="128">
        <v>1494.0</v>
      </c>
      <c r="J3209" s="128">
        <v>152.58</v>
      </c>
      <c r="K3209" s="128">
        <v>97.44</v>
      </c>
      <c r="L3209" s="128">
        <v>227954.5</v>
      </c>
      <c r="M3209" s="128">
        <v>145575.4</v>
      </c>
      <c r="N3209" s="128">
        <v>82379.16</v>
      </c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</row>
    <row r="3210">
      <c r="A3210" s="125" t="s">
        <v>451</v>
      </c>
      <c r="B3210" s="125" t="s">
        <v>497</v>
      </c>
      <c r="C3210" s="125" t="s">
        <v>456</v>
      </c>
      <c r="D3210" s="125" t="s">
        <v>457</v>
      </c>
      <c r="E3210" s="125" t="s">
        <v>472</v>
      </c>
      <c r="F3210" s="126">
        <v>41118.0</v>
      </c>
      <c r="G3210" s="127">
        <v>2.87E8</v>
      </c>
      <c r="H3210" s="126">
        <v>41147.0</v>
      </c>
      <c r="I3210" s="128">
        <v>9958.0</v>
      </c>
      <c r="J3210" s="128">
        <v>152.58</v>
      </c>
      <c r="K3210" s="128">
        <v>97.44</v>
      </c>
      <c r="L3210" s="128">
        <v>1519392.0</v>
      </c>
      <c r="M3210" s="128">
        <v>970307.5</v>
      </c>
      <c r="N3210" s="128">
        <v>549084.1</v>
      </c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</row>
    <row r="3211">
      <c r="A3211" s="125" t="s">
        <v>475</v>
      </c>
      <c r="B3211" s="125" t="s">
        <v>548</v>
      </c>
      <c r="C3211" s="125" t="s">
        <v>468</v>
      </c>
      <c r="D3211" s="125" t="s">
        <v>454</v>
      </c>
      <c r="E3211" s="125" t="s">
        <v>189</v>
      </c>
      <c r="F3211" s="126">
        <v>41579.0</v>
      </c>
      <c r="G3211" s="127">
        <v>7.32E8</v>
      </c>
      <c r="H3211" s="126">
        <v>41609.0</v>
      </c>
      <c r="I3211" s="128">
        <v>8506.0</v>
      </c>
      <c r="J3211" s="128">
        <v>81.73</v>
      </c>
      <c r="K3211" s="128">
        <v>56.67</v>
      </c>
      <c r="L3211" s="128">
        <v>695195.4</v>
      </c>
      <c r="M3211" s="128">
        <v>482035.0</v>
      </c>
      <c r="N3211" s="128">
        <v>213160.4</v>
      </c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</row>
    <row r="3212">
      <c r="A3212" s="125" t="s">
        <v>469</v>
      </c>
      <c r="B3212" s="125" t="s">
        <v>519</v>
      </c>
      <c r="C3212" s="125" t="s">
        <v>506</v>
      </c>
      <c r="D3212" s="125" t="s">
        <v>454</v>
      </c>
      <c r="E3212" s="125" t="s">
        <v>472</v>
      </c>
      <c r="F3212" s="126">
        <v>40256.0</v>
      </c>
      <c r="G3212" s="127">
        <v>9.08E8</v>
      </c>
      <c r="H3212" s="126">
        <v>40268.0</v>
      </c>
      <c r="I3212" s="128">
        <v>7924.0</v>
      </c>
      <c r="J3212" s="128">
        <v>154.06</v>
      </c>
      <c r="K3212" s="128">
        <v>90.93</v>
      </c>
      <c r="L3212" s="128">
        <v>1220771.0</v>
      </c>
      <c r="M3212" s="128">
        <v>720529.3</v>
      </c>
      <c r="N3212" s="128">
        <v>500242.1</v>
      </c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</row>
    <row r="3213">
      <c r="A3213" s="125" t="s">
        <v>461</v>
      </c>
      <c r="B3213" s="125" t="s">
        <v>542</v>
      </c>
      <c r="C3213" s="125" t="s">
        <v>480</v>
      </c>
      <c r="D3213" s="125" t="s">
        <v>457</v>
      </c>
      <c r="E3213" s="125" t="s">
        <v>472</v>
      </c>
      <c r="F3213" s="126">
        <v>41013.0</v>
      </c>
      <c r="G3213" s="127">
        <v>1.93E8</v>
      </c>
      <c r="H3213" s="126">
        <v>41015.0</v>
      </c>
      <c r="I3213" s="128">
        <v>6029.0</v>
      </c>
      <c r="J3213" s="128">
        <v>437.2</v>
      </c>
      <c r="K3213" s="128">
        <v>263.33</v>
      </c>
      <c r="L3213" s="128">
        <v>2635879.0</v>
      </c>
      <c r="M3213" s="128">
        <v>1587617.0</v>
      </c>
      <c r="N3213" s="128">
        <v>1048262.0</v>
      </c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</row>
    <row r="3214">
      <c r="A3214" s="125" t="s">
        <v>458</v>
      </c>
      <c r="B3214" s="125" t="s">
        <v>547</v>
      </c>
      <c r="C3214" s="125" t="s">
        <v>480</v>
      </c>
      <c r="D3214" s="125" t="s">
        <v>457</v>
      </c>
      <c r="E3214" s="125" t="s">
        <v>189</v>
      </c>
      <c r="F3214" s="126">
        <v>42571.0</v>
      </c>
      <c r="G3214" s="127">
        <v>2.84E8</v>
      </c>
      <c r="H3214" s="126">
        <v>42615.0</v>
      </c>
      <c r="I3214" s="128">
        <v>2670.0</v>
      </c>
      <c r="J3214" s="128">
        <v>437.2</v>
      </c>
      <c r="K3214" s="128">
        <v>263.33</v>
      </c>
      <c r="L3214" s="128">
        <v>1167324.0</v>
      </c>
      <c r="M3214" s="128">
        <v>703091.1</v>
      </c>
      <c r="N3214" s="128">
        <v>464232.9</v>
      </c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</row>
    <row r="3215">
      <c r="A3215" s="125" t="s">
        <v>451</v>
      </c>
      <c r="B3215" s="125" t="s">
        <v>620</v>
      </c>
      <c r="C3215" s="125" t="s">
        <v>485</v>
      </c>
      <c r="D3215" s="125" t="s">
        <v>457</v>
      </c>
      <c r="E3215" s="125" t="s">
        <v>472</v>
      </c>
      <c r="F3215" s="126">
        <v>42656.0</v>
      </c>
      <c r="G3215" s="127">
        <v>2.52E8</v>
      </c>
      <c r="H3215" s="126">
        <v>42671.0</v>
      </c>
      <c r="I3215" s="128">
        <v>4726.0</v>
      </c>
      <c r="J3215" s="128">
        <v>421.89</v>
      </c>
      <c r="K3215" s="128">
        <v>364.69</v>
      </c>
      <c r="L3215" s="128">
        <v>1993852.0</v>
      </c>
      <c r="M3215" s="128">
        <v>1723525.0</v>
      </c>
      <c r="N3215" s="128">
        <v>270327.2</v>
      </c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</row>
    <row r="3216">
      <c r="A3216" s="125" t="s">
        <v>469</v>
      </c>
      <c r="B3216" s="125" t="s">
        <v>650</v>
      </c>
      <c r="C3216" s="125" t="s">
        <v>456</v>
      </c>
      <c r="D3216" s="125" t="s">
        <v>457</v>
      </c>
      <c r="E3216" s="125" t="s">
        <v>189</v>
      </c>
      <c r="F3216" s="126">
        <v>42152.0</v>
      </c>
      <c r="G3216" s="127">
        <v>5.85E8</v>
      </c>
      <c r="H3216" s="126">
        <v>42163.0</v>
      </c>
      <c r="I3216" s="128">
        <v>1110.0</v>
      </c>
      <c r="J3216" s="128">
        <v>152.58</v>
      </c>
      <c r="K3216" s="128">
        <v>97.44</v>
      </c>
      <c r="L3216" s="128">
        <v>169363.8</v>
      </c>
      <c r="M3216" s="128">
        <v>108158.4</v>
      </c>
      <c r="N3216" s="128">
        <v>61205.4</v>
      </c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</row>
    <row r="3217">
      <c r="A3217" s="125" t="s">
        <v>458</v>
      </c>
      <c r="B3217" s="125" t="s">
        <v>473</v>
      </c>
      <c r="C3217" s="125" t="s">
        <v>506</v>
      </c>
      <c r="D3217" s="125" t="s">
        <v>457</v>
      </c>
      <c r="E3217" s="125" t="s">
        <v>189</v>
      </c>
      <c r="F3217" s="126">
        <v>40945.0</v>
      </c>
      <c r="G3217" s="127">
        <v>9.42E8</v>
      </c>
      <c r="H3217" s="126">
        <v>40958.0</v>
      </c>
      <c r="I3217" s="128">
        <v>7763.0</v>
      </c>
      <c r="J3217" s="128">
        <v>154.06</v>
      </c>
      <c r="K3217" s="128">
        <v>90.93</v>
      </c>
      <c r="L3217" s="128">
        <v>1195968.0</v>
      </c>
      <c r="M3217" s="128">
        <v>705889.6</v>
      </c>
      <c r="N3217" s="128">
        <v>490078.2</v>
      </c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</row>
    <row r="3218">
      <c r="A3218" s="125" t="s">
        <v>458</v>
      </c>
      <c r="B3218" s="125" t="s">
        <v>613</v>
      </c>
      <c r="C3218" s="125" t="s">
        <v>485</v>
      </c>
      <c r="D3218" s="125" t="s">
        <v>454</v>
      </c>
      <c r="E3218" s="125" t="s">
        <v>284</v>
      </c>
      <c r="F3218" s="126">
        <v>42079.0</v>
      </c>
      <c r="G3218" s="127">
        <v>6.04E8</v>
      </c>
      <c r="H3218" s="126">
        <v>42096.0</v>
      </c>
      <c r="I3218" s="128">
        <v>2659.0</v>
      </c>
      <c r="J3218" s="128">
        <v>421.89</v>
      </c>
      <c r="K3218" s="128">
        <v>364.69</v>
      </c>
      <c r="L3218" s="128">
        <v>1121806.0</v>
      </c>
      <c r="M3218" s="128">
        <v>969710.7</v>
      </c>
      <c r="N3218" s="128">
        <v>152094.8</v>
      </c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</row>
    <row r="3219">
      <c r="A3219" s="125" t="s">
        <v>458</v>
      </c>
      <c r="B3219" s="125" t="s">
        <v>582</v>
      </c>
      <c r="C3219" s="125" t="s">
        <v>494</v>
      </c>
      <c r="D3219" s="125" t="s">
        <v>454</v>
      </c>
      <c r="E3219" s="125" t="s">
        <v>284</v>
      </c>
      <c r="F3219" s="126">
        <v>42070.0</v>
      </c>
      <c r="G3219" s="127">
        <v>7.2E8</v>
      </c>
      <c r="H3219" s="126">
        <v>42074.0</v>
      </c>
      <c r="I3219" s="128">
        <v>803.0</v>
      </c>
      <c r="J3219" s="128">
        <v>9.33</v>
      </c>
      <c r="K3219" s="128">
        <v>6.92</v>
      </c>
      <c r="L3219" s="128">
        <v>7491.99</v>
      </c>
      <c r="M3219" s="128">
        <v>5556.76</v>
      </c>
      <c r="N3219" s="128">
        <v>1935.23</v>
      </c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</row>
    <row r="3220">
      <c r="A3220" s="125" t="s">
        <v>466</v>
      </c>
      <c r="B3220" s="125" t="s">
        <v>479</v>
      </c>
      <c r="C3220" s="125" t="s">
        <v>463</v>
      </c>
      <c r="D3220" s="125" t="s">
        <v>454</v>
      </c>
      <c r="E3220" s="125" t="s">
        <v>464</v>
      </c>
      <c r="F3220" s="126">
        <v>40591.0</v>
      </c>
      <c r="G3220" s="127">
        <v>2.61E8</v>
      </c>
      <c r="H3220" s="126">
        <v>40614.0</v>
      </c>
      <c r="I3220" s="128">
        <v>9230.0</v>
      </c>
      <c r="J3220" s="128">
        <v>205.7</v>
      </c>
      <c r="K3220" s="128">
        <v>117.11</v>
      </c>
      <c r="L3220" s="128">
        <v>1898611.0</v>
      </c>
      <c r="M3220" s="128">
        <v>1080925.0</v>
      </c>
      <c r="N3220" s="128">
        <v>817685.7</v>
      </c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</row>
    <row r="3221">
      <c r="A3221" s="125" t="s">
        <v>458</v>
      </c>
      <c r="B3221" s="125" t="s">
        <v>486</v>
      </c>
      <c r="C3221" s="125" t="s">
        <v>468</v>
      </c>
      <c r="D3221" s="125" t="s">
        <v>454</v>
      </c>
      <c r="E3221" s="125" t="s">
        <v>189</v>
      </c>
      <c r="F3221" s="126">
        <v>41851.0</v>
      </c>
      <c r="G3221" s="127">
        <v>9.67E8</v>
      </c>
      <c r="H3221" s="126">
        <v>41859.0</v>
      </c>
      <c r="I3221" s="128">
        <v>2009.0</v>
      </c>
      <c r="J3221" s="128">
        <v>81.73</v>
      </c>
      <c r="K3221" s="128">
        <v>56.67</v>
      </c>
      <c r="L3221" s="128">
        <v>164195.6</v>
      </c>
      <c r="M3221" s="128">
        <v>113850.0</v>
      </c>
      <c r="N3221" s="128">
        <v>50345.54</v>
      </c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</row>
    <row r="3222">
      <c r="A3222" s="125" t="s">
        <v>475</v>
      </c>
      <c r="B3222" s="125" t="s">
        <v>528</v>
      </c>
      <c r="C3222" s="125" t="s">
        <v>480</v>
      </c>
      <c r="D3222" s="125" t="s">
        <v>457</v>
      </c>
      <c r="E3222" s="125" t="s">
        <v>464</v>
      </c>
      <c r="F3222" s="126">
        <v>42150.0</v>
      </c>
      <c r="G3222" s="127">
        <v>6.0E8</v>
      </c>
      <c r="H3222" s="126">
        <v>42156.0</v>
      </c>
      <c r="I3222" s="128">
        <v>5238.0</v>
      </c>
      <c r="J3222" s="128">
        <v>437.2</v>
      </c>
      <c r="K3222" s="128">
        <v>263.33</v>
      </c>
      <c r="L3222" s="128">
        <v>2290054.0</v>
      </c>
      <c r="M3222" s="128">
        <v>1379323.0</v>
      </c>
      <c r="N3222" s="128">
        <v>910731.1</v>
      </c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</row>
    <row r="3223">
      <c r="A3223" s="125" t="s">
        <v>475</v>
      </c>
      <c r="B3223" s="125" t="s">
        <v>507</v>
      </c>
      <c r="C3223" s="125" t="s">
        <v>494</v>
      </c>
      <c r="D3223" s="125" t="s">
        <v>457</v>
      </c>
      <c r="E3223" s="125" t="s">
        <v>189</v>
      </c>
      <c r="F3223" s="126">
        <v>42328.0</v>
      </c>
      <c r="G3223" s="127">
        <v>5.9E8</v>
      </c>
      <c r="H3223" s="126">
        <v>42334.0</v>
      </c>
      <c r="I3223" s="128">
        <v>2047.0</v>
      </c>
      <c r="J3223" s="128">
        <v>9.33</v>
      </c>
      <c r="K3223" s="128">
        <v>6.92</v>
      </c>
      <c r="L3223" s="128">
        <v>19098.51</v>
      </c>
      <c r="M3223" s="128">
        <v>14165.24</v>
      </c>
      <c r="N3223" s="128">
        <v>4933.27</v>
      </c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</row>
    <row r="3224">
      <c r="A3224" s="125" t="s">
        <v>466</v>
      </c>
      <c r="B3224" s="125" t="s">
        <v>491</v>
      </c>
      <c r="C3224" s="125" t="s">
        <v>463</v>
      </c>
      <c r="D3224" s="125" t="s">
        <v>457</v>
      </c>
      <c r="E3224" s="125" t="s">
        <v>464</v>
      </c>
      <c r="F3224" s="126">
        <v>40846.0</v>
      </c>
      <c r="G3224" s="127">
        <v>1.9E8</v>
      </c>
      <c r="H3224" s="126">
        <v>40851.0</v>
      </c>
      <c r="I3224" s="128">
        <v>7597.0</v>
      </c>
      <c r="J3224" s="128">
        <v>205.7</v>
      </c>
      <c r="K3224" s="128">
        <v>117.11</v>
      </c>
      <c r="L3224" s="128">
        <v>1562703.0</v>
      </c>
      <c r="M3224" s="128">
        <v>889684.7</v>
      </c>
      <c r="N3224" s="128">
        <v>673018.2</v>
      </c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</row>
    <row r="3225">
      <c r="A3225" s="125" t="s">
        <v>458</v>
      </c>
      <c r="B3225" s="125" t="s">
        <v>547</v>
      </c>
      <c r="C3225" s="125" t="s">
        <v>463</v>
      </c>
      <c r="D3225" s="125" t="s">
        <v>457</v>
      </c>
      <c r="E3225" s="125" t="s">
        <v>189</v>
      </c>
      <c r="F3225" s="126">
        <v>40704.0</v>
      </c>
      <c r="G3225" s="127">
        <v>5.2E8</v>
      </c>
      <c r="H3225" s="126">
        <v>40748.0</v>
      </c>
      <c r="I3225" s="128">
        <v>4080.0</v>
      </c>
      <c r="J3225" s="128">
        <v>205.7</v>
      </c>
      <c r="K3225" s="128">
        <v>117.11</v>
      </c>
      <c r="L3225" s="128">
        <v>839256.0</v>
      </c>
      <c r="M3225" s="128">
        <v>477808.8</v>
      </c>
      <c r="N3225" s="128">
        <v>361447.2</v>
      </c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</row>
    <row r="3226">
      <c r="A3226" s="125" t="s">
        <v>466</v>
      </c>
      <c r="B3226" s="125" t="s">
        <v>625</v>
      </c>
      <c r="C3226" s="125" t="s">
        <v>480</v>
      </c>
      <c r="D3226" s="125" t="s">
        <v>457</v>
      </c>
      <c r="E3226" s="125" t="s">
        <v>284</v>
      </c>
      <c r="F3226" s="126">
        <v>42524.0</v>
      </c>
      <c r="G3226" s="127">
        <v>5.25E8</v>
      </c>
      <c r="H3226" s="126">
        <v>42545.0</v>
      </c>
      <c r="I3226" s="128">
        <v>5721.0</v>
      </c>
      <c r="J3226" s="128">
        <v>437.2</v>
      </c>
      <c r="K3226" s="128">
        <v>263.33</v>
      </c>
      <c r="L3226" s="128">
        <v>2501221.0</v>
      </c>
      <c r="M3226" s="128">
        <v>1506511.0</v>
      </c>
      <c r="N3226" s="128">
        <v>994710.3</v>
      </c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</row>
    <row r="3227">
      <c r="A3227" s="125" t="s">
        <v>475</v>
      </c>
      <c r="B3227" s="125" t="s">
        <v>585</v>
      </c>
      <c r="C3227" s="125" t="s">
        <v>468</v>
      </c>
      <c r="D3227" s="125" t="s">
        <v>457</v>
      </c>
      <c r="E3227" s="125" t="s">
        <v>472</v>
      </c>
      <c r="F3227" s="126">
        <v>40404.0</v>
      </c>
      <c r="G3227" s="127">
        <v>1.15E8</v>
      </c>
      <c r="H3227" s="126">
        <v>40431.0</v>
      </c>
      <c r="I3227" s="128">
        <v>3773.0</v>
      </c>
      <c r="J3227" s="128">
        <v>81.73</v>
      </c>
      <c r="K3227" s="128">
        <v>56.67</v>
      </c>
      <c r="L3227" s="128">
        <v>308367.3</v>
      </c>
      <c r="M3227" s="128">
        <v>213815.9</v>
      </c>
      <c r="N3227" s="128">
        <v>94551.38</v>
      </c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</row>
    <row r="3228">
      <c r="A3228" s="125" t="s">
        <v>458</v>
      </c>
      <c r="B3228" s="125" t="s">
        <v>473</v>
      </c>
      <c r="C3228" s="125" t="s">
        <v>494</v>
      </c>
      <c r="D3228" s="125" t="s">
        <v>457</v>
      </c>
      <c r="E3228" s="125" t="s">
        <v>464</v>
      </c>
      <c r="F3228" s="126">
        <v>42658.0</v>
      </c>
      <c r="G3228" s="127">
        <v>6.24E8</v>
      </c>
      <c r="H3228" s="126">
        <v>42674.0</v>
      </c>
      <c r="I3228" s="128">
        <v>1523.0</v>
      </c>
      <c r="J3228" s="128">
        <v>9.33</v>
      </c>
      <c r="K3228" s="128">
        <v>6.92</v>
      </c>
      <c r="L3228" s="128">
        <v>14209.59</v>
      </c>
      <c r="M3228" s="128">
        <v>10539.16</v>
      </c>
      <c r="N3228" s="128">
        <v>3670.43</v>
      </c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</row>
    <row r="3229">
      <c r="A3229" s="125" t="s">
        <v>466</v>
      </c>
      <c r="B3229" s="125" t="s">
        <v>484</v>
      </c>
      <c r="C3229" s="125" t="s">
        <v>463</v>
      </c>
      <c r="D3229" s="125" t="s">
        <v>454</v>
      </c>
      <c r="E3229" s="125" t="s">
        <v>189</v>
      </c>
      <c r="F3229" s="126">
        <v>42778.0</v>
      </c>
      <c r="G3229" s="127">
        <v>7.55E8</v>
      </c>
      <c r="H3229" s="126">
        <v>42806.0</v>
      </c>
      <c r="I3229" s="128">
        <v>9289.0</v>
      </c>
      <c r="J3229" s="128">
        <v>205.7</v>
      </c>
      <c r="K3229" s="128">
        <v>117.11</v>
      </c>
      <c r="L3229" s="128">
        <v>1910747.0</v>
      </c>
      <c r="M3229" s="128">
        <v>1087835.0</v>
      </c>
      <c r="N3229" s="128">
        <v>822912.5</v>
      </c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</row>
    <row r="3230">
      <c r="A3230" s="125" t="s">
        <v>469</v>
      </c>
      <c r="B3230" s="125" t="s">
        <v>503</v>
      </c>
      <c r="C3230" s="125" t="s">
        <v>460</v>
      </c>
      <c r="D3230" s="125" t="s">
        <v>454</v>
      </c>
      <c r="E3230" s="125" t="s">
        <v>464</v>
      </c>
      <c r="F3230" s="126">
        <v>42942.0</v>
      </c>
      <c r="G3230" s="127">
        <v>6.31E8</v>
      </c>
      <c r="H3230" s="126">
        <v>42959.0</v>
      </c>
      <c r="I3230" s="128">
        <v>9418.0</v>
      </c>
      <c r="J3230" s="128">
        <v>47.45</v>
      </c>
      <c r="K3230" s="128">
        <v>31.79</v>
      </c>
      <c r="L3230" s="128">
        <v>446884.1</v>
      </c>
      <c r="M3230" s="128">
        <v>299398.2</v>
      </c>
      <c r="N3230" s="128">
        <v>147485.9</v>
      </c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</row>
    <row r="3231">
      <c r="A3231" s="125" t="s">
        <v>466</v>
      </c>
      <c r="B3231" s="125" t="s">
        <v>502</v>
      </c>
      <c r="C3231" s="125" t="s">
        <v>468</v>
      </c>
      <c r="D3231" s="125" t="s">
        <v>454</v>
      </c>
      <c r="E3231" s="125" t="s">
        <v>464</v>
      </c>
      <c r="F3231" s="126">
        <v>41570.0</v>
      </c>
      <c r="G3231" s="127">
        <v>4.47E8</v>
      </c>
      <c r="H3231" s="126">
        <v>41597.0</v>
      </c>
      <c r="I3231" s="128">
        <v>1292.0</v>
      </c>
      <c r="J3231" s="128">
        <v>81.73</v>
      </c>
      <c r="K3231" s="128">
        <v>56.67</v>
      </c>
      <c r="L3231" s="128">
        <v>105595.2</v>
      </c>
      <c r="M3231" s="128">
        <v>73217.64</v>
      </c>
      <c r="N3231" s="128">
        <v>32377.52</v>
      </c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</row>
    <row r="3232">
      <c r="A3232" s="125" t="s">
        <v>475</v>
      </c>
      <c r="B3232" s="125" t="s">
        <v>552</v>
      </c>
      <c r="C3232" s="125" t="s">
        <v>514</v>
      </c>
      <c r="D3232" s="125" t="s">
        <v>454</v>
      </c>
      <c r="E3232" s="125" t="s">
        <v>189</v>
      </c>
      <c r="F3232" s="126">
        <v>40234.0</v>
      </c>
      <c r="G3232" s="127">
        <v>9.17E8</v>
      </c>
      <c r="H3232" s="126">
        <v>40246.0</v>
      </c>
      <c r="I3232" s="128">
        <v>6321.0</v>
      </c>
      <c r="J3232" s="128">
        <v>668.27</v>
      </c>
      <c r="K3232" s="128">
        <v>502.54</v>
      </c>
      <c r="L3232" s="128">
        <v>4224135.0</v>
      </c>
      <c r="M3232" s="128">
        <v>3176555.0</v>
      </c>
      <c r="N3232" s="128">
        <v>1047579.0</v>
      </c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</row>
    <row r="3233">
      <c r="A3233" s="125" t="s">
        <v>469</v>
      </c>
      <c r="B3233" s="125" t="s">
        <v>519</v>
      </c>
      <c r="C3233" s="125" t="s">
        <v>456</v>
      </c>
      <c r="D3233" s="125" t="s">
        <v>457</v>
      </c>
      <c r="E3233" s="125" t="s">
        <v>189</v>
      </c>
      <c r="F3233" s="126">
        <v>42281.0</v>
      </c>
      <c r="G3233" s="127">
        <v>1.24E8</v>
      </c>
      <c r="H3233" s="126">
        <v>42300.0</v>
      </c>
      <c r="I3233" s="128">
        <v>2947.0</v>
      </c>
      <c r="J3233" s="128">
        <v>152.58</v>
      </c>
      <c r="K3233" s="128">
        <v>97.44</v>
      </c>
      <c r="L3233" s="128">
        <v>449653.3</v>
      </c>
      <c r="M3233" s="128">
        <v>287155.7</v>
      </c>
      <c r="N3233" s="128">
        <v>162497.6</v>
      </c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</row>
    <row r="3234">
      <c r="A3234" s="125" t="s">
        <v>458</v>
      </c>
      <c r="B3234" s="125" t="s">
        <v>487</v>
      </c>
      <c r="C3234" s="125" t="s">
        <v>485</v>
      </c>
      <c r="D3234" s="125" t="s">
        <v>454</v>
      </c>
      <c r="E3234" s="125" t="s">
        <v>284</v>
      </c>
      <c r="F3234" s="126">
        <v>40379.0</v>
      </c>
      <c r="G3234" s="127">
        <v>2.74E8</v>
      </c>
      <c r="H3234" s="126">
        <v>40382.0</v>
      </c>
      <c r="I3234" s="128">
        <v>1644.0</v>
      </c>
      <c r="J3234" s="128">
        <v>421.89</v>
      </c>
      <c r="K3234" s="128">
        <v>364.69</v>
      </c>
      <c r="L3234" s="128">
        <v>693587.2</v>
      </c>
      <c r="M3234" s="128">
        <v>599550.4</v>
      </c>
      <c r="N3234" s="128">
        <v>94036.8</v>
      </c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</row>
    <row r="3235">
      <c r="A3235" s="125" t="s">
        <v>458</v>
      </c>
      <c r="B3235" s="125" t="s">
        <v>582</v>
      </c>
      <c r="C3235" s="125" t="s">
        <v>506</v>
      </c>
      <c r="D3235" s="125" t="s">
        <v>457</v>
      </c>
      <c r="E3235" s="125" t="s">
        <v>189</v>
      </c>
      <c r="F3235" s="126">
        <v>42802.0</v>
      </c>
      <c r="G3235" s="127">
        <v>9.41E8</v>
      </c>
      <c r="H3235" s="126">
        <v>42814.0</v>
      </c>
      <c r="I3235" s="128">
        <v>9917.0</v>
      </c>
      <c r="J3235" s="128">
        <v>154.06</v>
      </c>
      <c r="K3235" s="128">
        <v>90.93</v>
      </c>
      <c r="L3235" s="128">
        <v>1527813.0</v>
      </c>
      <c r="M3235" s="128">
        <v>901752.8</v>
      </c>
      <c r="N3235" s="128">
        <v>626060.2</v>
      </c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</row>
    <row r="3236">
      <c r="A3236" s="125" t="s">
        <v>458</v>
      </c>
      <c r="B3236" s="125" t="s">
        <v>597</v>
      </c>
      <c r="C3236" s="125" t="s">
        <v>485</v>
      </c>
      <c r="D3236" s="125" t="s">
        <v>454</v>
      </c>
      <c r="E3236" s="125" t="s">
        <v>189</v>
      </c>
      <c r="F3236" s="126">
        <v>41615.0</v>
      </c>
      <c r="G3236" s="127">
        <v>4.21E8</v>
      </c>
      <c r="H3236" s="126">
        <v>41618.0</v>
      </c>
      <c r="I3236" s="128">
        <v>7302.0</v>
      </c>
      <c r="J3236" s="128">
        <v>421.89</v>
      </c>
      <c r="K3236" s="128">
        <v>364.69</v>
      </c>
      <c r="L3236" s="128">
        <v>3080641.0</v>
      </c>
      <c r="M3236" s="128">
        <v>2662966.0</v>
      </c>
      <c r="N3236" s="128">
        <v>417674.4</v>
      </c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</row>
    <row r="3237">
      <c r="A3237" s="125" t="s">
        <v>461</v>
      </c>
      <c r="B3237" s="125" t="s">
        <v>511</v>
      </c>
      <c r="C3237" s="125" t="s">
        <v>485</v>
      </c>
      <c r="D3237" s="125" t="s">
        <v>457</v>
      </c>
      <c r="E3237" s="125" t="s">
        <v>464</v>
      </c>
      <c r="F3237" s="126">
        <v>41719.0</v>
      </c>
      <c r="G3237" s="127">
        <v>6.81E8</v>
      </c>
      <c r="H3237" s="126">
        <v>41744.0</v>
      </c>
      <c r="I3237" s="128">
        <v>367.0</v>
      </c>
      <c r="J3237" s="128">
        <v>421.89</v>
      </c>
      <c r="K3237" s="128">
        <v>364.69</v>
      </c>
      <c r="L3237" s="128">
        <v>154833.6</v>
      </c>
      <c r="M3237" s="128">
        <v>133841.2</v>
      </c>
      <c r="N3237" s="128">
        <v>20992.4</v>
      </c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</row>
    <row r="3238">
      <c r="A3238" s="125" t="s">
        <v>475</v>
      </c>
      <c r="B3238" s="125" t="s">
        <v>585</v>
      </c>
      <c r="C3238" s="125" t="s">
        <v>494</v>
      </c>
      <c r="D3238" s="125" t="s">
        <v>454</v>
      </c>
      <c r="E3238" s="125" t="s">
        <v>189</v>
      </c>
      <c r="F3238" s="126">
        <v>42873.0</v>
      </c>
      <c r="G3238" s="127">
        <v>6.04E8</v>
      </c>
      <c r="H3238" s="126">
        <v>42911.0</v>
      </c>
      <c r="I3238" s="128">
        <v>7710.0</v>
      </c>
      <c r="J3238" s="128">
        <v>9.33</v>
      </c>
      <c r="K3238" s="128">
        <v>6.92</v>
      </c>
      <c r="L3238" s="128">
        <v>71934.3</v>
      </c>
      <c r="M3238" s="128">
        <v>53353.2</v>
      </c>
      <c r="N3238" s="128">
        <v>18581.1</v>
      </c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</row>
    <row r="3239">
      <c r="A3239" s="125" t="s">
        <v>451</v>
      </c>
      <c r="B3239" s="125" t="s">
        <v>593</v>
      </c>
      <c r="C3239" s="125" t="s">
        <v>480</v>
      </c>
      <c r="D3239" s="125" t="s">
        <v>457</v>
      </c>
      <c r="E3239" s="125" t="s">
        <v>189</v>
      </c>
      <c r="F3239" s="126">
        <v>41074.0</v>
      </c>
      <c r="G3239" s="127">
        <v>9.49E8</v>
      </c>
      <c r="H3239" s="126">
        <v>41115.0</v>
      </c>
      <c r="I3239" s="128">
        <v>4960.0</v>
      </c>
      <c r="J3239" s="128">
        <v>437.2</v>
      </c>
      <c r="K3239" s="128">
        <v>263.33</v>
      </c>
      <c r="L3239" s="128">
        <v>2168512.0</v>
      </c>
      <c r="M3239" s="128">
        <v>1306117.0</v>
      </c>
      <c r="N3239" s="128">
        <v>862395.2</v>
      </c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</row>
    <row r="3240">
      <c r="A3240" s="125" t="s">
        <v>458</v>
      </c>
      <c r="B3240" s="125" t="s">
        <v>626</v>
      </c>
      <c r="C3240" s="125" t="s">
        <v>480</v>
      </c>
      <c r="D3240" s="125" t="s">
        <v>454</v>
      </c>
      <c r="E3240" s="125" t="s">
        <v>472</v>
      </c>
      <c r="F3240" s="126">
        <v>41009.0</v>
      </c>
      <c r="G3240" s="127">
        <v>2.91E8</v>
      </c>
      <c r="H3240" s="126">
        <v>41055.0</v>
      </c>
      <c r="I3240" s="128">
        <v>9780.0</v>
      </c>
      <c r="J3240" s="128">
        <v>437.2</v>
      </c>
      <c r="K3240" s="128">
        <v>263.33</v>
      </c>
      <c r="L3240" s="128">
        <v>4275816.0</v>
      </c>
      <c r="M3240" s="128">
        <v>2575367.0</v>
      </c>
      <c r="N3240" s="128">
        <v>1700449.0</v>
      </c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</row>
    <row r="3241">
      <c r="A3241" s="125" t="s">
        <v>469</v>
      </c>
      <c r="B3241" s="125" t="s">
        <v>501</v>
      </c>
      <c r="C3241" s="125" t="s">
        <v>494</v>
      </c>
      <c r="D3241" s="125" t="s">
        <v>454</v>
      </c>
      <c r="E3241" s="125" t="s">
        <v>284</v>
      </c>
      <c r="F3241" s="126">
        <v>40835.0</v>
      </c>
      <c r="G3241" s="127">
        <v>8.78E8</v>
      </c>
      <c r="H3241" s="126">
        <v>40837.0</v>
      </c>
      <c r="I3241" s="128">
        <v>6862.0</v>
      </c>
      <c r="J3241" s="128">
        <v>9.33</v>
      </c>
      <c r="K3241" s="128">
        <v>6.92</v>
      </c>
      <c r="L3241" s="128">
        <v>64022.46</v>
      </c>
      <c r="M3241" s="128">
        <v>47485.04</v>
      </c>
      <c r="N3241" s="128">
        <v>16537.42</v>
      </c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</row>
    <row r="3242">
      <c r="A3242" s="125" t="s">
        <v>475</v>
      </c>
      <c r="B3242" s="125" t="s">
        <v>574</v>
      </c>
      <c r="C3242" s="125" t="s">
        <v>506</v>
      </c>
      <c r="D3242" s="125" t="s">
        <v>454</v>
      </c>
      <c r="E3242" s="125" t="s">
        <v>189</v>
      </c>
      <c r="F3242" s="126">
        <v>41867.0</v>
      </c>
      <c r="G3242" s="127">
        <v>9.76E8</v>
      </c>
      <c r="H3242" s="126">
        <v>41894.0</v>
      </c>
      <c r="I3242" s="128">
        <v>2928.0</v>
      </c>
      <c r="J3242" s="128">
        <v>154.06</v>
      </c>
      <c r="K3242" s="128">
        <v>90.93</v>
      </c>
      <c r="L3242" s="128">
        <v>451087.7</v>
      </c>
      <c r="M3242" s="128">
        <v>266243.0</v>
      </c>
      <c r="N3242" s="128">
        <v>184844.6</v>
      </c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</row>
    <row r="3243">
      <c r="A3243" s="125" t="s">
        <v>458</v>
      </c>
      <c r="B3243" s="125" t="s">
        <v>653</v>
      </c>
      <c r="C3243" s="125" t="s">
        <v>494</v>
      </c>
      <c r="D3243" s="125" t="s">
        <v>457</v>
      </c>
      <c r="E3243" s="125" t="s">
        <v>189</v>
      </c>
      <c r="F3243" s="126">
        <v>41660.0</v>
      </c>
      <c r="G3243" s="127">
        <v>7.24E8</v>
      </c>
      <c r="H3243" s="126">
        <v>41680.0</v>
      </c>
      <c r="I3243" s="128">
        <v>1735.0</v>
      </c>
      <c r="J3243" s="128">
        <v>9.33</v>
      </c>
      <c r="K3243" s="128">
        <v>6.92</v>
      </c>
      <c r="L3243" s="128">
        <v>16187.55</v>
      </c>
      <c r="M3243" s="128">
        <v>12006.2</v>
      </c>
      <c r="N3243" s="128">
        <v>4181.35</v>
      </c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</row>
    <row r="3244">
      <c r="A3244" s="125" t="s">
        <v>475</v>
      </c>
      <c r="B3244" s="125" t="s">
        <v>574</v>
      </c>
      <c r="C3244" s="125" t="s">
        <v>471</v>
      </c>
      <c r="D3244" s="125" t="s">
        <v>457</v>
      </c>
      <c r="E3244" s="125" t="s">
        <v>472</v>
      </c>
      <c r="F3244" s="126">
        <v>40921.0</v>
      </c>
      <c r="G3244" s="127">
        <v>7.79E8</v>
      </c>
      <c r="H3244" s="126">
        <v>40968.0</v>
      </c>
      <c r="I3244" s="128">
        <v>9068.0</v>
      </c>
      <c r="J3244" s="128">
        <v>109.28</v>
      </c>
      <c r="K3244" s="128">
        <v>35.84</v>
      </c>
      <c r="L3244" s="128">
        <v>990951.0</v>
      </c>
      <c r="M3244" s="128">
        <v>324997.1</v>
      </c>
      <c r="N3244" s="128">
        <v>665953.9</v>
      </c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</row>
    <row r="3245">
      <c r="A3245" s="125" t="s">
        <v>461</v>
      </c>
      <c r="B3245" s="125" t="s">
        <v>581</v>
      </c>
      <c r="C3245" s="125" t="s">
        <v>485</v>
      </c>
      <c r="D3245" s="125" t="s">
        <v>454</v>
      </c>
      <c r="E3245" s="125" t="s">
        <v>189</v>
      </c>
      <c r="F3245" s="126">
        <v>42133.0</v>
      </c>
      <c r="G3245" s="127">
        <v>9.69E8</v>
      </c>
      <c r="H3245" s="126">
        <v>42144.0</v>
      </c>
      <c r="I3245" s="128">
        <v>7744.0</v>
      </c>
      <c r="J3245" s="128">
        <v>421.89</v>
      </c>
      <c r="K3245" s="128">
        <v>364.69</v>
      </c>
      <c r="L3245" s="128">
        <v>3267116.0</v>
      </c>
      <c r="M3245" s="128">
        <v>2824159.0</v>
      </c>
      <c r="N3245" s="128">
        <v>442956.8</v>
      </c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</row>
    <row r="3246">
      <c r="A3246" s="125" t="s">
        <v>475</v>
      </c>
      <c r="B3246" s="125" t="s">
        <v>544</v>
      </c>
      <c r="C3246" s="125" t="s">
        <v>453</v>
      </c>
      <c r="D3246" s="125" t="s">
        <v>454</v>
      </c>
      <c r="E3246" s="125" t="s">
        <v>472</v>
      </c>
      <c r="F3246" s="126">
        <v>42634.0</v>
      </c>
      <c r="G3246" s="127">
        <v>7.43E8</v>
      </c>
      <c r="H3246" s="126">
        <v>42664.0</v>
      </c>
      <c r="I3246" s="128">
        <v>2612.0</v>
      </c>
      <c r="J3246" s="128">
        <v>255.28</v>
      </c>
      <c r="K3246" s="128">
        <v>159.42</v>
      </c>
      <c r="L3246" s="128">
        <v>666791.4</v>
      </c>
      <c r="M3246" s="128">
        <v>416405.0</v>
      </c>
      <c r="N3246" s="128">
        <v>250386.3</v>
      </c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</row>
    <row r="3247">
      <c r="A3247" s="125" t="s">
        <v>461</v>
      </c>
      <c r="B3247" s="125" t="s">
        <v>644</v>
      </c>
      <c r="C3247" s="125" t="s">
        <v>456</v>
      </c>
      <c r="D3247" s="125" t="s">
        <v>457</v>
      </c>
      <c r="E3247" s="125" t="s">
        <v>464</v>
      </c>
      <c r="F3247" s="126">
        <v>41532.0</v>
      </c>
      <c r="G3247" s="127">
        <v>5.2E8</v>
      </c>
      <c r="H3247" s="126">
        <v>41541.0</v>
      </c>
      <c r="I3247" s="128">
        <v>5553.0</v>
      </c>
      <c r="J3247" s="128">
        <v>152.58</v>
      </c>
      <c r="K3247" s="128">
        <v>97.44</v>
      </c>
      <c r="L3247" s="128">
        <v>847276.7</v>
      </c>
      <c r="M3247" s="128">
        <v>541084.3</v>
      </c>
      <c r="N3247" s="128">
        <v>306192.4</v>
      </c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</row>
    <row r="3248">
      <c r="A3248" s="125" t="s">
        <v>451</v>
      </c>
      <c r="B3248" s="125" t="s">
        <v>608</v>
      </c>
      <c r="C3248" s="125" t="s">
        <v>485</v>
      </c>
      <c r="D3248" s="125" t="s">
        <v>454</v>
      </c>
      <c r="E3248" s="125" t="s">
        <v>284</v>
      </c>
      <c r="F3248" s="126">
        <v>41094.0</v>
      </c>
      <c r="G3248" s="127">
        <v>3.38E8</v>
      </c>
      <c r="H3248" s="126">
        <v>41110.0</v>
      </c>
      <c r="I3248" s="128">
        <v>477.0</v>
      </c>
      <c r="J3248" s="128">
        <v>421.89</v>
      </c>
      <c r="K3248" s="128">
        <v>364.69</v>
      </c>
      <c r="L3248" s="128">
        <v>201241.5</v>
      </c>
      <c r="M3248" s="128">
        <v>173957.1</v>
      </c>
      <c r="N3248" s="128">
        <v>27284.4</v>
      </c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</row>
    <row r="3249">
      <c r="A3249" s="125" t="s">
        <v>475</v>
      </c>
      <c r="B3249" s="125" t="s">
        <v>528</v>
      </c>
      <c r="C3249" s="125" t="s">
        <v>494</v>
      </c>
      <c r="D3249" s="125" t="s">
        <v>457</v>
      </c>
      <c r="E3249" s="125" t="s">
        <v>284</v>
      </c>
      <c r="F3249" s="126">
        <v>42590.0</v>
      </c>
      <c r="G3249" s="127">
        <v>3.07E8</v>
      </c>
      <c r="H3249" s="126">
        <v>42597.0</v>
      </c>
      <c r="I3249" s="128">
        <v>8326.0</v>
      </c>
      <c r="J3249" s="128">
        <v>9.33</v>
      </c>
      <c r="K3249" s="128">
        <v>6.92</v>
      </c>
      <c r="L3249" s="128">
        <v>77681.58</v>
      </c>
      <c r="M3249" s="128">
        <v>57615.92</v>
      </c>
      <c r="N3249" s="128">
        <v>20065.66</v>
      </c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</row>
    <row r="3250">
      <c r="A3250" s="125" t="s">
        <v>461</v>
      </c>
      <c r="B3250" s="125" t="s">
        <v>621</v>
      </c>
      <c r="C3250" s="125" t="s">
        <v>506</v>
      </c>
      <c r="D3250" s="125" t="s">
        <v>457</v>
      </c>
      <c r="E3250" s="125" t="s">
        <v>472</v>
      </c>
      <c r="F3250" s="126">
        <v>42147.0</v>
      </c>
      <c r="G3250" s="127">
        <v>1.58E8</v>
      </c>
      <c r="H3250" s="126">
        <v>42151.0</v>
      </c>
      <c r="I3250" s="128">
        <v>2074.0</v>
      </c>
      <c r="J3250" s="128">
        <v>154.06</v>
      </c>
      <c r="K3250" s="128">
        <v>90.93</v>
      </c>
      <c r="L3250" s="128">
        <v>319520.4</v>
      </c>
      <c r="M3250" s="128">
        <v>188588.8</v>
      </c>
      <c r="N3250" s="128">
        <v>130931.6</v>
      </c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</row>
    <row r="3251">
      <c r="A3251" s="125" t="s">
        <v>469</v>
      </c>
      <c r="B3251" s="125" t="s">
        <v>617</v>
      </c>
      <c r="C3251" s="125" t="s">
        <v>480</v>
      </c>
      <c r="D3251" s="125" t="s">
        <v>457</v>
      </c>
      <c r="E3251" s="125" t="s">
        <v>284</v>
      </c>
      <c r="F3251" s="126">
        <v>40433.0</v>
      </c>
      <c r="G3251" s="127">
        <v>5.89E8</v>
      </c>
      <c r="H3251" s="126">
        <v>40447.0</v>
      </c>
      <c r="I3251" s="128">
        <v>1727.0</v>
      </c>
      <c r="J3251" s="128">
        <v>437.2</v>
      </c>
      <c r="K3251" s="128">
        <v>263.33</v>
      </c>
      <c r="L3251" s="128">
        <v>755044.4</v>
      </c>
      <c r="M3251" s="128">
        <v>454770.9</v>
      </c>
      <c r="N3251" s="128">
        <v>300273.5</v>
      </c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</row>
    <row r="3252">
      <c r="A3252" s="125" t="s">
        <v>475</v>
      </c>
      <c r="B3252" s="125" t="s">
        <v>636</v>
      </c>
      <c r="C3252" s="125" t="s">
        <v>468</v>
      </c>
      <c r="D3252" s="125" t="s">
        <v>457</v>
      </c>
      <c r="E3252" s="125" t="s">
        <v>284</v>
      </c>
      <c r="F3252" s="126">
        <v>41267.0</v>
      </c>
      <c r="G3252" s="127">
        <v>1.21E8</v>
      </c>
      <c r="H3252" s="126">
        <v>41276.0</v>
      </c>
      <c r="I3252" s="128">
        <v>9319.0</v>
      </c>
      <c r="J3252" s="128">
        <v>81.73</v>
      </c>
      <c r="K3252" s="128">
        <v>56.67</v>
      </c>
      <c r="L3252" s="128">
        <v>761641.9</v>
      </c>
      <c r="M3252" s="128">
        <v>528107.7</v>
      </c>
      <c r="N3252" s="128">
        <v>233534.1</v>
      </c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</row>
    <row r="3253">
      <c r="A3253" s="125" t="s">
        <v>451</v>
      </c>
      <c r="B3253" s="125" t="s">
        <v>490</v>
      </c>
      <c r="C3253" s="125" t="s">
        <v>456</v>
      </c>
      <c r="D3253" s="125" t="s">
        <v>454</v>
      </c>
      <c r="E3253" s="125" t="s">
        <v>284</v>
      </c>
      <c r="F3253" s="126">
        <v>41945.0</v>
      </c>
      <c r="G3253" s="127">
        <v>9.46E8</v>
      </c>
      <c r="H3253" s="126">
        <v>41995.0</v>
      </c>
      <c r="I3253" s="128">
        <v>3920.0</v>
      </c>
      <c r="J3253" s="128">
        <v>152.58</v>
      </c>
      <c r="K3253" s="128">
        <v>97.44</v>
      </c>
      <c r="L3253" s="128">
        <v>598113.6</v>
      </c>
      <c r="M3253" s="128">
        <v>381964.8</v>
      </c>
      <c r="N3253" s="128">
        <v>216148.8</v>
      </c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</row>
    <row r="3254">
      <c r="A3254" s="125" t="s">
        <v>466</v>
      </c>
      <c r="B3254" s="125" t="s">
        <v>484</v>
      </c>
      <c r="C3254" s="125" t="s">
        <v>471</v>
      </c>
      <c r="D3254" s="125" t="s">
        <v>457</v>
      </c>
      <c r="E3254" s="125" t="s">
        <v>472</v>
      </c>
      <c r="F3254" s="126">
        <v>42915.0</v>
      </c>
      <c r="G3254" s="127">
        <v>3.73E8</v>
      </c>
      <c r="H3254" s="126">
        <v>42922.0</v>
      </c>
      <c r="I3254" s="128">
        <v>6626.0</v>
      </c>
      <c r="J3254" s="128">
        <v>109.28</v>
      </c>
      <c r="K3254" s="128">
        <v>35.84</v>
      </c>
      <c r="L3254" s="128">
        <v>724089.3</v>
      </c>
      <c r="M3254" s="128">
        <v>237475.8</v>
      </c>
      <c r="N3254" s="128">
        <v>486613.4</v>
      </c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</row>
    <row r="3255">
      <c r="A3255" s="125" t="s">
        <v>451</v>
      </c>
      <c r="B3255" s="125" t="s">
        <v>482</v>
      </c>
      <c r="C3255" s="125" t="s">
        <v>506</v>
      </c>
      <c r="D3255" s="125" t="s">
        <v>457</v>
      </c>
      <c r="E3255" s="125" t="s">
        <v>189</v>
      </c>
      <c r="F3255" s="126">
        <v>40869.0</v>
      </c>
      <c r="G3255" s="127">
        <v>2.85E8</v>
      </c>
      <c r="H3255" s="126">
        <v>40915.0</v>
      </c>
      <c r="I3255" s="128">
        <v>5569.0</v>
      </c>
      <c r="J3255" s="128">
        <v>154.06</v>
      </c>
      <c r="K3255" s="128">
        <v>90.93</v>
      </c>
      <c r="L3255" s="128">
        <v>857960.1</v>
      </c>
      <c r="M3255" s="128">
        <v>506389.2</v>
      </c>
      <c r="N3255" s="128">
        <v>351571.0</v>
      </c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</row>
    <row r="3256">
      <c r="A3256" s="125" t="s">
        <v>461</v>
      </c>
      <c r="B3256" s="125" t="s">
        <v>586</v>
      </c>
      <c r="C3256" s="125" t="s">
        <v>494</v>
      </c>
      <c r="D3256" s="125" t="s">
        <v>454</v>
      </c>
      <c r="E3256" s="125" t="s">
        <v>284</v>
      </c>
      <c r="F3256" s="126">
        <v>41182.0</v>
      </c>
      <c r="G3256" s="127">
        <v>3.82E8</v>
      </c>
      <c r="H3256" s="126">
        <v>41219.0</v>
      </c>
      <c r="I3256" s="128">
        <v>909.0</v>
      </c>
      <c r="J3256" s="128">
        <v>9.33</v>
      </c>
      <c r="K3256" s="128">
        <v>6.92</v>
      </c>
      <c r="L3256" s="128">
        <v>8480.97</v>
      </c>
      <c r="M3256" s="128">
        <v>6290.28</v>
      </c>
      <c r="N3256" s="128">
        <v>2190.69</v>
      </c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</row>
    <row r="3257">
      <c r="A3257" s="125" t="s">
        <v>475</v>
      </c>
      <c r="B3257" s="125" t="s">
        <v>628</v>
      </c>
      <c r="C3257" s="125" t="s">
        <v>478</v>
      </c>
      <c r="D3257" s="125" t="s">
        <v>454</v>
      </c>
      <c r="E3257" s="125" t="s">
        <v>284</v>
      </c>
      <c r="F3257" s="126">
        <v>42705.0</v>
      </c>
      <c r="G3257" s="127">
        <v>4.37E8</v>
      </c>
      <c r="H3257" s="126">
        <v>42751.0</v>
      </c>
      <c r="I3257" s="128">
        <v>9839.0</v>
      </c>
      <c r="J3257" s="128">
        <v>651.21</v>
      </c>
      <c r="K3257" s="128">
        <v>524.96</v>
      </c>
      <c r="L3257" s="128">
        <v>6407255.0</v>
      </c>
      <c r="M3257" s="128">
        <v>5165081.0</v>
      </c>
      <c r="N3257" s="128">
        <v>1242174.0</v>
      </c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</row>
    <row r="3258">
      <c r="A3258" s="125" t="s">
        <v>458</v>
      </c>
      <c r="B3258" s="125" t="s">
        <v>505</v>
      </c>
      <c r="C3258" s="125" t="s">
        <v>506</v>
      </c>
      <c r="D3258" s="125" t="s">
        <v>454</v>
      </c>
      <c r="E3258" s="125" t="s">
        <v>189</v>
      </c>
      <c r="F3258" s="126">
        <v>41912.0</v>
      </c>
      <c r="G3258" s="127">
        <v>7.43E8</v>
      </c>
      <c r="H3258" s="126">
        <v>41960.0</v>
      </c>
      <c r="I3258" s="128">
        <v>1581.0</v>
      </c>
      <c r="J3258" s="128">
        <v>154.06</v>
      </c>
      <c r="K3258" s="128">
        <v>90.93</v>
      </c>
      <c r="L3258" s="128">
        <v>243568.9</v>
      </c>
      <c r="M3258" s="128">
        <v>143760.3</v>
      </c>
      <c r="N3258" s="128">
        <v>99808.53</v>
      </c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</row>
    <row r="3259">
      <c r="A3259" s="125" t="s">
        <v>458</v>
      </c>
      <c r="B3259" s="125" t="s">
        <v>547</v>
      </c>
      <c r="C3259" s="125" t="s">
        <v>514</v>
      </c>
      <c r="D3259" s="125" t="s">
        <v>454</v>
      </c>
      <c r="E3259" s="125" t="s">
        <v>189</v>
      </c>
      <c r="F3259" s="126">
        <v>42580.0</v>
      </c>
      <c r="G3259" s="127">
        <v>7.6E8</v>
      </c>
      <c r="H3259" s="126">
        <v>42588.0</v>
      </c>
      <c r="I3259" s="128">
        <v>2392.0</v>
      </c>
      <c r="J3259" s="128">
        <v>668.27</v>
      </c>
      <c r="K3259" s="128">
        <v>502.54</v>
      </c>
      <c r="L3259" s="128">
        <v>1598502.0</v>
      </c>
      <c r="M3259" s="128">
        <v>1202076.0</v>
      </c>
      <c r="N3259" s="128">
        <v>396426.2</v>
      </c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</row>
    <row r="3260">
      <c r="A3260" s="125" t="s">
        <v>451</v>
      </c>
      <c r="B3260" s="125" t="s">
        <v>499</v>
      </c>
      <c r="C3260" s="125" t="s">
        <v>456</v>
      </c>
      <c r="D3260" s="125" t="s">
        <v>454</v>
      </c>
      <c r="E3260" s="125" t="s">
        <v>472</v>
      </c>
      <c r="F3260" s="126">
        <v>40579.0</v>
      </c>
      <c r="G3260" s="127">
        <v>4.74E8</v>
      </c>
      <c r="H3260" s="126">
        <v>40583.0</v>
      </c>
      <c r="I3260" s="128">
        <v>558.0</v>
      </c>
      <c r="J3260" s="128">
        <v>152.58</v>
      </c>
      <c r="K3260" s="128">
        <v>97.44</v>
      </c>
      <c r="L3260" s="128">
        <v>85139.64</v>
      </c>
      <c r="M3260" s="128">
        <v>54371.52</v>
      </c>
      <c r="N3260" s="128">
        <v>30768.12</v>
      </c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</row>
    <row r="3261">
      <c r="A3261" s="125" t="s">
        <v>475</v>
      </c>
      <c r="B3261" s="125" t="s">
        <v>528</v>
      </c>
      <c r="C3261" s="125" t="s">
        <v>506</v>
      </c>
      <c r="D3261" s="125" t="s">
        <v>454</v>
      </c>
      <c r="E3261" s="125" t="s">
        <v>189</v>
      </c>
      <c r="F3261" s="126">
        <v>41845.0</v>
      </c>
      <c r="G3261" s="127">
        <v>8.35E8</v>
      </c>
      <c r="H3261" s="126">
        <v>41847.0</v>
      </c>
      <c r="I3261" s="128">
        <v>1395.0</v>
      </c>
      <c r="J3261" s="128">
        <v>154.06</v>
      </c>
      <c r="K3261" s="128">
        <v>90.93</v>
      </c>
      <c r="L3261" s="128">
        <v>214913.7</v>
      </c>
      <c r="M3261" s="128">
        <v>126847.4</v>
      </c>
      <c r="N3261" s="128">
        <v>88066.35</v>
      </c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</row>
    <row r="3262">
      <c r="A3262" s="125" t="s">
        <v>466</v>
      </c>
      <c r="B3262" s="125" t="s">
        <v>535</v>
      </c>
      <c r="C3262" s="125" t="s">
        <v>506</v>
      </c>
      <c r="D3262" s="125" t="s">
        <v>454</v>
      </c>
      <c r="E3262" s="125" t="s">
        <v>464</v>
      </c>
      <c r="F3262" s="126">
        <v>41644.0</v>
      </c>
      <c r="G3262" s="127">
        <v>6.19E8</v>
      </c>
      <c r="H3262" s="126">
        <v>41677.0</v>
      </c>
      <c r="I3262" s="128">
        <v>2252.0</v>
      </c>
      <c r="J3262" s="128">
        <v>154.06</v>
      </c>
      <c r="K3262" s="128">
        <v>90.93</v>
      </c>
      <c r="L3262" s="128">
        <v>346943.1</v>
      </c>
      <c r="M3262" s="128">
        <v>204774.4</v>
      </c>
      <c r="N3262" s="128">
        <v>142168.8</v>
      </c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</row>
    <row r="3263">
      <c r="A3263" s="125" t="s">
        <v>475</v>
      </c>
      <c r="B3263" s="125" t="s">
        <v>504</v>
      </c>
      <c r="C3263" s="125" t="s">
        <v>506</v>
      </c>
      <c r="D3263" s="125" t="s">
        <v>454</v>
      </c>
      <c r="E3263" s="125" t="s">
        <v>189</v>
      </c>
      <c r="F3263" s="126">
        <v>42542.0</v>
      </c>
      <c r="G3263" s="127">
        <v>4.69E8</v>
      </c>
      <c r="H3263" s="126">
        <v>42553.0</v>
      </c>
      <c r="I3263" s="128">
        <v>7509.0</v>
      </c>
      <c r="J3263" s="128">
        <v>154.06</v>
      </c>
      <c r="K3263" s="128">
        <v>90.93</v>
      </c>
      <c r="L3263" s="128">
        <v>1156837.0</v>
      </c>
      <c r="M3263" s="128">
        <v>682793.4</v>
      </c>
      <c r="N3263" s="128">
        <v>474043.2</v>
      </c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</row>
    <row r="3264">
      <c r="A3264" s="125" t="s">
        <v>469</v>
      </c>
      <c r="B3264" s="125" t="s">
        <v>650</v>
      </c>
      <c r="C3264" s="125" t="s">
        <v>478</v>
      </c>
      <c r="D3264" s="125" t="s">
        <v>457</v>
      </c>
      <c r="E3264" s="125" t="s">
        <v>464</v>
      </c>
      <c r="F3264" s="126">
        <v>41964.0</v>
      </c>
      <c r="G3264" s="127">
        <v>6.49E8</v>
      </c>
      <c r="H3264" s="126">
        <v>41985.0</v>
      </c>
      <c r="I3264" s="128">
        <v>3578.0</v>
      </c>
      <c r="J3264" s="128">
        <v>651.21</v>
      </c>
      <c r="K3264" s="128">
        <v>524.96</v>
      </c>
      <c r="L3264" s="128">
        <v>2330029.0</v>
      </c>
      <c r="M3264" s="128">
        <v>1878307.0</v>
      </c>
      <c r="N3264" s="128">
        <v>451722.5</v>
      </c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</row>
    <row r="3265">
      <c r="A3265" s="125" t="s">
        <v>466</v>
      </c>
      <c r="B3265" s="125" t="s">
        <v>474</v>
      </c>
      <c r="C3265" s="125" t="s">
        <v>514</v>
      </c>
      <c r="D3265" s="125" t="s">
        <v>457</v>
      </c>
      <c r="E3265" s="125" t="s">
        <v>284</v>
      </c>
      <c r="F3265" s="126">
        <v>41872.0</v>
      </c>
      <c r="G3265" s="127">
        <v>5.93E8</v>
      </c>
      <c r="H3265" s="126">
        <v>41901.0</v>
      </c>
      <c r="I3265" s="128">
        <v>3900.0</v>
      </c>
      <c r="J3265" s="128">
        <v>668.27</v>
      </c>
      <c r="K3265" s="128">
        <v>502.54</v>
      </c>
      <c r="L3265" s="128">
        <v>2606253.0</v>
      </c>
      <c r="M3265" s="128">
        <v>1959906.0</v>
      </c>
      <c r="N3265" s="128">
        <v>646347.0</v>
      </c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</row>
    <row r="3266">
      <c r="A3266" s="125" t="s">
        <v>475</v>
      </c>
      <c r="B3266" s="125" t="s">
        <v>651</v>
      </c>
      <c r="C3266" s="125" t="s">
        <v>453</v>
      </c>
      <c r="D3266" s="125" t="s">
        <v>457</v>
      </c>
      <c r="E3266" s="125" t="s">
        <v>189</v>
      </c>
      <c r="F3266" s="126">
        <v>41852.0</v>
      </c>
      <c r="G3266" s="127">
        <v>2.56E8</v>
      </c>
      <c r="H3266" s="126">
        <v>41872.0</v>
      </c>
      <c r="I3266" s="128">
        <v>3950.0</v>
      </c>
      <c r="J3266" s="128">
        <v>255.28</v>
      </c>
      <c r="K3266" s="128">
        <v>159.42</v>
      </c>
      <c r="L3266" s="128">
        <v>1008356.0</v>
      </c>
      <c r="M3266" s="128">
        <v>629709.0</v>
      </c>
      <c r="N3266" s="128">
        <v>378647.0</v>
      </c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</row>
    <row r="3267">
      <c r="A3267" s="125" t="s">
        <v>461</v>
      </c>
      <c r="B3267" s="125" t="s">
        <v>638</v>
      </c>
      <c r="C3267" s="125" t="s">
        <v>514</v>
      </c>
      <c r="D3267" s="125" t="s">
        <v>454</v>
      </c>
      <c r="E3267" s="125" t="s">
        <v>284</v>
      </c>
      <c r="F3267" s="126">
        <v>40495.0</v>
      </c>
      <c r="G3267" s="127">
        <v>5.64E8</v>
      </c>
      <c r="H3267" s="126">
        <v>40508.0</v>
      </c>
      <c r="I3267" s="128">
        <v>6232.0</v>
      </c>
      <c r="J3267" s="128">
        <v>668.27</v>
      </c>
      <c r="K3267" s="128">
        <v>502.54</v>
      </c>
      <c r="L3267" s="128">
        <v>4164659.0</v>
      </c>
      <c r="M3267" s="128">
        <v>3131829.0</v>
      </c>
      <c r="N3267" s="128">
        <v>1032829.0</v>
      </c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</row>
    <row r="3268">
      <c r="A3268" s="125" t="s">
        <v>458</v>
      </c>
      <c r="B3268" s="125" t="s">
        <v>597</v>
      </c>
      <c r="C3268" s="125" t="s">
        <v>480</v>
      </c>
      <c r="D3268" s="125" t="s">
        <v>454</v>
      </c>
      <c r="E3268" s="125" t="s">
        <v>189</v>
      </c>
      <c r="F3268" s="126">
        <v>42313.0</v>
      </c>
      <c r="G3268" s="127">
        <v>2.61E8</v>
      </c>
      <c r="H3268" s="126">
        <v>42357.0</v>
      </c>
      <c r="I3268" s="128">
        <v>5282.0</v>
      </c>
      <c r="J3268" s="128">
        <v>437.2</v>
      </c>
      <c r="K3268" s="128">
        <v>263.33</v>
      </c>
      <c r="L3268" s="128">
        <v>2309290.0</v>
      </c>
      <c r="M3268" s="128">
        <v>1390909.0</v>
      </c>
      <c r="N3268" s="128">
        <v>918381.3</v>
      </c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</row>
    <row r="3269">
      <c r="A3269" s="125" t="s">
        <v>461</v>
      </c>
      <c r="B3269" s="125" t="s">
        <v>511</v>
      </c>
      <c r="C3269" s="125" t="s">
        <v>514</v>
      </c>
      <c r="D3269" s="125" t="s">
        <v>457</v>
      </c>
      <c r="E3269" s="125" t="s">
        <v>472</v>
      </c>
      <c r="F3269" s="126">
        <v>42527.0</v>
      </c>
      <c r="G3269" s="127">
        <v>8.63E8</v>
      </c>
      <c r="H3269" s="126">
        <v>42560.0</v>
      </c>
      <c r="I3269" s="128">
        <v>2668.0</v>
      </c>
      <c r="J3269" s="128">
        <v>668.27</v>
      </c>
      <c r="K3269" s="128">
        <v>502.54</v>
      </c>
      <c r="L3269" s="128">
        <v>1782944.0</v>
      </c>
      <c r="M3269" s="128">
        <v>1340777.0</v>
      </c>
      <c r="N3269" s="128">
        <v>442167.6</v>
      </c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</row>
    <row r="3270">
      <c r="A3270" s="125" t="s">
        <v>461</v>
      </c>
      <c r="B3270" s="125" t="s">
        <v>576</v>
      </c>
      <c r="C3270" s="125" t="s">
        <v>468</v>
      </c>
      <c r="D3270" s="125" t="s">
        <v>457</v>
      </c>
      <c r="E3270" s="125" t="s">
        <v>284</v>
      </c>
      <c r="F3270" s="126">
        <v>42277.0</v>
      </c>
      <c r="G3270" s="127">
        <v>8.06E8</v>
      </c>
      <c r="H3270" s="126">
        <v>42294.0</v>
      </c>
      <c r="I3270" s="128">
        <v>1988.0</v>
      </c>
      <c r="J3270" s="128">
        <v>81.73</v>
      </c>
      <c r="K3270" s="128">
        <v>56.67</v>
      </c>
      <c r="L3270" s="128">
        <v>162479.2</v>
      </c>
      <c r="M3270" s="128">
        <v>112660.0</v>
      </c>
      <c r="N3270" s="128">
        <v>49819.28</v>
      </c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</row>
    <row r="3271">
      <c r="A3271" s="125" t="s">
        <v>475</v>
      </c>
      <c r="B3271" s="125" t="s">
        <v>562</v>
      </c>
      <c r="C3271" s="125" t="s">
        <v>514</v>
      </c>
      <c r="D3271" s="125" t="s">
        <v>457</v>
      </c>
      <c r="E3271" s="125" t="s">
        <v>284</v>
      </c>
      <c r="F3271" s="126">
        <v>41711.0</v>
      </c>
      <c r="G3271" s="127">
        <v>3.97E8</v>
      </c>
      <c r="H3271" s="126">
        <v>41731.0</v>
      </c>
      <c r="I3271" s="128">
        <v>3873.0</v>
      </c>
      <c r="J3271" s="128">
        <v>668.27</v>
      </c>
      <c r="K3271" s="128">
        <v>502.54</v>
      </c>
      <c r="L3271" s="128">
        <v>2588210.0</v>
      </c>
      <c r="M3271" s="128">
        <v>1946337.0</v>
      </c>
      <c r="N3271" s="128">
        <v>641872.3</v>
      </c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</row>
    <row r="3272">
      <c r="A3272" s="125" t="s">
        <v>458</v>
      </c>
      <c r="B3272" s="125" t="s">
        <v>606</v>
      </c>
      <c r="C3272" s="125" t="s">
        <v>485</v>
      </c>
      <c r="D3272" s="125" t="s">
        <v>454</v>
      </c>
      <c r="E3272" s="125" t="s">
        <v>472</v>
      </c>
      <c r="F3272" s="126">
        <v>41366.0</v>
      </c>
      <c r="G3272" s="127">
        <v>4.63E8</v>
      </c>
      <c r="H3272" s="126">
        <v>41396.0</v>
      </c>
      <c r="I3272" s="128">
        <v>983.0</v>
      </c>
      <c r="J3272" s="128">
        <v>421.89</v>
      </c>
      <c r="K3272" s="128">
        <v>364.69</v>
      </c>
      <c r="L3272" s="128">
        <v>414717.9</v>
      </c>
      <c r="M3272" s="128">
        <v>358490.3</v>
      </c>
      <c r="N3272" s="128">
        <v>56227.6</v>
      </c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</row>
    <row r="3273">
      <c r="A3273" s="125" t="s">
        <v>461</v>
      </c>
      <c r="B3273" s="125" t="s">
        <v>576</v>
      </c>
      <c r="C3273" s="125" t="s">
        <v>468</v>
      </c>
      <c r="D3273" s="125" t="s">
        <v>454</v>
      </c>
      <c r="E3273" s="125" t="s">
        <v>189</v>
      </c>
      <c r="F3273" s="126">
        <v>40783.0</v>
      </c>
      <c r="G3273" s="127">
        <v>9.99E8</v>
      </c>
      <c r="H3273" s="126">
        <v>40804.0</v>
      </c>
      <c r="I3273" s="128">
        <v>3011.0</v>
      </c>
      <c r="J3273" s="128">
        <v>81.73</v>
      </c>
      <c r="K3273" s="128">
        <v>56.67</v>
      </c>
      <c r="L3273" s="128">
        <v>246089.0</v>
      </c>
      <c r="M3273" s="128">
        <v>170633.4</v>
      </c>
      <c r="N3273" s="128">
        <v>75455.66</v>
      </c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</row>
    <row r="3274">
      <c r="A3274" s="125" t="s">
        <v>475</v>
      </c>
      <c r="B3274" s="125" t="s">
        <v>565</v>
      </c>
      <c r="C3274" s="125" t="s">
        <v>480</v>
      </c>
      <c r="D3274" s="125" t="s">
        <v>457</v>
      </c>
      <c r="E3274" s="125" t="s">
        <v>472</v>
      </c>
      <c r="F3274" s="126">
        <v>42659.0</v>
      </c>
      <c r="G3274" s="127">
        <v>7.23E8</v>
      </c>
      <c r="H3274" s="126">
        <v>42692.0</v>
      </c>
      <c r="I3274" s="128">
        <v>1680.0</v>
      </c>
      <c r="J3274" s="128">
        <v>437.2</v>
      </c>
      <c r="K3274" s="128">
        <v>263.33</v>
      </c>
      <c r="L3274" s="128">
        <v>734496.0</v>
      </c>
      <c r="M3274" s="128">
        <v>442394.4</v>
      </c>
      <c r="N3274" s="128">
        <v>292101.6</v>
      </c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</row>
    <row r="3275">
      <c r="A3275" s="125" t="s">
        <v>461</v>
      </c>
      <c r="B3275" s="125" t="s">
        <v>618</v>
      </c>
      <c r="C3275" s="125" t="s">
        <v>471</v>
      </c>
      <c r="D3275" s="125" t="s">
        <v>457</v>
      </c>
      <c r="E3275" s="125" t="s">
        <v>472</v>
      </c>
      <c r="F3275" s="126">
        <v>40400.0</v>
      </c>
      <c r="G3275" s="127">
        <v>2.24E8</v>
      </c>
      <c r="H3275" s="126">
        <v>40442.0</v>
      </c>
      <c r="I3275" s="128">
        <v>5745.0</v>
      </c>
      <c r="J3275" s="128">
        <v>109.28</v>
      </c>
      <c r="K3275" s="128">
        <v>35.84</v>
      </c>
      <c r="L3275" s="128">
        <v>627813.6</v>
      </c>
      <c r="M3275" s="128">
        <v>205900.8</v>
      </c>
      <c r="N3275" s="128">
        <v>421912.8</v>
      </c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</row>
    <row r="3276">
      <c r="A3276" s="125" t="s">
        <v>488</v>
      </c>
      <c r="B3276" s="125" t="s">
        <v>577</v>
      </c>
      <c r="C3276" s="125" t="s">
        <v>485</v>
      </c>
      <c r="D3276" s="125" t="s">
        <v>457</v>
      </c>
      <c r="E3276" s="125" t="s">
        <v>189</v>
      </c>
      <c r="F3276" s="126">
        <v>41630.0</v>
      </c>
      <c r="G3276" s="127">
        <v>6.08E8</v>
      </c>
      <c r="H3276" s="126">
        <v>41669.0</v>
      </c>
      <c r="I3276" s="128">
        <v>5993.0</v>
      </c>
      <c r="J3276" s="128">
        <v>421.89</v>
      </c>
      <c r="K3276" s="128">
        <v>364.69</v>
      </c>
      <c r="L3276" s="128">
        <v>2528387.0</v>
      </c>
      <c r="M3276" s="128">
        <v>2185587.0</v>
      </c>
      <c r="N3276" s="128">
        <v>342799.6</v>
      </c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</row>
    <row r="3277">
      <c r="A3277" s="125" t="s">
        <v>458</v>
      </c>
      <c r="B3277" s="125" t="s">
        <v>529</v>
      </c>
      <c r="C3277" s="125" t="s">
        <v>468</v>
      </c>
      <c r="D3277" s="125" t="s">
        <v>457</v>
      </c>
      <c r="E3277" s="125" t="s">
        <v>472</v>
      </c>
      <c r="F3277" s="126">
        <v>41914.0</v>
      </c>
      <c r="G3277" s="127">
        <v>3.53E8</v>
      </c>
      <c r="H3277" s="126">
        <v>41916.0</v>
      </c>
      <c r="I3277" s="128">
        <v>240.0</v>
      </c>
      <c r="J3277" s="128">
        <v>81.73</v>
      </c>
      <c r="K3277" s="128">
        <v>56.67</v>
      </c>
      <c r="L3277" s="128">
        <v>19615.2</v>
      </c>
      <c r="M3277" s="128">
        <v>13600.8</v>
      </c>
      <c r="N3277" s="128">
        <v>6014.4</v>
      </c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</row>
    <row r="3278">
      <c r="A3278" s="125" t="s">
        <v>469</v>
      </c>
      <c r="B3278" s="125" t="s">
        <v>634</v>
      </c>
      <c r="C3278" s="125" t="s">
        <v>463</v>
      </c>
      <c r="D3278" s="125" t="s">
        <v>457</v>
      </c>
      <c r="E3278" s="125" t="s">
        <v>472</v>
      </c>
      <c r="F3278" s="126">
        <v>42740.0</v>
      </c>
      <c r="G3278" s="127">
        <v>2.6E8</v>
      </c>
      <c r="H3278" s="126">
        <v>42764.0</v>
      </c>
      <c r="I3278" s="128">
        <v>8336.0</v>
      </c>
      <c r="J3278" s="128">
        <v>205.7</v>
      </c>
      <c r="K3278" s="128">
        <v>117.11</v>
      </c>
      <c r="L3278" s="128">
        <v>1714715.0</v>
      </c>
      <c r="M3278" s="128">
        <v>976229.0</v>
      </c>
      <c r="N3278" s="128">
        <v>738486.2</v>
      </c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</row>
    <row r="3279">
      <c r="A3279" s="125" t="s">
        <v>475</v>
      </c>
      <c r="B3279" s="125" t="s">
        <v>619</v>
      </c>
      <c r="C3279" s="125" t="s">
        <v>463</v>
      </c>
      <c r="D3279" s="125" t="s">
        <v>457</v>
      </c>
      <c r="E3279" s="125" t="s">
        <v>464</v>
      </c>
      <c r="F3279" s="126">
        <v>41834.0</v>
      </c>
      <c r="G3279" s="127">
        <v>2.95E8</v>
      </c>
      <c r="H3279" s="126">
        <v>41869.0</v>
      </c>
      <c r="I3279" s="128">
        <v>7161.0</v>
      </c>
      <c r="J3279" s="128">
        <v>205.7</v>
      </c>
      <c r="K3279" s="128">
        <v>117.11</v>
      </c>
      <c r="L3279" s="128">
        <v>1473018.0</v>
      </c>
      <c r="M3279" s="128">
        <v>838624.7</v>
      </c>
      <c r="N3279" s="128">
        <v>634393.0</v>
      </c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</row>
    <row r="3280">
      <c r="A3280" s="125" t="s">
        <v>469</v>
      </c>
      <c r="B3280" s="125" t="s">
        <v>530</v>
      </c>
      <c r="C3280" s="125" t="s">
        <v>506</v>
      </c>
      <c r="D3280" s="125" t="s">
        <v>454</v>
      </c>
      <c r="E3280" s="125" t="s">
        <v>464</v>
      </c>
      <c r="F3280" s="126">
        <v>42845.0</v>
      </c>
      <c r="G3280" s="127">
        <v>9.49E8</v>
      </c>
      <c r="H3280" s="126">
        <v>42872.0</v>
      </c>
      <c r="I3280" s="128">
        <v>5624.0</v>
      </c>
      <c r="J3280" s="128">
        <v>154.06</v>
      </c>
      <c r="K3280" s="128">
        <v>90.93</v>
      </c>
      <c r="L3280" s="128">
        <v>866433.4</v>
      </c>
      <c r="M3280" s="128">
        <v>511390.3</v>
      </c>
      <c r="N3280" s="128">
        <v>355043.1</v>
      </c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</row>
    <row r="3281">
      <c r="A3281" s="125" t="s">
        <v>475</v>
      </c>
      <c r="B3281" s="125" t="s">
        <v>562</v>
      </c>
      <c r="C3281" s="125" t="s">
        <v>453</v>
      </c>
      <c r="D3281" s="125" t="s">
        <v>457</v>
      </c>
      <c r="E3281" s="125" t="s">
        <v>189</v>
      </c>
      <c r="F3281" s="126">
        <v>42894.0</v>
      </c>
      <c r="G3281" s="127">
        <v>9.8E8</v>
      </c>
      <c r="H3281" s="126">
        <v>42928.0</v>
      </c>
      <c r="I3281" s="128">
        <v>9670.0</v>
      </c>
      <c r="J3281" s="128">
        <v>255.28</v>
      </c>
      <c r="K3281" s="128">
        <v>159.42</v>
      </c>
      <c r="L3281" s="128">
        <v>2468558.0</v>
      </c>
      <c r="M3281" s="128">
        <v>1541591.0</v>
      </c>
      <c r="N3281" s="128">
        <v>926966.2</v>
      </c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</row>
    <row r="3282">
      <c r="A3282" s="125" t="s">
        <v>451</v>
      </c>
      <c r="B3282" s="125" t="s">
        <v>587</v>
      </c>
      <c r="C3282" s="125" t="s">
        <v>485</v>
      </c>
      <c r="D3282" s="125" t="s">
        <v>454</v>
      </c>
      <c r="E3282" s="125" t="s">
        <v>284</v>
      </c>
      <c r="F3282" s="126">
        <v>42259.0</v>
      </c>
      <c r="G3282" s="127">
        <v>5.69E8</v>
      </c>
      <c r="H3282" s="126">
        <v>42309.0</v>
      </c>
      <c r="I3282" s="128">
        <v>7271.0</v>
      </c>
      <c r="J3282" s="128">
        <v>421.89</v>
      </c>
      <c r="K3282" s="128">
        <v>364.69</v>
      </c>
      <c r="L3282" s="128">
        <v>3067562.0</v>
      </c>
      <c r="M3282" s="128">
        <v>2651661.0</v>
      </c>
      <c r="N3282" s="128">
        <v>415901.2</v>
      </c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</row>
    <row r="3283">
      <c r="A3283" s="125" t="s">
        <v>475</v>
      </c>
      <c r="B3283" s="125" t="s">
        <v>591</v>
      </c>
      <c r="C3283" s="125" t="s">
        <v>456</v>
      </c>
      <c r="D3283" s="125" t="s">
        <v>454</v>
      </c>
      <c r="E3283" s="125" t="s">
        <v>284</v>
      </c>
      <c r="F3283" s="126">
        <v>40222.0</v>
      </c>
      <c r="G3283" s="127">
        <v>8.65E8</v>
      </c>
      <c r="H3283" s="126">
        <v>40228.0</v>
      </c>
      <c r="I3283" s="128">
        <v>3432.0</v>
      </c>
      <c r="J3283" s="128">
        <v>152.58</v>
      </c>
      <c r="K3283" s="128">
        <v>97.44</v>
      </c>
      <c r="L3283" s="128">
        <v>523654.6</v>
      </c>
      <c r="M3283" s="128">
        <v>334414.1</v>
      </c>
      <c r="N3283" s="128">
        <v>189240.5</v>
      </c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</row>
    <row r="3284">
      <c r="A3284" s="125" t="s">
        <v>466</v>
      </c>
      <c r="B3284" s="125" t="s">
        <v>467</v>
      </c>
      <c r="C3284" s="125" t="s">
        <v>478</v>
      </c>
      <c r="D3284" s="125" t="s">
        <v>454</v>
      </c>
      <c r="E3284" s="125" t="s">
        <v>464</v>
      </c>
      <c r="F3284" s="126">
        <v>41987.0</v>
      </c>
      <c r="G3284" s="127">
        <v>8.39E8</v>
      </c>
      <c r="H3284" s="126">
        <v>41990.0</v>
      </c>
      <c r="I3284" s="128">
        <v>5190.0</v>
      </c>
      <c r="J3284" s="128">
        <v>651.21</v>
      </c>
      <c r="K3284" s="128">
        <v>524.96</v>
      </c>
      <c r="L3284" s="128">
        <v>3379780.0</v>
      </c>
      <c r="M3284" s="128">
        <v>2724542.0</v>
      </c>
      <c r="N3284" s="128">
        <v>655237.5</v>
      </c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</row>
    <row r="3285">
      <c r="A3285" s="125" t="s">
        <v>458</v>
      </c>
      <c r="B3285" s="125" t="s">
        <v>567</v>
      </c>
      <c r="C3285" s="125" t="s">
        <v>460</v>
      </c>
      <c r="D3285" s="125" t="s">
        <v>454</v>
      </c>
      <c r="E3285" s="125" t="s">
        <v>472</v>
      </c>
      <c r="F3285" s="126">
        <v>40699.0</v>
      </c>
      <c r="G3285" s="127">
        <v>4.32E8</v>
      </c>
      <c r="H3285" s="126">
        <v>40723.0</v>
      </c>
      <c r="I3285" s="128">
        <v>6612.0</v>
      </c>
      <c r="J3285" s="128">
        <v>47.45</v>
      </c>
      <c r="K3285" s="128">
        <v>31.79</v>
      </c>
      <c r="L3285" s="128">
        <v>313739.4</v>
      </c>
      <c r="M3285" s="128">
        <v>210195.5</v>
      </c>
      <c r="N3285" s="128">
        <v>103543.9</v>
      </c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</row>
    <row r="3286">
      <c r="A3286" s="125" t="s">
        <v>458</v>
      </c>
      <c r="B3286" s="125" t="s">
        <v>567</v>
      </c>
      <c r="C3286" s="125" t="s">
        <v>514</v>
      </c>
      <c r="D3286" s="125" t="s">
        <v>454</v>
      </c>
      <c r="E3286" s="125" t="s">
        <v>464</v>
      </c>
      <c r="F3286" s="126">
        <v>40958.0</v>
      </c>
      <c r="G3286" s="127">
        <v>1.04E8</v>
      </c>
      <c r="H3286" s="126">
        <v>40974.0</v>
      </c>
      <c r="I3286" s="128">
        <v>3796.0</v>
      </c>
      <c r="J3286" s="128">
        <v>668.27</v>
      </c>
      <c r="K3286" s="128">
        <v>502.54</v>
      </c>
      <c r="L3286" s="128">
        <v>2536753.0</v>
      </c>
      <c r="M3286" s="128">
        <v>1907642.0</v>
      </c>
      <c r="N3286" s="128">
        <v>629111.1</v>
      </c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</row>
    <row r="3287">
      <c r="A3287" s="125" t="s">
        <v>475</v>
      </c>
      <c r="B3287" s="125" t="s">
        <v>528</v>
      </c>
      <c r="C3287" s="125" t="s">
        <v>494</v>
      </c>
      <c r="D3287" s="125" t="s">
        <v>457</v>
      </c>
      <c r="E3287" s="125" t="s">
        <v>189</v>
      </c>
      <c r="F3287" s="126">
        <v>40836.0</v>
      </c>
      <c r="G3287" s="127">
        <v>3.87E8</v>
      </c>
      <c r="H3287" s="126">
        <v>40852.0</v>
      </c>
      <c r="I3287" s="128">
        <v>9872.0</v>
      </c>
      <c r="J3287" s="128">
        <v>9.33</v>
      </c>
      <c r="K3287" s="128">
        <v>6.92</v>
      </c>
      <c r="L3287" s="128">
        <v>92105.76</v>
      </c>
      <c r="M3287" s="128">
        <v>68314.24</v>
      </c>
      <c r="N3287" s="128">
        <v>23791.52</v>
      </c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</row>
    <row r="3288">
      <c r="A3288" s="125" t="s">
        <v>451</v>
      </c>
      <c r="B3288" s="125" t="s">
        <v>592</v>
      </c>
      <c r="C3288" s="125" t="s">
        <v>471</v>
      </c>
      <c r="D3288" s="125" t="s">
        <v>457</v>
      </c>
      <c r="E3288" s="125" t="s">
        <v>464</v>
      </c>
      <c r="F3288" s="126">
        <v>41561.0</v>
      </c>
      <c r="G3288" s="127">
        <v>5.32E8</v>
      </c>
      <c r="H3288" s="126">
        <v>41586.0</v>
      </c>
      <c r="I3288" s="128">
        <v>2.0</v>
      </c>
      <c r="J3288" s="128">
        <v>109.28</v>
      </c>
      <c r="K3288" s="128">
        <v>35.84</v>
      </c>
      <c r="L3288" s="128">
        <v>218.56</v>
      </c>
      <c r="M3288" s="128">
        <v>71.68</v>
      </c>
      <c r="N3288" s="128">
        <v>146.88</v>
      </c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</row>
    <row r="3289">
      <c r="A3289" s="125" t="s">
        <v>458</v>
      </c>
      <c r="B3289" s="125" t="s">
        <v>538</v>
      </c>
      <c r="C3289" s="125" t="s">
        <v>468</v>
      </c>
      <c r="D3289" s="125" t="s">
        <v>454</v>
      </c>
      <c r="E3289" s="125" t="s">
        <v>189</v>
      </c>
      <c r="F3289" s="126">
        <v>40600.0</v>
      </c>
      <c r="G3289" s="127">
        <v>7.62E8</v>
      </c>
      <c r="H3289" s="126">
        <v>40630.0</v>
      </c>
      <c r="I3289" s="128">
        <v>6378.0</v>
      </c>
      <c r="J3289" s="128">
        <v>81.73</v>
      </c>
      <c r="K3289" s="128">
        <v>56.67</v>
      </c>
      <c r="L3289" s="128">
        <v>521273.9</v>
      </c>
      <c r="M3289" s="128">
        <v>361441.3</v>
      </c>
      <c r="N3289" s="128">
        <v>159832.7</v>
      </c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</row>
    <row r="3290">
      <c r="A3290" s="125" t="s">
        <v>458</v>
      </c>
      <c r="B3290" s="125" t="s">
        <v>515</v>
      </c>
      <c r="C3290" s="125" t="s">
        <v>456</v>
      </c>
      <c r="D3290" s="125" t="s">
        <v>457</v>
      </c>
      <c r="E3290" s="125" t="s">
        <v>472</v>
      </c>
      <c r="F3290" s="126">
        <v>41343.0</v>
      </c>
      <c r="G3290" s="127">
        <v>9.18E8</v>
      </c>
      <c r="H3290" s="126">
        <v>41375.0</v>
      </c>
      <c r="I3290" s="128">
        <v>3223.0</v>
      </c>
      <c r="J3290" s="128">
        <v>152.58</v>
      </c>
      <c r="K3290" s="128">
        <v>97.44</v>
      </c>
      <c r="L3290" s="128">
        <v>491765.3</v>
      </c>
      <c r="M3290" s="128">
        <v>314049.1</v>
      </c>
      <c r="N3290" s="128">
        <v>177716.2</v>
      </c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</row>
    <row r="3291">
      <c r="A3291" s="125" t="s">
        <v>458</v>
      </c>
      <c r="B3291" s="125" t="s">
        <v>653</v>
      </c>
      <c r="C3291" s="125" t="s">
        <v>485</v>
      </c>
      <c r="D3291" s="125" t="s">
        <v>454</v>
      </c>
      <c r="E3291" s="125" t="s">
        <v>189</v>
      </c>
      <c r="F3291" s="126">
        <v>40651.0</v>
      </c>
      <c r="G3291" s="127">
        <v>9.14E8</v>
      </c>
      <c r="H3291" s="126">
        <v>40672.0</v>
      </c>
      <c r="I3291" s="128">
        <v>1793.0</v>
      </c>
      <c r="J3291" s="128">
        <v>421.89</v>
      </c>
      <c r="K3291" s="128">
        <v>364.69</v>
      </c>
      <c r="L3291" s="128">
        <v>756448.8</v>
      </c>
      <c r="M3291" s="128">
        <v>653889.2</v>
      </c>
      <c r="N3291" s="128">
        <v>102559.6</v>
      </c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</row>
    <row r="3292">
      <c r="A3292" s="125" t="s">
        <v>475</v>
      </c>
      <c r="B3292" s="125" t="s">
        <v>657</v>
      </c>
      <c r="C3292" s="125" t="s">
        <v>514</v>
      </c>
      <c r="D3292" s="125" t="s">
        <v>457</v>
      </c>
      <c r="E3292" s="125" t="s">
        <v>472</v>
      </c>
      <c r="F3292" s="126">
        <v>41309.0</v>
      </c>
      <c r="G3292" s="127">
        <v>2.81E8</v>
      </c>
      <c r="H3292" s="126">
        <v>41359.0</v>
      </c>
      <c r="I3292" s="128">
        <v>5373.0</v>
      </c>
      <c r="J3292" s="128">
        <v>668.27</v>
      </c>
      <c r="K3292" s="128">
        <v>502.54</v>
      </c>
      <c r="L3292" s="128">
        <v>3590615.0</v>
      </c>
      <c r="M3292" s="128">
        <v>2700147.0</v>
      </c>
      <c r="N3292" s="128">
        <v>890467.3</v>
      </c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</row>
    <row r="3293">
      <c r="A3293" s="125" t="s">
        <v>475</v>
      </c>
      <c r="B3293" s="125" t="s">
        <v>544</v>
      </c>
      <c r="C3293" s="125" t="s">
        <v>506</v>
      </c>
      <c r="D3293" s="125" t="s">
        <v>457</v>
      </c>
      <c r="E3293" s="125" t="s">
        <v>472</v>
      </c>
      <c r="F3293" s="126">
        <v>42339.0</v>
      </c>
      <c r="G3293" s="127">
        <v>4.24E8</v>
      </c>
      <c r="H3293" s="126">
        <v>42348.0</v>
      </c>
      <c r="I3293" s="128">
        <v>4282.0</v>
      </c>
      <c r="J3293" s="128">
        <v>154.06</v>
      </c>
      <c r="K3293" s="128">
        <v>90.93</v>
      </c>
      <c r="L3293" s="128">
        <v>659684.9</v>
      </c>
      <c r="M3293" s="128">
        <v>389362.3</v>
      </c>
      <c r="N3293" s="128">
        <v>270322.7</v>
      </c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</row>
    <row r="3294">
      <c r="A3294" s="125" t="s">
        <v>466</v>
      </c>
      <c r="B3294" s="125" t="s">
        <v>491</v>
      </c>
      <c r="C3294" s="125" t="s">
        <v>463</v>
      </c>
      <c r="D3294" s="125" t="s">
        <v>457</v>
      </c>
      <c r="E3294" s="125" t="s">
        <v>464</v>
      </c>
      <c r="F3294" s="126">
        <v>40389.0</v>
      </c>
      <c r="G3294" s="127">
        <v>5.65E8</v>
      </c>
      <c r="H3294" s="126">
        <v>40393.0</v>
      </c>
      <c r="I3294" s="128">
        <v>866.0</v>
      </c>
      <c r="J3294" s="128">
        <v>205.7</v>
      </c>
      <c r="K3294" s="128">
        <v>117.11</v>
      </c>
      <c r="L3294" s="128">
        <v>178136.2</v>
      </c>
      <c r="M3294" s="128">
        <v>101417.3</v>
      </c>
      <c r="N3294" s="128">
        <v>76718.94</v>
      </c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</row>
    <row r="3295">
      <c r="A3295" s="125" t="s">
        <v>451</v>
      </c>
      <c r="B3295" s="125" t="s">
        <v>499</v>
      </c>
      <c r="C3295" s="125" t="s">
        <v>460</v>
      </c>
      <c r="D3295" s="125" t="s">
        <v>457</v>
      </c>
      <c r="E3295" s="125" t="s">
        <v>472</v>
      </c>
      <c r="F3295" s="126">
        <v>42174.0</v>
      </c>
      <c r="G3295" s="127">
        <v>8.98E8</v>
      </c>
      <c r="H3295" s="126">
        <v>42202.0</v>
      </c>
      <c r="I3295" s="128">
        <v>4508.0</v>
      </c>
      <c r="J3295" s="128">
        <v>47.45</v>
      </c>
      <c r="K3295" s="128">
        <v>31.79</v>
      </c>
      <c r="L3295" s="128">
        <v>213904.6</v>
      </c>
      <c r="M3295" s="128">
        <v>143309.3</v>
      </c>
      <c r="N3295" s="128">
        <v>70595.28</v>
      </c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</row>
    <row r="3296">
      <c r="A3296" s="125" t="s">
        <v>475</v>
      </c>
      <c r="B3296" s="125" t="s">
        <v>605</v>
      </c>
      <c r="C3296" s="125" t="s">
        <v>478</v>
      </c>
      <c r="D3296" s="125" t="s">
        <v>457</v>
      </c>
      <c r="E3296" s="125" t="s">
        <v>472</v>
      </c>
      <c r="F3296" s="126">
        <v>40971.0</v>
      </c>
      <c r="G3296" s="127">
        <v>3.38E8</v>
      </c>
      <c r="H3296" s="126">
        <v>41007.0</v>
      </c>
      <c r="I3296" s="128">
        <v>6616.0</v>
      </c>
      <c r="J3296" s="128">
        <v>651.21</v>
      </c>
      <c r="K3296" s="128">
        <v>524.96</v>
      </c>
      <c r="L3296" s="128">
        <v>4308405.0</v>
      </c>
      <c r="M3296" s="128">
        <v>3473135.0</v>
      </c>
      <c r="N3296" s="128">
        <v>835270.0</v>
      </c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</row>
    <row r="3297">
      <c r="A3297" s="125" t="s">
        <v>451</v>
      </c>
      <c r="B3297" s="125" t="s">
        <v>587</v>
      </c>
      <c r="C3297" s="125" t="s">
        <v>494</v>
      </c>
      <c r="D3297" s="125" t="s">
        <v>454</v>
      </c>
      <c r="E3297" s="125" t="s">
        <v>189</v>
      </c>
      <c r="F3297" s="126">
        <v>42890.0</v>
      </c>
      <c r="G3297" s="127">
        <v>5.7E8</v>
      </c>
      <c r="H3297" s="126">
        <v>42911.0</v>
      </c>
      <c r="I3297" s="128">
        <v>5635.0</v>
      </c>
      <c r="J3297" s="128">
        <v>9.33</v>
      </c>
      <c r="K3297" s="128">
        <v>6.92</v>
      </c>
      <c r="L3297" s="128">
        <v>52574.55</v>
      </c>
      <c r="M3297" s="128">
        <v>38994.2</v>
      </c>
      <c r="N3297" s="128">
        <v>13580.35</v>
      </c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</row>
    <row r="3298">
      <c r="A3298" s="125" t="s">
        <v>458</v>
      </c>
      <c r="B3298" s="125" t="s">
        <v>567</v>
      </c>
      <c r="C3298" s="125" t="s">
        <v>456</v>
      </c>
      <c r="D3298" s="125" t="s">
        <v>454</v>
      </c>
      <c r="E3298" s="125" t="s">
        <v>472</v>
      </c>
      <c r="F3298" s="126">
        <v>40602.0</v>
      </c>
      <c r="G3298" s="127">
        <v>1.96E8</v>
      </c>
      <c r="H3298" s="126">
        <v>40645.0</v>
      </c>
      <c r="I3298" s="128">
        <v>2037.0</v>
      </c>
      <c r="J3298" s="128">
        <v>152.58</v>
      </c>
      <c r="K3298" s="128">
        <v>97.44</v>
      </c>
      <c r="L3298" s="128">
        <v>310805.5</v>
      </c>
      <c r="M3298" s="128">
        <v>198485.3</v>
      </c>
      <c r="N3298" s="128">
        <v>112320.2</v>
      </c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</row>
    <row r="3299">
      <c r="A3299" s="125" t="s">
        <v>461</v>
      </c>
      <c r="B3299" s="125" t="s">
        <v>525</v>
      </c>
      <c r="C3299" s="125" t="s">
        <v>514</v>
      </c>
      <c r="D3299" s="125" t="s">
        <v>454</v>
      </c>
      <c r="E3299" s="125" t="s">
        <v>189</v>
      </c>
      <c r="F3299" s="126">
        <v>42380.0</v>
      </c>
      <c r="G3299" s="127">
        <v>5.94E8</v>
      </c>
      <c r="H3299" s="126">
        <v>42427.0</v>
      </c>
      <c r="I3299" s="128">
        <v>3328.0</v>
      </c>
      <c r="J3299" s="128">
        <v>668.27</v>
      </c>
      <c r="K3299" s="128">
        <v>502.54</v>
      </c>
      <c r="L3299" s="128">
        <v>2224003.0</v>
      </c>
      <c r="M3299" s="128">
        <v>1672453.0</v>
      </c>
      <c r="N3299" s="128">
        <v>551549.4</v>
      </c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</row>
    <row r="3300">
      <c r="A3300" s="125" t="s">
        <v>466</v>
      </c>
      <c r="B3300" s="125" t="s">
        <v>568</v>
      </c>
      <c r="C3300" s="125" t="s">
        <v>480</v>
      </c>
      <c r="D3300" s="125" t="s">
        <v>454</v>
      </c>
      <c r="E3300" s="125" t="s">
        <v>464</v>
      </c>
      <c r="F3300" s="126">
        <v>40288.0</v>
      </c>
      <c r="G3300" s="127">
        <v>9.58E8</v>
      </c>
      <c r="H3300" s="126">
        <v>40329.0</v>
      </c>
      <c r="I3300" s="128">
        <v>9043.0</v>
      </c>
      <c r="J3300" s="128">
        <v>437.2</v>
      </c>
      <c r="K3300" s="128">
        <v>263.33</v>
      </c>
      <c r="L3300" s="128">
        <v>3953600.0</v>
      </c>
      <c r="M3300" s="128">
        <v>2381293.0</v>
      </c>
      <c r="N3300" s="128">
        <v>1572306.0</v>
      </c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</row>
    <row r="3301">
      <c r="A3301" s="125" t="s">
        <v>458</v>
      </c>
      <c r="B3301" s="125" t="s">
        <v>559</v>
      </c>
      <c r="C3301" s="125" t="s">
        <v>468</v>
      </c>
      <c r="D3301" s="125" t="s">
        <v>454</v>
      </c>
      <c r="E3301" s="125" t="s">
        <v>189</v>
      </c>
      <c r="F3301" s="126">
        <v>41994.0</v>
      </c>
      <c r="G3301" s="127">
        <v>5.53E8</v>
      </c>
      <c r="H3301" s="126">
        <v>42017.0</v>
      </c>
      <c r="I3301" s="128">
        <v>5751.0</v>
      </c>
      <c r="J3301" s="128">
        <v>81.73</v>
      </c>
      <c r="K3301" s="128">
        <v>56.67</v>
      </c>
      <c r="L3301" s="128">
        <v>470029.2</v>
      </c>
      <c r="M3301" s="128">
        <v>325909.2</v>
      </c>
      <c r="N3301" s="128">
        <v>144120.1</v>
      </c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</row>
    <row r="3302">
      <c r="A3302" s="125" t="s">
        <v>469</v>
      </c>
      <c r="B3302" s="125" t="s">
        <v>569</v>
      </c>
      <c r="C3302" s="125" t="s">
        <v>463</v>
      </c>
      <c r="D3302" s="125" t="s">
        <v>457</v>
      </c>
      <c r="E3302" s="125" t="s">
        <v>464</v>
      </c>
      <c r="F3302" s="126">
        <v>41724.0</v>
      </c>
      <c r="G3302" s="127">
        <v>9.66E8</v>
      </c>
      <c r="H3302" s="126">
        <v>41727.0</v>
      </c>
      <c r="I3302" s="128">
        <v>2048.0</v>
      </c>
      <c r="J3302" s="128">
        <v>205.7</v>
      </c>
      <c r="K3302" s="128">
        <v>117.11</v>
      </c>
      <c r="L3302" s="128">
        <v>421273.6</v>
      </c>
      <c r="M3302" s="128">
        <v>239841.3</v>
      </c>
      <c r="N3302" s="128">
        <v>181432.3</v>
      </c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</row>
    <row r="3303">
      <c r="A3303" s="125" t="s">
        <v>461</v>
      </c>
      <c r="B3303" s="125" t="s">
        <v>557</v>
      </c>
      <c r="C3303" s="125" t="s">
        <v>453</v>
      </c>
      <c r="D3303" s="125" t="s">
        <v>454</v>
      </c>
      <c r="E3303" s="125" t="s">
        <v>472</v>
      </c>
      <c r="F3303" s="126">
        <v>41009.0</v>
      </c>
      <c r="G3303" s="127">
        <v>2.54E8</v>
      </c>
      <c r="H3303" s="126">
        <v>41042.0</v>
      </c>
      <c r="I3303" s="128">
        <v>3567.0</v>
      </c>
      <c r="J3303" s="128">
        <v>255.28</v>
      </c>
      <c r="K3303" s="128">
        <v>159.42</v>
      </c>
      <c r="L3303" s="128">
        <v>910583.8</v>
      </c>
      <c r="M3303" s="128">
        <v>568651.1</v>
      </c>
      <c r="N3303" s="128">
        <v>341932.6</v>
      </c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</row>
    <row r="3304">
      <c r="A3304" s="125" t="s">
        <v>458</v>
      </c>
      <c r="B3304" s="125" t="s">
        <v>518</v>
      </c>
      <c r="C3304" s="125" t="s">
        <v>463</v>
      </c>
      <c r="D3304" s="125" t="s">
        <v>454</v>
      </c>
      <c r="E3304" s="125" t="s">
        <v>189</v>
      </c>
      <c r="F3304" s="126">
        <v>41767.0</v>
      </c>
      <c r="G3304" s="127">
        <v>5.92E8</v>
      </c>
      <c r="H3304" s="126">
        <v>41789.0</v>
      </c>
      <c r="I3304" s="128">
        <v>7967.0</v>
      </c>
      <c r="J3304" s="128">
        <v>205.7</v>
      </c>
      <c r="K3304" s="128">
        <v>117.11</v>
      </c>
      <c r="L3304" s="128">
        <v>1638812.0</v>
      </c>
      <c r="M3304" s="128">
        <v>933015.4</v>
      </c>
      <c r="N3304" s="128">
        <v>705796.5</v>
      </c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</row>
    <row r="3305">
      <c r="A3305" s="125" t="s">
        <v>458</v>
      </c>
      <c r="B3305" s="125" t="s">
        <v>559</v>
      </c>
      <c r="C3305" s="125" t="s">
        <v>468</v>
      </c>
      <c r="D3305" s="125" t="s">
        <v>454</v>
      </c>
      <c r="E3305" s="125" t="s">
        <v>284</v>
      </c>
      <c r="F3305" s="126">
        <v>42157.0</v>
      </c>
      <c r="G3305" s="127">
        <v>6.27E8</v>
      </c>
      <c r="H3305" s="126">
        <v>42178.0</v>
      </c>
      <c r="I3305" s="128">
        <v>9941.0</v>
      </c>
      <c r="J3305" s="128">
        <v>81.73</v>
      </c>
      <c r="K3305" s="128">
        <v>56.67</v>
      </c>
      <c r="L3305" s="128">
        <v>812477.9</v>
      </c>
      <c r="M3305" s="128">
        <v>563356.5</v>
      </c>
      <c r="N3305" s="128">
        <v>249121.5</v>
      </c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</row>
    <row r="3306">
      <c r="A3306" s="125" t="s">
        <v>475</v>
      </c>
      <c r="B3306" s="125" t="s">
        <v>601</v>
      </c>
      <c r="C3306" s="125" t="s">
        <v>494</v>
      </c>
      <c r="D3306" s="125" t="s">
        <v>454</v>
      </c>
      <c r="E3306" s="125" t="s">
        <v>284</v>
      </c>
      <c r="F3306" s="126">
        <v>40729.0</v>
      </c>
      <c r="G3306" s="127">
        <v>4.28E8</v>
      </c>
      <c r="H3306" s="126">
        <v>40775.0</v>
      </c>
      <c r="I3306" s="128">
        <v>6212.0</v>
      </c>
      <c r="J3306" s="128">
        <v>9.33</v>
      </c>
      <c r="K3306" s="128">
        <v>6.92</v>
      </c>
      <c r="L3306" s="128">
        <v>57957.96</v>
      </c>
      <c r="M3306" s="128">
        <v>42987.04</v>
      </c>
      <c r="N3306" s="128">
        <v>14970.92</v>
      </c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</row>
    <row r="3307">
      <c r="A3307" s="125" t="s">
        <v>466</v>
      </c>
      <c r="B3307" s="125" t="s">
        <v>492</v>
      </c>
      <c r="C3307" s="125" t="s">
        <v>453</v>
      </c>
      <c r="D3307" s="125" t="s">
        <v>454</v>
      </c>
      <c r="E3307" s="125" t="s">
        <v>464</v>
      </c>
      <c r="F3307" s="126">
        <v>40567.0</v>
      </c>
      <c r="G3307" s="127">
        <v>1.31E8</v>
      </c>
      <c r="H3307" s="126">
        <v>40613.0</v>
      </c>
      <c r="I3307" s="128">
        <v>537.0</v>
      </c>
      <c r="J3307" s="128">
        <v>255.28</v>
      </c>
      <c r="K3307" s="128">
        <v>159.42</v>
      </c>
      <c r="L3307" s="128">
        <v>137085.4</v>
      </c>
      <c r="M3307" s="128">
        <v>85608.54</v>
      </c>
      <c r="N3307" s="128">
        <v>51476.82</v>
      </c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</row>
    <row r="3308">
      <c r="A3308" s="125" t="s">
        <v>461</v>
      </c>
      <c r="B3308" s="125" t="s">
        <v>644</v>
      </c>
      <c r="C3308" s="125" t="s">
        <v>485</v>
      </c>
      <c r="D3308" s="125" t="s">
        <v>457</v>
      </c>
      <c r="E3308" s="125" t="s">
        <v>284</v>
      </c>
      <c r="F3308" s="126">
        <v>42382.0</v>
      </c>
      <c r="G3308" s="127">
        <v>3.94E8</v>
      </c>
      <c r="H3308" s="126">
        <v>42420.0</v>
      </c>
      <c r="I3308" s="128">
        <v>8699.0</v>
      </c>
      <c r="J3308" s="128">
        <v>421.89</v>
      </c>
      <c r="K3308" s="128">
        <v>364.69</v>
      </c>
      <c r="L3308" s="128">
        <v>3670021.0</v>
      </c>
      <c r="M3308" s="128">
        <v>3172438.0</v>
      </c>
      <c r="N3308" s="128">
        <v>497582.8</v>
      </c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</row>
    <row r="3309">
      <c r="A3309" s="125" t="s">
        <v>461</v>
      </c>
      <c r="B3309" s="125" t="s">
        <v>576</v>
      </c>
      <c r="C3309" s="125" t="s">
        <v>485</v>
      </c>
      <c r="D3309" s="125" t="s">
        <v>454</v>
      </c>
      <c r="E3309" s="125" t="s">
        <v>284</v>
      </c>
      <c r="F3309" s="126">
        <v>40355.0</v>
      </c>
      <c r="G3309" s="127">
        <v>1.46E8</v>
      </c>
      <c r="H3309" s="126">
        <v>40380.0</v>
      </c>
      <c r="I3309" s="128">
        <v>3518.0</v>
      </c>
      <c r="J3309" s="128">
        <v>421.89</v>
      </c>
      <c r="K3309" s="128">
        <v>364.69</v>
      </c>
      <c r="L3309" s="128">
        <v>1484209.0</v>
      </c>
      <c r="M3309" s="128">
        <v>1282979.0</v>
      </c>
      <c r="N3309" s="128">
        <v>201229.6</v>
      </c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</row>
    <row r="3310">
      <c r="A3310" s="125" t="s">
        <v>475</v>
      </c>
      <c r="B3310" s="125" t="s">
        <v>579</v>
      </c>
      <c r="C3310" s="125" t="s">
        <v>485</v>
      </c>
      <c r="D3310" s="125" t="s">
        <v>457</v>
      </c>
      <c r="E3310" s="125" t="s">
        <v>189</v>
      </c>
      <c r="F3310" s="126">
        <v>42889.0</v>
      </c>
      <c r="G3310" s="127">
        <v>6.34E8</v>
      </c>
      <c r="H3310" s="126">
        <v>42914.0</v>
      </c>
      <c r="I3310" s="128">
        <v>9842.0</v>
      </c>
      <c r="J3310" s="128">
        <v>421.89</v>
      </c>
      <c r="K3310" s="128">
        <v>364.69</v>
      </c>
      <c r="L3310" s="128">
        <v>4152241.0</v>
      </c>
      <c r="M3310" s="128">
        <v>3589279.0</v>
      </c>
      <c r="N3310" s="128">
        <v>562962.4</v>
      </c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</row>
    <row r="3311">
      <c r="A3311" s="125" t="s">
        <v>451</v>
      </c>
      <c r="B3311" s="125" t="s">
        <v>550</v>
      </c>
      <c r="C3311" s="125" t="s">
        <v>463</v>
      </c>
      <c r="D3311" s="125" t="s">
        <v>454</v>
      </c>
      <c r="E3311" s="125" t="s">
        <v>464</v>
      </c>
      <c r="F3311" s="126">
        <v>40797.0</v>
      </c>
      <c r="G3311" s="127">
        <v>4.78E8</v>
      </c>
      <c r="H3311" s="126">
        <v>40840.0</v>
      </c>
      <c r="I3311" s="128">
        <v>9550.0</v>
      </c>
      <c r="J3311" s="128">
        <v>205.7</v>
      </c>
      <c r="K3311" s="128">
        <v>117.11</v>
      </c>
      <c r="L3311" s="128">
        <v>1964435.0</v>
      </c>
      <c r="M3311" s="128">
        <v>1118401.0</v>
      </c>
      <c r="N3311" s="128">
        <v>846034.5</v>
      </c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</row>
    <row r="3312">
      <c r="A3312" s="125" t="s">
        <v>466</v>
      </c>
      <c r="B3312" s="125" t="s">
        <v>534</v>
      </c>
      <c r="C3312" s="125" t="s">
        <v>468</v>
      </c>
      <c r="D3312" s="125" t="s">
        <v>457</v>
      </c>
      <c r="E3312" s="125" t="s">
        <v>284</v>
      </c>
      <c r="F3312" s="126">
        <v>41874.0</v>
      </c>
      <c r="G3312" s="127">
        <v>6.17E8</v>
      </c>
      <c r="H3312" s="126">
        <v>41920.0</v>
      </c>
      <c r="I3312" s="128">
        <v>6554.0</v>
      </c>
      <c r="J3312" s="128">
        <v>81.73</v>
      </c>
      <c r="K3312" s="128">
        <v>56.67</v>
      </c>
      <c r="L3312" s="128">
        <v>535658.4</v>
      </c>
      <c r="M3312" s="128">
        <v>371415.2</v>
      </c>
      <c r="N3312" s="128">
        <v>164243.2</v>
      </c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</row>
    <row r="3313">
      <c r="A3313" s="125" t="s">
        <v>475</v>
      </c>
      <c r="B3313" s="125" t="s">
        <v>526</v>
      </c>
      <c r="C3313" s="125" t="s">
        <v>485</v>
      </c>
      <c r="D3313" s="125" t="s">
        <v>457</v>
      </c>
      <c r="E3313" s="125" t="s">
        <v>284</v>
      </c>
      <c r="F3313" s="126">
        <v>41859.0</v>
      </c>
      <c r="G3313" s="127">
        <v>2.61E8</v>
      </c>
      <c r="H3313" s="126">
        <v>41901.0</v>
      </c>
      <c r="I3313" s="128">
        <v>1795.0</v>
      </c>
      <c r="J3313" s="128">
        <v>421.89</v>
      </c>
      <c r="K3313" s="128">
        <v>364.69</v>
      </c>
      <c r="L3313" s="128">
        <v>757292.6</v>
      </c>
      <c r="M3313" s="128">
        <v>654618.6</v>
      </c>
      <c r="N3313" s="128">
        <v>102674.0</v>
      </c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</row>
    <row r="3314">
      <c r="A3314" s="125" t="s">
        <v>475</v>
      </c>
      <c r="B3314" s="125" t="s">
        <v>528</v>
      </c>
      <c r="C3314" s="125" t="s">
        <v>460</v>
      </c>
      <c r="D3314" s="125" t="s">
        <v>457</v>
      </c>
      <c r="E3314" s="125" t="s">
        <v>284</v>
      </c>
      <c r="F3314" s="126">
        <v>42414.0</v>
      </c>
      <c r="G3314" s="127">
        <v>9.38E8</v>
      </c>
      <c r="H3314" s="126">
        <v>42414.0</v>
      </c>
      <c r="I3314" s="128">
        <v>8249.0</v>
      </c>
      <c r="J3314" s="128">
        <v>47.45</v>
      </c>
      <c r="K3314" s="128">
        <v>31.79</v>
      </c>
      <c r="L3314" s="128">
        <v>391415.1</v>
      </c>
      <c r="M3314" s="128">
        <v>262235.7</v>
      </c>
      <c r="N3314" s="128">
        <v>129179.3</v>
      </c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</row>
    <row r="3315">
      <c r="A3315" s="125" t="s">
        <v>475</v>
      </c>
      <c r="B3315" s="125" t="s">
        <v>572</v>
      </c>
      <c r="C3315" s="125" t="s">
        <v>494</v>
      </c>
      <c r="D3315" s="125" t="s">
        <v>454</v>
      </c>
      <c r="E3315" s="125" t="s">
        <v>464</v>
      </c>
      <c r="F3315" s="126">
        <v>41437.0</v>
      </c>
      <c r="G3315" s="127">
        <v>6.5E8</v>
      </c>
      <c r="H3315" s="126">
        <v>41468.0</v>
      </c>
      <c r="I3315" s="128">
        <v>5919.0</v>
      </c>
      <c r="J3315" s="128">
        <v>9.33</v>
      </c>
      <c r="K3315" s="128">
        <v>6.92</v>
      </c>
      <c r="L3315" s="128">
        <v>55224.27</v>
      </c>
      <c r="M3315" s="128">
        <v>40959.48</v>
      </c>
      <c r="N3315" s="128">
        <v>14264.79</v>
      </c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</row>
    <row r="3316">
      <c r="A3316" s="125" t="s">
        <v>458</v>
      </c>
      <c r="B3316" s="125" t="s">
        <v>622</v>
      </c>
      <c r="C3316" s="125" t="s">
        <v>485</v>
      </c>
      <c r="D3316" s="125" t="s">
        <v>457</v>
      </c>
      <c r="E3316" s="125" t="s">
        <v>189</v>
      </c>
      <c r="F3316" s="126">
        <v>42749.0</v>
      </c>
      <c r="G3316" s="127">
        <v>6.15E8</v>
      </c>
      <c r="H3316" s="126">
        <v>42753.0</v>
      </c>
      <c r="I3316" s="128">
        <v>6842.0</v>
      </c>
      <c r="J3316" s="128">
        <v>421.89</v>
      </c>
      <c r="K3316" s="128">
        <v>364.69</v>
      </c>
      <c r="L3316" s="128">
        <v>2886571.0</v>
      </c>
      <c r="M3316" s="128">
        <v>2495209.0</v>
      </c>
      <c r="N3316" s="128">
        <v>391362.4</v>
      </c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</row>
    <row r="3317">
      <c r="A3317" s="125" t="s">
        <v>466</v>
      </c>
      <c r="B3317" s="125" t="s">
        <v>535</v>
      </c>
      <c r="C3317" s="125" t="s">
        <v>471</v>
      </c>
      <c r="D3317" s="125" t="s">
        <v>454</v>
      </c>
      <c r="E3317" s="125" t="s">
        <v>189</v>
      </c>
      <c r="F3317" s="126">
        <v>40880.0</v>
      </c>
      <c r="G3317" s="127">
        <v>3.26E8</v>
      </c>
      <c r="H3317" s="126">
        <v>40910.0</v>
      </c>
      <c r="I3317" s="128">
        <v>85.0</v>
      </c>
      <c r="J3317" s="128">
        <v>109.28</v>
      </c>
      <c r="K3317" s="128">
        <v>35.84</v>
      </c>
      <c r="L3317" s="128">
        <v>9288.8</v>
      </c>
      <c r="M3317" s="128">
        <v>3046.4</v>
      </c>
      <c r="N3317" s="128">
        <v>6242.4</v>
      </c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</row>
    <row r="3318">
      <c r="A3318" s="125" t="s">
        <v>461</v>
      </c>
      <c r="B3318" s="125" t="s">
        <v>581</v>
      </c>
      <c r="C3318" s="125" t="s">
        <v>460</v>
      </c>
      <c r="D3318" s="125" t="s">
        <v>454</v>
      </c>
      <c r="E3318" s="125" t="s">
        <v>464</v>
      </c>
      <c r="F3318" s="126">
        <v>41810.0</v>
      </c>
      <c r="G3318" s="127">
        <v>6.93E8</v>
      </c>
      <c r="H3318" s="126">
        <v>41841.0</v>
      </c>
      <c r="I3318" s="128">
        <v>6746.0</v>
      </c>
      <c r="J3318" s="128">
        <v>47.45</v>
      </c>
      <c r="K3318" s="128">
        <v>31.79</v>
      </c>
      <c r="L3318" s="128">
        <v>320097.7</v>
      </c>
      <c r="M3318" s="128">
        <v>214455.3</v>
      </c>
      <c r="N3318" s="128">
        <v>105642.4</v>
      </c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</row>
    <row r="3319">
      <c r="A3319" s="125" t="s">
        <v>458</v>
      </c>
      <c r="B3319" s="125" t="s">
        <v>616</v>
      </c>
      <c r="C3319" s="125" t="s">
        <v>460</v>
      </c>
      <c r="D3319" s="125" t="s">
        <v>454</v>
      </c>
      <c r="E3319" s="125" t="s">
        <v>472</v>
      </c>
      <c r="F3319" s="126">
        <v>42229.0</v>
      </c>
      <c r="G3319" s="127">
        <v>8.97E8</v>
      </c>
      <c r="H3319" s="126">
        <v>42248.0</v>
      </c>
      <c r="I3319" s="128">
        <v>4957.0</v>
      </c>
      <c r="J3319" s="128">
        <v>47.45</v>
      </c>
      <c r="K3319" s="128">
        <v>31.79</v>
      </c>
      <c r="L3319" s="128">
        <v>235209.7</v>
      </c>
      <c r="M3319" s="128">
        <v>157583.0</v>
      </c>
      <c r="N3319" s="128">
        <v>77626.62</v>
      </c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</row>
    <row r="3320">
      <c r="A3320" s="125" t="s">
        <v>461</v>
      </c>
      <c r="B3320" s="125" t="s">
        <v>556</v>
      </c>
      <c r="C3320" s="125" t="s">
        <v>485</v>
      </c>
      <c r="D3320" s="125" t="s">
        <v>457</v>
      </c>
      <c r="E3320" s="125" t="s">
        <v>464</v>
      </c>
      <c r="F3320" s="126">
        <v>41983.0</v>
      </c>
      <c r="G3320" s="127">
        <v>6.41E8</v>
      </c>
      <c r="H3320" s="126">
        <v>42003.0</v>
      </c>
      <c r="I3320" s="128">
        <v>4877.0</v>
      </c>
      <c r="J3320" s="128">
        <v>421.89</v>
      </c>
      <c r="K3320" s="128">
        <v>364.69</v>
      </c>
      <c r="L3320" s="128">
        <v>2057558.0</v>
      </c>
      <c r="M3320" s="128">
        <v>1778593.0</v>
      </c>
      <c r="N3320" s="128">
        <v>278964.4</v>
      </c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</row>
    <row r="3321">
      <c r="A3321" s="125" t="s">
        <v>458</v>
      </c>
      <c r="B3321" s="125" t="s">
        <v>498</v>
      </c>
      <c r="C3321" s="125" t="s">
        <v>468</v>
      </c>
      <c r="D3321" s="125" t="s">
        <v>457</v>
      </c>
      <c r="E3321" s="125" t="s">
        <v>464</v>
      </c>
      <c r="F3321" s="126">
        <v>42688.0</v>
      </c>
      <c r="G3321" s="127">
        <v>5.95E8</v>
      </c>
      <c r="H3321" s="126">
        <v>42734.0</v>
      </c>
      <c r="I3321" s="128">
        <v>3699.0</v>
      </c>
      <c r="J3321" s="128">
        <v>81.73</v>
      </c>
      <c r="K3321" s="128">
        <v>56.67</v>
      </c>
      <c r="L3321" s="128">
        <v>302319.3</v>
      </c>
      <c r="M3321" s="128">
        <v>209622.3</v>
      </c>
      <c r="N3321" s="128">
        <v>92696.94</v>
      </c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</row>
    <row r="3322">
      <c r="A3322" s="125" t="s">
        <v>461</v>
      </c>
      <c r="B3322" s="125" t="s">
        <v>611</v>
      </c>
      <c r="C3322" s="125" t="s">
        <v>468</v>
      </c>
      <c r="D3322" s="125" t="s">
        <v>457</v>
      </c>
      <c r="E3322" s="125" t="s">
        <v>189</v>
      </c>
      <c r="F3322" s="126">
        <v>40817.0</v>
      </c>
      <c r="G3322" s="127">
        <v>1.52E8</v>
      </c>
      <c r="H3322" s="126">
        <v>40840.0</v>
      </c>
      <c r="I3322" s="128">
        <v>647.0</v>
      </c>
      <c r="J3322" s="128">
        <v>81.73</v>
      </c>
      <c r="K3322" s="128">
        <v>56.67</v>
      </c>
      <c r="L3322" s="128">
        <v>52879.31</v>
      </c>
      <c r="M3322" s="128">
        <v>36665.49</v>
      </c>
      <c r="N3322" s="128">
        <v>16213.82</v>
      </c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</row>
    <row r="3323">
      <c r="A3323" s="125" t="s">
        <v>458</v>
      </c>
      <c r="B3323" s="125" t="s">
        <v>538</v>
      </c>
      <c r="C3323" s="125" t="s">
        <v>480</v>
      </c>
      <c r="D3323" s="125" t="s">
        <v>457</v>
      </c>
      <c r="E3323" s="125" t="s">
        <v>189</v>
      </c>
      <c r="F3323" s="126">
        <v>42914.0</v>
      </c>
      <c r="G3323" s="127">
        <v>5.75E8</v>
      </c>
      <c r="H3323" s="126">
        <v>42929.0</v>
      </c>
      <c r="I3323" s="128">
        <v>1975.0</v>
      </c>
      <c r="J3323" s="128">
        <v>437.2</v>
      </c>
      <c r="K3323" s="128">
        <v>263.33</v>
      </c>
      <c r="L3323" s="128">
        <v>863470.0</v>
      </c>
      <c r="M3323" s="128">
        <v>520076.8</v>
      </c>
      <c r="N3323" s="128">
        <v>343393.3</v>
      </c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</row>
    <row r="3324">
      <c r="A3324" s="125" t="s">
        <v>458</v>
      </c>
      <c r="B3324" s="125" t="s">
        <v>538</v>
      </c>
      <c r="C3324" s="125" t="s">
        <v>460</v>
      </c>
      <c r="D3324" s="125" t="s">
        <v>457</v>
      </c>
      <c r="E3324" s="125" t="s">
        <v>189</v>
      </c>
      <c r="F3324" s="126">
        <v>42082.0</v>
      </c>
      <c r="G3324" s="127">
        <v>9.46E8</v>
      </c>
      <c r="H3324" s="126">
        <v>42084.0</v>
      </c>
      <c r="I3324" s="128">
        <v>5971.0</v>
      </c>
      <c r="J3324" s="128">
        <v>47.45</v>
      </c>
      <c r="K3324" s="128">
        <v>31.79</v>
      </c>
      <c r="L3324" s="128">
        <v>283324.0</v>
      </c>
      <c r="M3324" s="128">
        <v>189818.1</v>
      </c>
      <c r="N3324" s="128">
        <v>93505.86</v>
      </c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</row>
    <row r="3325">
      <c r="A3325" s="125" t="s">
        <v>461</v>
      </c>
      <c r="B3325" s="125" t="s">
        <v>595</v>
      </c>
      <c r="C3325" s="125" t="s">
        <v>463</v>
      </c>
      <c r="D3325" s="125" t="s">
        <v>457</v>
      </c>
      <c r="E3325" s="125" t="s">
        <v>464</v>
      </c>
      <c r="F3325" s="126">
        <v>41493.0</v>
      </c>
      <c r="G3325" s="127">
        <v>4.2E8</v>
      </c>
      <c r="H3325" s="126">
        <v>41542.0</v>
      </c>
      <c r="I3325" s="128">
        <v>7950.0</v>
      </c>
      <c r="J3325" s="128">
        <v>205.7</v>
      </c>
      <c r="K3325" s="128">
        <v>117.11</v>
      </c>
      <c r="L3325" s="128">
        <v>1635315.0</v>
      </c>
      <c r="M3325" s="128">
        <v>931024.5</v>
      </c>
      <c r="N3325" s="128">
        <v>704290.5</v>
      </c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</row>
    <row r="3326">
      <c r="A3326" s="125" t="s">
        <v>469</v>
      </c>
      <c r="B3326" s="125" t="s">
        <v>501</v>
      </c>
      <c r="C3326" s="125" t="s">
        <v>480</v>
      </c>
      <c r="D3326" s="125" t="s">
        <v>457</v>
      </c>
      <c r="E3326" s="125" t="s">
        <v>472</v>
      </c>
      <c r="F3326" s="126">
        <v>41943.0</v>
      </c>
      <c r="G3326" s="127">
        <v>4.68E8</v>
      </c>
      <c r="H3326" s="126">
        <v>41977.0</v>
      </c>
      <c r="I3326" s="128">
        <v>5262.0</v>
      </c>
      <c r="J3326" s="128">
        <v>437.2</v>
      </c>
      <c r="K3326" s="128">
        <v>263.33</v>
      </c>
      <c r="L3326" s="128">
        <v>2300546.0</v>
      </c>
      <c r="M3326" s="128">
        <v>1385642.0</v>
      </c>
      <c r="N3326" s="128">
        <v>914903.9</v>
      </c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</row>
    <row r="3327">
      <c r="A3327" s="125" t="s">
        <v>475</v>
      </c>
      <c r="B3327" s="125" t="s">
        <v>549</v>
      </c>
      <c r="C3327" s="125" t="s">
        <v>506</v>
      </c>
      <c r="D3327" s="125" t="s">
        <v>454</v>
      </c>
      <c r="E3327" s="125" t="s">
        <v>464</v>
      </c>
      <c r="F3327" s="126">
        <v>40467.0</v>
      </c>
      <c r="G3327" s="127">
        <v>8.35E8</v>
      </c>
      <c r="H3327" s="126">
        <v>40494.0</v>
      </c>
      <c r="I3327" s="128">
        <v>2287.0</v>
      </c>
      <c r="J3327" s="128">
        <v>154.06</v>
      </c>
      <c r="K3327" s="128">
        <v>90.93</v>
      </c>
      <c r="L3327" s="128">
        <v>352335.2</v>
      </c>
      <c r="M3327" s="128">
        <v>207956.9</v>
      </c>
      <c r="N3327" s="128">
        <v>144378.3</v>
      </c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</row>
    <row r="3328">
      <c r="A3328" s="125" t="s">
        <v>458</v>
      </c>
      <c r="B3328" s="125" t="s">
        <v>567</v>
      </c>
      <c r="C3328" s="125" t="s">
        <v>471</v>
      </c>
      <c r="D3328" s="125" t="s">
        <v>457</v>
      </c>
      <c r="E3328" s="125" t="s">
        <v>284</v>
      </c>
      <c r="F3328" s="126">
        <v>42787.0</v>
      </c>
      <c r="G3328" s="127">
        <v>8.86E8</v>
      </c>
      <c r="H3328" s="126">
        <v>42794.0</v>
      </c>
      <c r="I3328" s="128">
        <v>5436.0</v>
      </c>
      <c r="J3328" s="128">
        <v>109.28</v>
      </c>
      <c r="K3328" s="128">
        <v>35.84</v>
      </c>
      <c r="L3328" s="128">
        <v>594046.1</v>
      </c>
      <c r="M3328" s="128">
        <v>194826.2</v>
      </c>
      <c r="N3328" s="128">
        <v>399219.8</v>
      </c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</row>
    <row r="3329">
      <c r="A3329" s="125" t="s">
        <v>458</v>
      </c>
      <c r="B3329" s="125" t="s">
        <v>583</v>
      </c>
      <c r="C3329" s="125" t="s">
        <v>514</v>
      </c>
      <c r="D3329" s="125" t="s">
        <v>457</v>
      </c>
      <c r="E3329" s="125" t="s">
        <v>464</v>
      </c>
      <c r="F3329" s="126">
        <v>42568.0</v>
      </c>
      <c r="G3329" s="127">
        <v>9.54E8</v>
      </c>
      <c r="H3329" s="126">
        <v>42614.0</v>
      </c>
      <c r="I3329" s="128">
        <v>8151.0</v>
      </c>
      <c r="J3329" s="128">
        <v>668.27</v>
      </c>
      <c r="K3329" s="128">
        <v>502.54</v>
      </c>
      <c r="L3329" s="128">
        <v>5447069.0</v>
      </c>
      <c r="M3329" s="128">
        <v>4096204.0</v>
      </c>
      <c r="N3329" s="128">
        <v>1350865.0</v>
      </c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</row>
    <row r="3330">
      <c r="A3330" s="125" t="s">
        <v>458</v>
      </c>
      <c r="B3330" s="125" t="s">
        <v>555</v>
      </c>
      <c r="C3330" s="125" t="s">
        <v>460</v>
      </c>
      <c r="D3330" s="125" t="s">
        <v>454</v>
      </c>
      <c r="E3330" s="125" t="s">
        <v>189</v>
      </c>
      <c r="F3330" s="126">
        <v>42162.0</v>
      </c>
      <c r="G3330" s="127">
        <v>9.94E8</v>
      </c>
      <c r="H3330" s="126">
        <v>42185.0</v>
      </c>
      <c r="I3330" s="128">
        <v>5906.0</v>
      </c>
      <c r="J3330" s="128">
        <v>47.45</v>
      </c>
      <c r="K3330" s="128">
        <v>31.79</v>
      </c>
      <c r="L3330" s="128">
        <v>280239.7</v>
      </c>
      <c r="M3330" s="128">
        <v>187751.7</v>
      </c>
      <c r="N3330" s="128">
        <v>92487.96</v>
      </c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</row>
    <row r="3331">
      <c r="A3331" s="125" t="s">
        <v>458</v>
      </c>
      <c r="B3331" s="125" t="s">
        <v>486</v>
      </c>
      <c r="C3331" s="125" t="s">
        <v>468</v>
      </c>
      <c r="D3331" s="125" t="s">
        <v>454</v>
      </c>
      <c r="E3331" s="125" t="s">
        <v>189</v>
      </c>
      <c r="F3331" s="126">
        <v>42925.0</v>
      </c>
      <c r="G3331" s="127">
        <v>1.32E8</v>
      </c>
      <c r="H3331" s="126">
        <v>42936.0</v>
      </c>
      <c r="I3331" s="128">
        <v>1205.0</v>
      </c>
      <c r="J3331" s="128">
        <v>81.73</v>
      </c>
      <c r="K3331" s="128">
        <v>56.67</v>
      </c>
      <c r="L3331" s="128">
        <v>98484.65</v>
      </c>
      <c r="M3331" s="128">
        <v>68287.35</v>
      </c>
      <c r="N3331" s="128">
        <v>30197.3</v>
      </c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</row>
    <row r="3332">
      <c r="A3332" s="125" t="s">
        <v>475</v>
      </c>
      <c r="B3332" s="125" t="s">
        <v>601</v>
      </c>
      <c r="C3332" s="125" t="s">
        <v>478</v>
      </c>
      <c r="D3332" s="125" t="s">
        <v>457</v>
      </c>
      <c r="E3332" s="125" t="s">
        <v>472</v>
      </c>
      <c r="F3332" s="126">
        <v>41072.0</v>
      </c>
      <c r="G3332" s="127">
        <v>7.12E8</v>
      </c>
      <c r="H3332" s="126">
        <v>41117.0</v>
      </c>
      <c r="I3332" s="128">
        <v>8586.0</v>
      </c>
      <c r="J3332" s="128">
        <v>651.21</v>
      </c>
      <c r="K3332" s="128">
        <v>524.96</v>
      </c>
      <c r="L3332" s="128">
        <v>5591289.0</v>
      </c>
      <c r="M3332" s="128">
        <v>4507307.0</v>
      </c>
      <c r="N3332" s="128">
        <v>1083983.0</v>
      </c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</row>
    <row r="3333">
      <c r="A3333" s="125" t="s">
        <v>475</v>
      </c>
      <c r="B3333" s="125" t="s">
        <v>628</v>
      </c>
      <c r="C3333" s="125" t="s">
        <v>506</v>
      </c>
      <c r="D3333" s="125" t="s">
        <v>457</v>
      </c>
      <c r="E3333" s="125" t="s">
        <v>189</v>
      </c>
      <c r="F3333" s="126">
        <v>42888.0</v>
      </c>
      <c r="G3333" s="127">
        <v>6.51E8</v>
      </c>
      <c r="H3333" s="126">
        <v>42933.0</v>
      </c>
      <c r="I3333" s="128">
        <v>9614.0</v>
      </c>
      <c r="J3333" s="128">
        <v>154.06</v>
      </c>
      <c r="K3333" s="128">
        <v>90.93</v>
      </c>
      <c r="L3333" s="128">
        <v>1481133.0</v>
      </c>
      <c r="M3333" s="128">
        <v>874201.0</v>
      </c>
      <c r="N3333" s="128">
        <v>606931.8</v>
      </c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</row>
    <row r="3334">
      <c r="A3334" s="125" t="s">
        <v>475</v>
      </c>
      <c r="B3334" s="125" t="s">
        <v>600</v>
      </c>
      <c r="C3334" s="125" t="s">
        <v>453</v>
      </c>
      <c r="D3334" s="125" t="s">
        <v>454</v>
      </c>
      <c r="E3334" s="125" t="s">
        <v>464</v>
      </c>
      <c r="F3334" s="126">
        <v>41215.0</v>
      </c>
      <c r="G3334" s="127">
        <v>1.84E8</v>
      </c>
      <c r="H3334" s="126">
        <v>41263.0</v>
      </c>
      <c r="I3334" s="128">
        <v>7890.0</v>
      </c>
      <c r="J3334" s="128">
        <v>255.28</v>
      </c>
      <c r="K3334" s="128">
        <v>159.42</v>
      </c>
      <c r="L3334" s="128">
        <v>2014159.0</v>
      </c>
      <c r="M3334" s="128">
        <v>1257824.0</v>
      </c>
      <c r="N3334" s="128">
        <v>756335.4</v>
      </c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</row>
    <row r="3335">
      <c r="A3335" s="125" t="s">
        <v>475</v>
      </c>
      <c r="B3335" s="125" t="s">
        <v>537</v>
      </c>
      <c r="C3335" s="125" t="s">
        <v>463</v>
      </c>
      <c r="D3335" s="125" t="s">
        <v>454</v>
      </c>
      <c r="E3335" s="125" t="s">
        <v>472</v>
      </c>
      <c r="F3335" s="126">
        <v>41732.0</v>
      </c>
      <c r="G3335" s="127">
        <v>5.18E8</v>
      </c>
      <c r="H3335" s="126">
        <v>41759.0</v>
      </c>
      <c r="I3335" s="128">
        <v>4042.0</v>
      </c>
      <c r="J3335" s="128">
        <v>205.7</v>
      </c>
      <c r="K3335" s="128">
        <v>117.11</v>
      </c>
      <c r="L3335" s="128">
        <v>831439.4</v>
      </c>
      <c r="M3335" s="128">
        <v>473358.6</v>
      </c>
      <c r="N3335" s="128">
        <v>358080.8</v>
      </c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</row>
    <row r="3336">
      <c r="A3336" s="125" t="s">
        <v>466</v>
      </c>
      <c r="B3336" s="125" t="s">
        <v>524</v>
      </c>
      <c r="C3336" s="125" t="s">
        <v>453</v>
      </c>
      <c r="D3336" s="125" t="s">
        <v>457</v>
      </c>
      <c r="E3336" s="125" t="s">
        <v>472</v>
      </c>
      <c r="F3336" s="126">
        <v>42211.0</v>
      </c>
      <c r="G3336" s="127">
        <v>6.79E8</v>
      </c>
      <c r="H3336" s="126">
        <v>42231.0</v>
      </c>
      <c r="I3336" s="128">
        <v>732.0</v>
      </c>
      <c r="J3336" s="128">
        <v>255.28</v>
      </c>
      <c r="K3336" s="128">
        <v>159.42</v>
      </c>
      <c r="L3336" s="128">
        <v>186865.0</v>
      </c>
      <c r="M3336" s="128">
        <v>116695.4</v>
      </c>
      <c r="N3336" s="128">
        <v>70169.52</v>
      </c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</row>
    <row r="3337">
      <c r="A3337" s="125" t="s">
        <v>475</v>
      </c>
      <c r="B3337" s="125" t="s">
        <v>528</v>
      </c>
      <c r="C3337" s="125" t="s">
        <v>485</v>
      </c>
      <c r="D3337" s="125" t="s">
        <v>454</v>
      </c>
      <c r="E3337" s="125" t="s">
        <v>284</v>
      </c>
      <c r="F3337" s="126">
        <v>42192.0</v>
      </c>
      <c r="G3337" s="127">
        <v>6.64E8</v>
      </c>
      <c r="H3337" s="126">
        <v>42195.0</v>
      </c>
      <c r="I3337" s="128">
        <v>7652.0</v>
      </c>
      <c r="J3337" s="128">
        <v>421.89</v>
      </c>
      <c r="K3337" s="128">
        <v>364.69</v>
      </c>
      <c r="L3337" s="128">
        <v>3228302.0</v>
      </c>
      <c r="M3337" s="128">
        <v>2790608.0</v>
      </c>
      <c r="N3337" s="128">
        <v>437694.4</v>
      </c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</row>
    <row r="3338">
      <c r="A3338" s="125" t="s">
        <v>458</v>
      </c>
      <c r="B3338" s="125" t="s">
        <v>642</v>
      </c>
      <c r="C3338" s="125" t="s">
        <v>514</v>
      </c>
      <c r="D3338" s="125" t="s">
        <v>454</v>
      </c>
      <c r="E3338" s="125" t="s">
        <v>189</v>
      </c>
      <c r="F3338" s="126">
        <v>41608.0</v>
      </c>
      <c r="G3338" s="127">
        <v>9.9E8</v>
      </c>
      <c r="H3338" s="126">
        <v>41622.0</v>
      </c>
      <c r="I3338" s="128">
        <v>6526.0</v>
      </c>
      <c r="J3338" s="128">
        <v>668.27</v>
      </c>
      <c r="K3338" s="128">
        <v>502.54</v>
      </c>
      <c r="L3338" s="128">
        <v>4361130.0</v>
      </c>
      <c r="M3338" s="128">
        <v>3279576.0</v>
      </c>
      <c r="N3338" s="128">
        <v>1081554.0</v>
      </c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</row>
    <row r="3339">
      <c r="A3339" s="125" t="s">
        <v>458</v>
      </c>
      <c r="B3339" s="125" t="s">
        <v>563</v>
      </c>
      <c r="C3339" s="125" t="s">
        <v>463</v>
      </c>
      <c r="D3339" s="125" t="s">
        <v>457</v>
      </c>
      <c r="E3339" s="125" t="s">
        <v>284</v>
      </c>
      <c r="F3339" s="126">
        <v>42161.0</v>
      </c>
      <c r="G3339" s="127">
        <v>4.46E8</v>
      </c>
      <c r="H3339" s="126">
        <v>42192.0</v>
      </c>
      <c r="I3339" s="128">
        <v>6109.0</v>
      </c>
      <c r="J3339" s="128">
        <v>205.7</v>
      </c>
      <c r="K3339" s="128">
        <v>117.11</v>
      </c>
      <c r="L3339" s="128">
        <v>1256621.0</v>
      </c>
      <c r="M3339" s="128">
        <v>715425.0</v>
      </c>
      <c r="N3339" s="128">
        <v>541196.3</v>
      </c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</row>
    <row r="3340">
      <c r="A3340" s="125" t="s">
        <v>466</v>
      </c>
      <c r="B3340" s="125" t="s">
        <v>479</v>
      </c>
      <c r="C3340" s="125" t="s">
        <v>456</v>
      </c>
      <c r="D3340" s="125" t="s">
        <v>457</v>
      </c>
      <c r="E3340" s="125" t="s">
        <v>284</v>
      </c>
      <c r="F3340" s="126">
        <v>40411.0</v>
      </c>
      <c r="G3340" s="127">
        <v>1.38E8</v>
      </c>
      <c r="H3340" s="126">
        <v>40455.0</v>
      </c>
      <c r="I3340" s="128">
        <v>7187.0</v>
      </c>
      <c r="J3340" s="128">
        <v>152.58</v>
      </c>
      <c r="K3340" s="128">
        <v>97.44</v>
      </c>
      <c r="L3340" s="128">
        <v>1096592.0</v>
      </c>
      <c r="M3340" s="128">
        <v>700301.3</v>
      </c>
      <c r="N3340" s="128">
        <v>396291.2</v>
      </c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</row>
    <row r="3341">
      <c r="A3341" s="125" t="s">
        <v>475</v>
      </c>
      <c r="B3341" s="125" t="s">
        <v>648</v>
      </c>
      <c r="C3341" s="125" t="s">
        <v>480</v>
      </c>
      <c r="D3341" s="125" t="s">
        <v>457</v>
      </c>
      <c r="E3341" s="125" t="s">
        <v>464</v>
      </c>
      <c r="F3341" s="126">
        <v>40222.0</v>
      </c>
      <c r="G3341" s="127">
        <v>3.46E8</v>
      </c>
      <c r="H3341" s="126">
        <v>40252.0</v>
      </c>
      <c r="I3341" s="128">
        <v>7577.0</v>
      </c>
      <c r="J3341" s="128">
        <v>437.2</v>
      </c>
      <c r="K3341" s="128">
        <v>263.33</v>
      </c>
      <c r="L3341" s="128">
        <v>3312664.0</v>
      </c>
      <c r="M3341" s="128">
        <v>1995251.0</v>
      </c>
      <c r="N3341" s="128">
        <v>1317413.0</v>
      </c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</row>
    <row r="3342">
      <c r="A3342" s="125" t="s">
        <v>451</v>
      </c>
      <c r="B3342" s="125" t="s">
        <v>452</v>
      </c>
      <c r="C3342" s="125" t="s">
        <v>480</v>
      </c>
      <c r="D3342" s="125" t="s">
        <v>457</v>
      </c>
      <c r="E3342" s="125" t="s">
        <v>472</v>
      </c>
      <c r="F3342" s="126">
        <v>40316.0</v>
      </c>
      <c r="G3342" s="127">
        <v>9.66E8</v>
      </c>
      <c r="H3342" s="126">
        <v>40349.0</v>
      </c>
      <c r="I3342" s="128">
        <v>7128.0</v>
      </c>
      <c r="J3342" s="128">
        <v>437.2</v>
      </c>
      <c r="K3342" s="128">
        <v>263.33</v>
      </c>
      <c r="L3342" s="128">
        <v>3116362.0</v>
      </c>
      <c r="M3342" s="128">
        <v>1877016.0</v>
      </c>
      <c r="N3342" s="128">
        <v>1239345.0</v>
      </c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</row>
    <row r="3343">
      <c r="A3343" s="125" t="s">
        <v>475</v>
      </c>
      <c r="B3343" s="125" t="s">
        <v>536</v>
      </c>
      <c r="C3343" s="125" t="s">
        <v>456</v>
      </c>
      <c r="D3343" s="125" t="s">
        <v>454</v>
      </c>
      <c r="E3343" s="125" t="s">
        <v>464</v>
      </c>
      <c r="F3343" s="126">
        <v>41185.0</v>
      </c>
      <c r="G3343" s="127">
        <v>1.69E8</v>
      </c>
      <c r="H3343" s="126">
        <v>41217.0</v>
      </c>
      <c r="I3343" s="128">
        <v>2720.0</v>
      </c>
      <c r="J3343" s="128">
        <v>152.58</v>
      </c>
      <c r="K3343" s="128">
        <v>97.44</v>
      </c>
      <c r="L3343" s="128">
        <v>415017.6</v>
      </c>
      <c r="M3343" s="128">
        <v>265036.8</v>
      </c>
      <c r="N3343" s="128">
        <v>149980.8</v>
      </c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</row>
    <row r="3344">
      <c r="A3344" s="125" t="s">
        <v>461</v>
      </c>
      <c r="B3344" s="125" t="s">
        <v>638</v>
      </c>
      <c r="C3344" s="125" t="s">
        <v>463</v>
      </c>
      <c r="D3344" s="125" t="s">
        <v>454</v>
      </c>
      <c r="E3344" s="125" t="s">
        <v>189</v>
      </c>
      <c r="F3344" s="126">
        <v>40945.0</v>
      </c>
      <c r="G3344" s="127">
        <v>2.44E8</v>
      </c>
      <c r="H3344" s="126">
        <v>40966.0</v>
      </c>
      <c r="I3344" s="128">
        <v>3264.0</v>
      </c>
      <c r="J3344" s="128">
        <v>205.7</v>
      </c>
      <c r="K3344" s="128">
        <v>117.11</v>
      </c>
      <c r="L3344" s="128">
        <v>671404.8</v>
      </c>
      <c r="M3344" s="128">
        <v>382247.0</v>
      </c>
      <c r="N3344" s="128">
        <v>289157.8</v>
      </c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</row>
    <row r="3345">
      <c r="A3345" s="125" t="s">
        <v>466</v>
      </c>
      <c r="B3345" s="125" t="s">
        <v>479</v>
      </c>
      <c r="C3345" s="125" t="s">
        <v>471</v>
      </c>
      <c r="D3345" s="125" t="s">
        <v>454</v>
      </c>
      <c r="E3345" s="125" t="s">
        <v>284</v>
      </c>
      <c r="F3345" s="126">
        <v>42251.0</v>
      </c>
      <c r="G3345" s="127">
        <v>8.49E8</v>
      </c>
      <c r="H3345" s="126">
        <v>42283.0</v>
      </c>
      <c r="I3345" s="128">
        <v>4702.0</v>
      </c>
      <c r="J3345" s="128">
        <v>109.28</v>
      </c>
      <c r="K3345" s="128">
        <v>35.84</v>
      </c>
      <c r="L3345" s="128">
        <v>513834.6</v>
      </c>
      <c r="M3345" s="128">
        <v>168519.7</v>
      </c>
      <c r="N3345" s="128">
        <v>345314.9</v>
      </c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</row>
    <row r="3346">
      <c r="A3346" s="125" t="s">
        <v>475</v>
      </c>
      <c r="B3346" s="125" t="s">
        <v>623</v>
      </c>
      <c r="C3346" s="125" t="s">
        <v>514</v>
      </c>
      <c r="D3346" s="125" t="s">
        <v>457</v>
      </c>
      <c r="E3346" s="125" t="s">
        <v>189</v>
      </c>
      <c r="F3346" s="126">
        <v>42612.0</v>
      </c>
      <c r="G3346" s="127">
        <v>3.65E8</v>
      </c>
      <c r="H3346" s="126">
        <v>42621.0</v>
      </c>
      <c r="I3346" s="128">
        <v>5008.0</v>
      </c>
      <c r="J3346" s="128">
        <v>668.27</v>
      </c>
      <c r="K3346" s="128">
        <v>502.54</v>
      </c>
      <c r="L3346" s="128">
        <v>3346696.0</v>
      </c>
      <c r="M3346" s="128">
        <v>2516720.0</v>
      </c>
      <c r="N3346" s="128">
        <v>829975.8</v>
      </c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</row>
    <row r="3347">
      <c r="A3347" s="125" t="s">
        <v>466</v>
      </c>
      <c r="B3347" s="125" t="s">
        <v>625</v>
      </c>
      <c r="C3347" s="125" t="s">
        <v>485</v>
      </c>
      <c r="D3347" s="125" t="s">
        <v>454</v>
      </c>
      <c r="E3347" s="125" t="s">
        <v>472</v>
      </c>
      <c r="F3347" s="126">
        <v>41312.0</v>
      </c>
      <c r="G3347" s="127">
        <v>8.42E8</v>
      </c>
      <c r="H3347" s="126">
        <v>41350.0</v>
      </c>
      <c r="I3347" s="128">
        <v>9187.0</v>
      </c>
      <c r="J3347" s="128">
        <v>421.89</v>
      </c>
      <c r="K3347" s="128">
        <v>364.69</v>
      </c>
      <c r="L3347" s="128">
        <v>3875903.0</v>
      </c>
      <c r="M3347" s="128">
        <v>3350407.0</v>
      </c>
      <c r="N3347" s="128">
        <v>525496.4</v>
      </c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</row>
    <row r="3348">
      <c r="A3348" s="125" t="s">
        <v>466</v>
      </c>
      <c r="B3348" s="125" t="s">
        <v>612</v>
      </c>
      <c r="C3348" s="125" t="s">
        <v>460</v>
      </c>
      <c r="D3348" s="125" t="s">
        <v>457</v>
      </c>
      <c r="E3348" s="125" t="s">
        <v>284</v>
      </c>
      <c r="F3348" s="126">
        <v>40789.0</v>
      </c>
      <c r="G3348" s="127">
        <v>3.49E8</v>
      </c>
      <c r="H3348" s="126">
        <v>40800.0</v>
      </c>
      <c r="I3348" s="128">
        <v>4275.0</v>
      </c>
      <c r="J3348" s="128">
        <v>47.45</v>
      </c>
      <c r="K3348" s="128">
        <v>31.79</v>
      </c>
      <c r="L3348" s="128">
        <v>202848.8</v>
      </c>
      <c r="M3348" s="128">
        <v>135902.3</v>
      </c>
      <c r="N3348" s="128">
        <v>66946.5</v>
      </c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</row>
    <row r="3349">
      <c r="A3349" s="125" t="s">
        <v>458</v>
      </c>
      <c r="B3349" s="125" t="s">
        <v>493</v>
      </c>
      <c r="C3349" s="125" t="s">
        <v>478</v>
      </c>
      <c r="D3349" s="125" t="s">
        <v>457</v>
      </c>
      <c r="E3349" s="125" t="s">
        <v>189</v>
      </c>
      <c r="F3349" s="126">
        <v>42486.0</v>
      </c>
      <c r="G3349" s="127">
        <v>6.28E8</v>
      </c>
      <c r="H3349" s="126">
        <v>42503.0</v>
      </c>
      <c r="I3349" s="128">
        <v>4339.0</v>
      </c>
      <c r="J3349" s="128">
        <v>651.21</v>
      </c>
      <c r="K3349" s="128">
        <v>524.96</v>
      </c>
      <c r="L3349" s="128">
        <v>2825600.0</v>
      </c>
      <c r="M3349" s="128">
        <v>2277801.0</v>
      </c>
      <c r="N3349" s="128">
        <v>547798.8</v>
      </c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</row>
    <row r="3350">
      <c r="A3350" s="125" t="s">
        <v>475</v>
      </c>
      <c r="B3350" s="125" t="s">
        <v>476</v>
      </c>
      <c r="C3350" s="125" t="s">
        <v>478</v>
      </c>
      <c r="D3350" s="125" t="s">
        <v>457</v>
      </c>
      <c r="E3350" s="125" t="s">
        <v>284</v>
      </c>
      <c r="F3350" s="126">
        <v>42705.0</v>
      </c>
      <c r="G3350" s="127">
        <v>3.4E8</v>
      </c>
      <c r="H3350" s="126">
        <v>42708.0</v>
      </c>
      <c r="I3350" s="128">
        <v>5478.0</v>
      </c>
      <c r="J3350" s="128">
        <v>651.21</v>
      </c>
      <c r="K3350" s="128">
        <v>524.96</v>
      </c>
      <c r="L3350" s="128">
        <v>3567328.0</v>
      </c>
      <c r="M3350" s="128">
        <v>2875731.0</v>
      </c>
      <c r="N3350" s="128">
        <v>691597.5</v>
      </c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</row>
    <row r="3351">
      <c r="A3351" s="125" t="s">
        <v>466</v>
      </c>
      <c r="B3351" s="125" t="s">
        <v>534</v>
      </c>
      <c r="C3351" s="125" t="s">
        <v>478</v>
      </c>
      <c r="D3351" s="125" t="s">
        <v>454</v>
      </c>
      <c r="E3351" s="125" t="s">
        <v>464</v>
      </c>
      <c r="F3351" s="126">
        <v>42283.0</v>
      </c>
      <c r="G3351" s="127">
        <v>9.15E8</v>
      </c>
      <c r="H3351" s="126">
        <v>42287.0</v>
      </c>
      <c r="I3351" s="128">
        <v>822.0</v>
      </c>
      <c r="J3351" s="128">
        <v>651.21</v>
      </c>
      <c r="K3351" s="128">
        <v>524.96</v>
      </c>
      <c r="L3351" s="128">
        <v>535294.6</v>
      </c>
      <c r="M3351" s="128">
        <v>431517.1</v>
      </c>
      <c r="N3351" s="128">
        <v>103777.5</v>
      </c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</row>
    <row r="3352">
      <c r="A3352" s="125" t="s">
        <v>461</v>
      </c>
      <c r="B3352" s="125" t="s">
        <v>522</v>
      </c>
      <c r="C3352" s="125" t="s">
        <v>468</v>
      </c>
      <c r="D3352" s="125" t="s">
        <v>454</v>
      </c>
      <c r="E3352" s="125" t="s">
        <v>284</v>
      </c>
      <c r="F3352" s="126">
        <v>42449.0</v>
      </c>
      <c r="G3352" s="127">
        <v>7.06E8</v>
      </c>
      <c r="H3352" s="126">
        <v>42471.0</v>
      </c>
      <c r="I3352" s="128">
        <v>5532.0</v>
      </c>
      <c r="J3352" s="128">
        <v>81.73</v>
      </c>
      <c r="K3352" s="128">
        <v>56.67</v>
      </c>
      <c r="L3352" s="128">
        <v>452130.4</v>
      </c>
      <c r="M3352" s="128">
        <v>313498.4</v>
      </c>
      <c r="N3352" s="128">
        <v>138631.9</v>
      </c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</row>
    <row r="3353">
      <c r="A3353" s="125" t="s">
        <v>451</v>
      </c>
      <c r="B3353" s="125" t="s">
        <v>455</v>
      </c>
      <c r="C3353" s="125" t="s">
        <v>506</v>
      </c>
      <c r="D3353" s="125" t="s">
        <v>457</v>
      </c>
      <c r="E3353" s="125" t="s">
        <v>284</v>
      </c>
      <c r="F3353" s="126">
        <v>40670.0</v>
      </c>
      <c r="G3353" s="127">
        <v>8.35E8</v>
      </c>
      <c r="H3353" s="126">
        <v>40714.0</v>
      </c>
      <c r="I3353" s="128">
        <v>1801.0</v>
      </c>
      <c r="J3353" s="128">
        <v>154.06</v>
      </c>
      <c r="K3353" s="128">
        <v>90.93</v>
      </c>
      <c r="L3353" s="128">
        <v>277462.1</v>
      </c>
      <c r="M3353" s="128">
        <v>163764.9</v>
      </c>
      <c r="N3353" s="128">
        <v>113697.1</v>
      </c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</row>
    <row r="3354">
      <c r="A3354" s="125" t="s">
        <v>458</v>
      </c>
      <c r="B3354" s="125" t="s">
        <v>554</v>
      </c>
      <c r="C3354" s="125" t="s">
        <v>468</v>
      </c>
      <c r="D3354" s="125" t="s">
        <v>454</v>
      </c>
      <c r="E3354" s="125" t="s">
        <v>284</v>
      </c>
      <c r="F3354" s="126">
        <v>40335.0</v>
      </c>
      <c r="G3354" s="127">
        <v>2.43E8</v>
      </c>
      <c r="H3354" s="126">
        <v>40356.0</v>
      </c>
      <c r="I3354" s="128">
        <v>3851.0</v>
      </c>
      <c r="J3354" s="128">
        <v>81.73</v>
      </c>
      <c r="K3354" s="128">
        <v>56.67</v>
      </c>
      <c r="L3354" s="128">
        <v>314742.2</v>
      </c>
      <c r="M3354" s="128">
        <v>218236.2</v>
      </c>
      <c r="N3354" s="128">
        <v>96506.06</v>
      </c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</row>
    <row r="3355">
      <c r="A3355" s="125" t="s">
        <v>469</v>
      </c>
      <c r="B3355" s="125" t="s">
        <v>470</v>
      </c>
      <c r="C3355" s="125" t="s">
        <v>514</v>
      </c>
      <c r="D3355" s="125" t="s">
        <v>457</v>
      </c>
      <c r="E3355" s="125" t="s">
        <v>472</v>
      </c>
      <c r="F3355" s="126">
        <v>41072.0</v>
      </c>
      <c r="G3355" s="127">
        <v>6.44E8</v>
      </c>
      <c r="H3355" s="126">
        <v>41115.0</v>
      </c>
      <c r="I3355" s="128">
        <v>2938.0</v>
      </c>
      <c r="J3355" s="128">
        <v>668.27</v>
      </c>
      <c r="K3355" s="128">
        <v>502.54</v>
      </c>
      <c r="L3355" s="128">
        <v>1963377.0</v>
      </c>
      <c r="M3355" s="128">
        <v>1476463.0</v>
      </c>
      <c r="N3355" s="128">
        <v>486914.7</v>
      </c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</row>
    <row r="3356">
      <c r="A3356" s="125" t="s">
        <v>461</v>
      </c>
      <c r="B3356" s="125" t="s">
        <v>516</v>
      </c>
      <c r="C3356" s="125" t="s">
        <v>506</v>
      </c>
      <c r="D3356" s="125" t="s">
        <v>457</v>
      </c>
      <c r="E3356" s="125" t="s">
        <v>472</v>
      </c>
      <c r="F3356" s="126">
        <v>42899.0</v>
      </c>
      <c r="G3356" s="127">
        <v>6.7E8</v>
      </c>
      <c r="H3356" s="126">
        <v>42910.0</v>
      </c>
      <c r="I3356" s="128">
        <v>2349.0</v>
      </c>
      <c r="J3356" s="128">
        <v>154.06</v>
      </c>
      <c r="K3356" s="128">
        <v>90.93</v>
      </c>
      <c r="L3356" s="128">
        <v>361886.9</v>
      </c>
      <c r="M3356" s="128">
        <v>213594.6</v>
      </c>
      <c r="N3356" s="128">
        <v>148292.4</v>
      </c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</row>
    <row r="3357">
      <c r="A3357" s="125" t="s">
        <v>458</v>
      </c>
      <c r="B3357" s="125" t="s">
        <v>538</v>
      </c>
      <c r="C3357" s="125" t="s">
        <v>471</v>
      </c>
      <c r="D3357" s="125" t="s">
        <v>454</v>
      </c>
      <c r="E3357" s="125" t="s">
        <v>472</v>
      </c>
      <c r="F3357" s="126">
        <v>42074.0</v>
      </c>
      <c r="G3357" s="127">
        <v>8.24E8</v>
      </c>
      <c r="H3357" s="126">
        <v>42093.0</v>
      </c>
      <c r="I3357" s="128">
        <v>2400.0</v>
      </c>
      <c r="J3357" s="128">
        <v>109.28</v>
      </c>
      <c r="K3357" s="128">
        <v>35.84</v>
      </c>
      <c r="L3357" s="128">
        <v>262272.0</v>
      </c>
      <c r="M3357" s="128">
        <v>86016.0</v>
      </c>
      <c r="N3357" s="128">
        <v>176256.0</v>
      </c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</row>
    <row r="3358">
      <c r="A3358" s="125" t="s">
        <v>451</v>
      </c>
      <c r="B3358" s="125" t="s">
        <v>452</v>
      </c>
      <c r="C3358" s="125" t="s">
        <v>485</v>
      </c>
      <c r="D3358" s="125" t="s">
        <v>457</v>
      </c>
      <c r="E3358" s="125" t="s">
        <v>472</v>
      </c>
      <c r="F3358" s="126">
        <v>40774.0</v>
      </c>
      <c r="G3358" s="127">
        <v>3.29E8</v>
      </c>
      <c r="H3358" s="126">
        <v>40795.0</v>
      </c>
      <c r="I3358" s="128">
        <v>5439.0</v>
      </c>
      <c r="J3358" s="128">
        <v>421.89</v>
      </c>
      <c r="K3358" s="128">
        <v>364.69</v>
      </c>
      <c r="L3358" s="128">
        <v>2294660.0</v>
      </c>
      <c r="M3358" s="128">
        <v>1983549.0</v>
      </c>
      <c r="N3358" s="128">
        <v>311110.8</v>
      </c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</row>
    <row r="3359">
      <c r="A3359" s="125" t="s">
        <v>461</v>
      </c>
      <c r="B3359" s="125" t="s">
        <v>615</v>
      </c>
      <c r="C3359" s="125" t="s">
        <v>485</v>
      </c>
      <c r="D3359" s="125" t="s">
        <v>454</v>
      </c>
      <c r="E3359" s="125" t="s">
        <v>464</v>
      </c>
      <c r="F3359" s="126">
        <v>40185.0</v>
      </c>
      <c r="G3359" s="127">
        <v>2.8E8</v>
      </c>
      <c r="H3359" s="126">
        <v>40192.0</v>
      </c>
      <c r="I3359" s="128">
        <v>848.0</v>
      </c>
      <c r="J3359" s="128">
        <v>421.89</v>
      </c>
      <c r="K3359" s="128">
        <v>364.69</v>
      </c>
      <c r="L3359" s="128">
        <v>357762.7</v>
      </c>
      <c r="M3359" s="128">
        <v>309257.1</v>
      </c>
      <c r="N3359" s="128">
        <v>48505.6</v>
      </c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</row>
    <row r="3360">
      <c r="A3360" s="125" t="s">
        <v>451</v>
      </c>
      <c r="B3360" s="125" t="s">
        <v>543</v>
      </c>
      <c r="C3360" s="125" t="s">
        <v>478</v>
      </c>
      <c r="D3360" s="125" t="s">
        <v>457</v>
      </c>
      <c r="E3360" s="125" t="s">
        <v>472</v>
      </c>
      <c r="F3360" s="126">
        <v>41880.0</v>
      </c>
      <c r="G3360" s="127">
        <v>4.91E8</v>
      </c>
      <c r="H3360" s="126">
        <v>41917.0</v>
      </c>
      <c r="I3360" s="128">
        <v>37.0</v>
      </c>
      <c r="J3360" s="128">
        <v>651.21</v>
      </c>
      <c r="K3360" s="128">
        <v>524.96</v>
      </c>
      <c r="L3360" s="128">
        <v>24094.77</v>
      </c>
      <c r="M3360" s="128">
        <v>19423.52</v>
      </c>
      <c r="N3360" s="128">
        <v>4671.25</v>
      </c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</row>
    <row r="3361">
      <c r="A3361" s="125" t="s">
        <v>458</v>
      </c>
      <c r="B3361" s="125" t="s">
        <v>643</v>
      </c>
      <c r="C3361" s="125" t="s">
        <v>456</v>
      </c>
      <c r="D3361" s="125" t="s">
        <v>454</v>
      </c>
      <c r="E3361" s="125" t="s">
        <v>464</v>
      </c>
      <c r="F3361" s="126">
        <v>40907.0</v>
      </c>
      <c r="G3361" s="127">
        <v>8.46E8</v>
      </c>
      <c r="H3361" s="126">
        <v>40908.0</v>
      </c>
      <c r="I3361" s="128">
        <v>1448.0</v>
      </c>
      <c r="J3361" s="128">
        <v>152.58</v>
      </c>
      <c r="K3361" s="128">
        <v>97.44</v>
      </c>
      <c r="L3361" s="128">
        <v>220935.8</v>
      </c>
      <c r="M3361" s="128">
        <v>141093.1</v>
      </c>
      <c r="N3361" s="128">
        <v>79842.72</v>
      </c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</row>
    <row r="3362">
      <c r="A3362" s="125" t="s">
        <v>458</v>
      </c>
      <c r="B3362" s="125" t="s">
        <v>559</v>
      </c>
      <c r="C3362" s="125" t="s">
        <v>494</v>
      </c>
      <c r="D3362" s="125" t="s">
        <v>457</v>
      </c>
      <c r="E3362" s="125" t="s">
        <v>284</v>
      </c>
      <c r="F3362" s="126">
        <v>40999.0</v>
      </c>
      <c r="G3362" s="127">
        <v>8.5E8</v>
      </c>
      <c r="H3362" s="126">
        <v>41009.0</v>
      </c>
      <c r="I3362" s="128">
        <v>5556.0</v>
      </c>
      <c r="J3362" s="128">
        <v>9.33</v>
      </c>
      <c r="K3362" s="128">
        <v>6.92</v>
      </c>
      <c r="L3362" s="128">
        <v>51837.48</v>
      </c>
      <c r="M3362" s="128">
        <v>38447.52</v>
      </c>
      <c r="N3362" s="128">
        <v>13389.96</v>
      </c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</row>
    <row r="3363">
      <c r="A3363" s="125" t="s">
        <v>475</v>
      </c>
      <c r="B3363" s="125" t="s">
        <v>624</v>
      </c>
      <c r="C3363" s="125" t="s">
        <v>494</v>
      </c>
      <c r="D3363" s="125" t="s">
        <v>457</v>
      </c>
      <c r="E3363" s="125" t="s">
        <v>189</v>
      </c>
      <c r="F3363" s="126">
        <v>42130.0</v>
      </c>
      <c r="G3363" s="127">
        <v>9.78E8</v>
      </c>
      <c r="H3363" s="126">
        <v>42138.0</v>
      </c>
      <c r="I3363" s="128">
        <v>9864.0</v>
      </c>
      <c r="J3363" s="128">
        <v>9.33</v>
      </c>
      <c r="K3363" s="128">
        <v>6.92</v>
      </c>
      <c r="L3363" s="128">
        <v>92031.12</v>
      </c>
      <c r="M3363" s="128">
        <v>68258.88</v>
      </c>
      <c r="N3363" s="128">
        <v>23772.24</v>
      </c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</row>
    <row r="3364">
      <c r="A3364" s="125" t="s">
        <v>461</v>
      </c>
      <c r="B3364" s="125" t="s">
        <v>556</v>
      </c>
      <c r="C3364" s="125" t="s">
        <v>460</v>
      </c>
      <c r="D3364" s="125" t="s">
        <v>457</v>
      </c>
      <c r="E3364" s="125" t="s">
        <v>472</v>
      </c>
      <c r="F3364" s="126">
        <v>41900.0</v>
      </c>
      <c r="G3364" s="127">
        <v>4.25E8</v>
      </c>
      <c r="H3364" s="126">
        <v>41905.0</v>
      </c>
      <c r="I3364" s="128">
        <v>3909.0</v>
      </c>
      <c r="J3364" s="128">
        <v>47.45</v>
      </c>
      <c r="K3364" s="128">
        <v>31.79</v>
      </c>
      <c r="L3364" s="128">
        <v>185482.1</v>
      </c>
      <c r="M3364" s="128">
        <v>124267.1</v>
      </c>
      <c r="N3364" s="128">
        <v>61214.94</v>
      </c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</row>
    <row r="3365">
      <c r="A3365" s="125" t="s">
        <v>451</v>
      </c>
      <c r="B3365" s="125" t="s">
        <v>482</v>
      </c>
      <c r="C3365" s="125" t="s">
        <v>460</v>
      </c>
      <c r="D3365" s="125" t="s">
        <v>454</v>
      </c>
      <c r="E3365" s="125" t="s">
        <v>189</v>
      </c>
      <c r="F3365" s="126">
        <v>42441.0</v>
      </c>
      <c r="G3365" s="127">
        <v>2.57E8</v>
      </c>
      <c r="H3365" s="126">
        <v>42490.0</v>
      </c>
      <c r="I3365" s="128">
        <v>4259.0</v>
      </c>
      <c r="J3365" s="128">
        <v>47.45</v>
      </c>
      <c r="K3365" s="128">
        <v>31.79</v>
      </c>
      <c r="L3365" s="128">
        <v>202089.6</v>
      </c>
      <c r="M3365" s="128">
        <v>135393.6</v>
      </c>
      <c r="N3365" s="128">
        <v>66695.94</v>
      </c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</row>
    <row r="3366">
      <c r="A3366" s="125" t="s">
        <v>466</v>
      </c>
      <c r="B3366" s="125" t="s">
        <v>479</v>
      </c>
      <c r="C3366" s="125" t="s">
        <v>480</v>
      </c>
      <c r="D3366" s="125" t="s">
        <v>457</v>
      </c>
      <c r="E3366" s="125" t="s">
        <v>472</v>
      </c>
      <c r="F3366" s="126">
        <v>40748.0</v>
      </c>
      <c r="G3366" s="127">
        <v>2.6E8</v>
      </c>
      <c r="H3366" s="126">
        <v>40797.0</v>
      </c>
      <c r="I3366" s="128">
        <v>9512.0</v>
      </c>
      <c r="J3366" s="128">
        <v>437.2</v>
      </c>
      <c r="K3366" s="128">
        <v>263.33</v>
      </c>
      <c r="L3366" s="128">
        <v>4158646.0</v>
      </c>
      <c r="M3366" s="128">
        <v>2504795.0</v>
      </c>
      <c r="N3366" s="128">
        <v>1653851.0</v>
      </c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</row>
    <row r="3367">
      <c r="A3367" s="125" t="s">
        <v>451</v>
      </c>
      <c r="B3367" s="125" t="s">
        <v>482</v>
      </c>
      <c r="C3367" s="125" t="s">
        <v>460</v>
      </c>
      <c r="D3367" s="125" t="s">
        <v>454</v>
      </c>
      <c r="E3367" s="125" t="s">
        <v>472</v>
      </c>
      <c r="F3367" s="126">
        <v>41116.0</v>
      </c>
      <c r="G3367" s="127">
        <v>2.9E8</v>
      </c>
      <c r="H3367" s="126">
        <v>41119.0</v>
      </c>
      <c r="I3367" s="128">
        <v>5298.0</v>
      </c>
      <c r="J3367" s="128">
        <v>47.45</v>
      </c>
      <c r="K3367" s="128">
        <v>31.79</v>
      </c>
      <c r="L3367" s="128">
        <v>251390.1</v>
      </c>
      <c r="M3367" s="128">
        <v>168423.4</v>
      </c>
      <c r="N3367" s="128">
        <v>82966.68</v>
      </c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</row>
    <row r="3368">
      <c r="A3368" s="125" t="s">
        <v>475</v>
      </c>
      <c r="B3368" s="125" t="s">
        <v>537</v>
      </c>
      <c r="C3368" s="125" t="s">
        <v>494</v>
      </c>
      <c r="D3368" s="125" t="s">
        <v>457</v>
      </c>
      <c r="E3368" s="125" t="s">
        <v>472</v>
      </c>
      <c r="F3368" s="126">
        <v>42698.0</v>
      </c>
      <c r="G3368" s="127">
        <v>7.24E8</v>
      </c>
      <c r="H3368" s="126">
        <v>42724.0</v>
      </c>
      <c r="I3368" s="128">
        <v>9278.0</v>
      </c>
      <c r="J3368" s="128">
        <v>9.33</v>
      </c>
      <c r="K3368" s="128">
        <v>6.92</v>
      </c>
      <c r="L3368" s="128">
        <v>86563.74</v>
      </c>
      <c r="M3368" s="128">
        <v>64203.76</v>
      </c>
      <c r="N3368" s="128">
        <v>22359.98</v>
      </c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</row>
    <row r="3369">
      <c r="A3369" s="125" t="s">
        <v>475</v>
      </c>
      <c r="B3369" s="125" t="s">
        <v>602</v>
      </c>
      <c r="C3369" s="125" t="s">
        <v>463</v>
      </c>
      <c r="D3369" s="125" t="s">
        <v>457</v>
      </c>
      <c r="E3369" s="125" t="s">
        <v>472</v>
      </c>
      <c r="F3369" s="126">
        <v>40887.0</v>
      </c>
      <c r="G3369" s="127">
        <v>2.08E8</v>
      </c>
      <c r="H3369" s="126">
        <v>40905.0</v>
      </c>
      <c r="I3369" s="128">
        <v>6145.0</v>
      </c>
      <c r="J3369" s="128">
        <v>205.7</v>
      </c>
      <c r="K3369" s="128">
        <v>117.11</v>
      </c>
      <c r="L3369" s="128">
        <v>1264027.0</v>
      </c>
      <c r="M3369" s="128">
        <v>719641.0</v>
      </c>
      <c r="N3369" s="128">
        <v>544385.6</v>
      </c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</row>
    <row r="3370">
      <c r="A3370" s="125" t="s">
        <v>451</v>
      </c>
      <c r="B3370" s="125" t="s">
        <v>455</v>
      </c>
      <c r="C3370" s="125" t="s">
        <v>506</v>
      </c>
      <c r="D3370" s="125" t="s">
        <v>454</v>
      </c>
      <c r="E3370" s="125" t="s">
        <v>284</v>
      </c>
      <c r="F3370" s="126">
        <v>42530.0</v>
      </c>
      <c r="G3370" s="127">
        <v>6.11E8</v>
      </c>
      <c r="H3370" s="126">
        <v>42572.0</v>
      </c>
      <c r="I3370" s="128">
        <v>2621.0</v>
      </c>
      <c r="J3370" s="128">
        <v>154.06</v>
      </c>
      <c r="K3370" s="128">
        <v>90.93</v>
      </c>
      <c r="L3370" s="128">
        <v>403791.3</v>
      </c>
      <c r="M3370" s="128">
        <v>238327.5</v>
      </c>
      <c r="N3370" s="128">
        <v>165463.7</v>
      </c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</row>
    <row r="3371">
      <c r="A3371" s="125" t="s">
        <v>461</v>
      </c>
      <c r="B3371" s="125" t="s">
        <v>629</v>
      </c>
      <c r="C3371" s="125" t="s">
        <v>460</v>
      </c>
      <c r="D3371" s="125" t="s">
        <v>457</v>
      </c>
      <c r="E3371" s="125" t="s">
        <v>472</v>
      </c>
      <c r="F3371" s="126">
        <v>42414.0</v>
      </c>
      <c r="G3371" s="127">
        <v>2.69E8</v>
      </c>
      <c r="H3371" s="126">
        <v>42464.0</v>
      </c>
      <c r="I3371" s="128">
        <v>2463.0</v>
      </c>
      <c r="J3371" s="128">
        <v>47.45</v>
      </c>
      <c r="K3371" s="128">
        <v>31.79</v>
      </c>
      <c r="L3371" s="128">
        <v>116869.4</v>
      </c>
      <c r="M3371" s="128">
        <v>78298.77</v>
      </c>
      <c r="N3371" s="128">
        <v>38570.58</v>
      </c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</row>
    <row r="3372">
      <c r="A3372" s="125" t="s">
        <v>466</v>
      </c>
      <c r="B3372" s="125" t="s">
        <v>484</v>
      </c>
      <c r="C3372" s="125" t="s">
        <v>478</v>
      </c>
      <c r="D3372" s="125" t="s">
        <v>457</v>
      </c>
      <c r="E3372" s="125" t="s">
        <v>472</v>
      </c>
      <c r="F3372" s="126">
        <v>41249.0</v>
      </c>
      <c r="G3372" s="127">
        <v>7.4E8</v>
      </c>
      <c r="H3372" s="126">
        <v>41255.0</v>
      </c>
      <c r="I3372" s="128">
        <v>1456.0</v>
      </c>
      <c r="J3372" s="128">
        <v>651.21</v>
      </c>
      <c r="K3372" s="128">
        <v>524.96</v>
      </c>
      <c r="L3372" s="128">
        <v>948161.8</v>
      </c>
      <c r="M3372" s="128">
        <v>764341.8</v>
      </c>
      <c r="N3372" s="128">
        <v>183820.0</v>
      </c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</row>
    <row r="3373">
      <c r="A3373" s="125" t="s">
        <v>469</v>
      </c>
      <c r="B3373" s="125" t="s">
        <v>530</v>
      </c>
      <c r="C3373" s="125" t="s">
        <v>514</v>
      </c>
      <c r="D3373" s="125" t="s">
        <v>457</v>
      </c>
      <c r="E3373" s="125" t="s">
        <v>284</v>
      </c>
      <c r="F3373" s="126">
        <v>41516.0</v>
      </c>
      <c r="G3373" s="127">
        <v>9.53E8</v>
      </c>
      <c r="H3373" s="126">
        <v>41533.0</v>
      </c>
      <c r="I3373" s="128">
        <v>2417.0</v>
      </c>
      <c r="J3373" s="128">
        <v>668.27</v>
      </c>
      <c r="K3373" s="128">
        <v>502.54</v>
      </c>
      <c r="L3373" s="128">
        <v>1615209.0</v>
      </c>
      <c r="M3373" s="128">
        <v>1214639.0</v>
      </c>
      <c r="N3373" s="128">
        <v>400569.4</v>
      </c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</row>
    <row r="3374">
      <c r="A3374" s="125" t="s">
        <v>469</v>
      </c>
      <c r="B3374" s="125" t="s">
        <v>495</v>
      </c>
      <c r="C3374" s="125" t="s">
        <v>480</v>
      </c>
      <c r="D3374" s="125" t="s">
        <v>457</v>
      </c>
      <c r="E3374" s="125" t="s">
        <v>472</v>
      </c>
      <c r="F3374" s="126">
        <v>40552.0</v>
      </c>
      <c r="G3374" s="127">
        <v>3.56E8</v>
      </c>
      <c r="H3374" s="126">
        <v>40600.0</v>
      </c>
      <c r="I3374" s="128">
        <v>196.0</v>
      </c>
      <c r="J3374" s="128">
        <v>437.2</v>
      </c>
      <c r="K3374" s="128">
        <v>263.33</v>
      </c>
      <c r="L3374" s="128">
        <v>85691.2</v>
      </c>
      <c r="M3374" s="128">
        <v>51612.68</v>
      </c>
      <c r="N3374" s="128">
        <v>34078.52</v>
      </c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</row>
    <row r="3375">
      <c r="A3375" s="125" t="s">
        <v>458</v>
      </c>
      <c r="B3375" s="125" t="s">
        <v>486</v>
      </c>
      <c r="C3375" s="125" t="s">
        <v>478</v>
      </c>
      <c r="D3375" s="125" t="s">
        <v>454</v>
      </c>
      <c r="E3375" s="125" t="s">
        <v>472</v>
      </c>
      <c r="F3375" s="126">
        <v>40234.0</v>
      </c>
      <c r="G3375" s="127">
        <v>2.68E8</v>
      </c>
      <c r="H3375" s="126">
        <v>40237.0</v>
      </c>
      <c r="I3375" s="128">
        <v>6672.0</v>
      </c>
      <c r="J3375" s="128">
        <v>651.21</v>
      </c>
      <c r="K3375" s="128">
        <v>524.96</v>
      </c>
      <c r="L3375" s="128">
        <v>4344873.0</v>
      </c>
      <c r="M3375" s="128">
        <v>3502533.0</v>
      </c>
      <c r="N3375" s="128">
        <v>842340.0</v>
      </c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</row>
    <row r="3376">
      <c r="A3376" s="125" t="s">
        <v>475</v>
      </c>
      <c r="B3376" s="125" t="s">
        <v>504</v>
      </c>
      <c r="C3376" s="125" t="s">
        <v>456</v>
      </c>
      <c r="D3376" s="125" t="s">
        <v>457</v>
      </c>
      <c r="E3376" s="125" t="s">
        <v>472</v>
      </c>
      <c r="F3376" s="126">
        <v>42826.0</v>
      </c>
      <c r="G3376" s="127">
        <v>7.28E8</v>
      </c>
      <c r="H3376" s="126">
        <v>42829.0</v>
      </c>
      <c r="I3376" s="128">
        <v>5755.0</v>
      </c>
      <c r="J3376" s="128">
        <v>152.58</v>
      </c>
      <c r="K3376" s="128">
        <v>97.44</v>
      </c>
      <c r="L3376" s="128">
        <v>878097.9</v>
      </c>
      <c r="M3376" s="128">
        <v>560767.2</v>
      </c>
      <c r="N3376" s="128">
        <v>317330.7</v>
      </c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</row>
    <row r="3377">
      <c r="A3377" s="125" t="s">
        <v>475</v>
      </c>
      <c r="B3377" s="125" t="s">
        <v>574</v>
      </c>
      <c r="C3377" s="125" t="s">
        <v>456</v>
      </c>
      <c r="D3377" s="125" t="s">
        <v>457</v>
      </c>
      <c r="E3377" s="125" t="s">
        <v>284</v>
      </c>
      <c r="F3377" s="126">
        <v>41302.0</v>
      </c>
      <c r="G3377" s="127">
        <v>9.46E8</v>
      </c>
      <c r="H3377" s="126">
        <v>41306.0</v>
      </c>
      <c r="I3377" s="128">
        <v>8390.0</v>
      </c>
      <c r="J3377" s="128">
        <v>152.58</v>
      </c>
      <c r="K3377" s="128">
        <v>97.44</v>
      </c>
      <c r="L3377" s="128">
        <v>1280146.0</v>
      </c>
      <c r="M3377" s="128">
        <v>817521.6</v>
      </c>
      <c r="N3377" s="128">
        <v>462624.6</v>
      </c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</row>
    <row r="3378">
      <c r="A3378" s="125" t="s">
        <v>475</v>
      </c>
      <c r="B3378" s="125" t="s">
        <v>549</v>
      </c>
      <c r="C3378" s="125" t="s">
        <v>514</v>
      </c>
      <c r="D3378" s="125" t="s">
        <v>457</v>
      </c>
      <c r="E3378" s="125" t="s">
        <v>472</v>
      </c>
      <c r="F3378" s="126">
        <v>42853.0</v>
      </c>
      <c r="G3378" s="127">
        <v>6.5E8</v>
      </c>
      <c r="H3378" s="126">
        <v>42879.0</v>
      </c>
      <c r="I3378" s="128">
        <v>7548.0</v>
      </c>
      <c r="J3378" s="128">
        <v>668.27</v>
      </c>
      <c r="K3378" s="128">
        <v>502.54</v>
      </c>
      <c r="L3378" s="128">
        <v>5044102.0</v>
      </c>
      <c r="M3378" s="128">
        <v>3793172.0</v>
      </c>
      <c r="N3378" s="128">
        <v>1250930.0</v>
      </c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</row>
    <row r="3379">
      <c r="A3379" s="125" t="s">
        <v>475</v>
      </c>
      <c r="B3379" s="125" t="s">
        <v>579</v>
      </c>
      <c r="C3379" s="125" t="s">
        <v>468</v>
      </c>
      <c r="D3379" s="125" t="s">
        <v>454</v>
      </c>
      <c r="E3379" s="125" t="s">
        <v>189</v>
      </c>
      <c r="F3379" s="126">
        <v>42614.0</v>
      </c>
      <c r="G3379" s="127">
        <v>5.41E8</v>
      </c>
      <c r="H3379" s="126">
        <v>42640.0</v>
      </c>
      <c r="I3379" s="128">
        <v>3236.0</v>
      </c>
      <c r="J3379" s="128">
        <v>81.73</v>
      </c>
      <c r="K3379" s="128">
        <v>56.67</v>
      </c>
      <c r="L3379" s="128">
        <v>264478.3</v>
      </c>
      <c r="M3379" s="128">
        <v>183384.1</v>
      </c>
      <c r="N3379" s="128">
        <v>81094.16</v>
      </c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</row>
    <row r="3380">
      <c r="A3380" s="125" t="s">
        <v>469</v>
      </c>
      <c r="B3380" s="125" t="s">
        <v>632</v>
      </c>
      <c r="C3380" s="125" t="s">
        <v>468</v>
      </c>
      <c r="D3380" s="125" t="s">
        <v>457</v>
      </c>
      <c r="E3380" s="125" t="s">
        <v>189</v>
      </c>
      <c r="F3380" s="126">
        <v>41638.0</v>
      </c>
      <c r="G3380" s="127">
        <v>9.41E8</v>
      </c>
      <c r="H3380" s="126">
        <v>41664.0</v>
      </c>
      <c r="I3380" s="128">
        <v>7489.0</v>
      </c>
      <c r="J3380" s="128">
        <v>81.73</v>
      </c>
      <c r="K3380" s="128">
        <v>56.67</v>
      </c>
      <c r="L3380" s="128">
        <v>612076.0</v>
      </c>
      <c r="M3380" s="128">
        <v>424401.6</v>
      </c>
      <c r="N3380" s="128">
        <v>187674.3</v>
      </c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</row>
    <row r="3381">
      <c r="A3381" s="125" t="s">
        <v>475</v>
      </c>
      <c r="B3381" s="125" t="s">
        <v>635</v>
      </c>
      <c r="C3381" s="125" t="s">
        <v>456</v>
      </c>
      <c r="D3381" s="125" t="s">
        <v>457</v>
      </c>
      <c r="E3381" s="125" t="s">
        <v>472</v>
      </c>
      <c r="F3381" s="126">
        <v>42753.0</v>
      </c>
      <c r="G3381" s="127">
        <v>4.38E8</v>
      </c>
      <c r="H3381" s="126">
        <v>42791.0</v>
      </c>
      <c r="I3381" s="128">
        <v>9375.0</v>
      </c>
      <c r="J3381" s="128">
        <v>152.58</v>
      </c>
      <c r="K3381" s="128">
        <v>97.44</v>
      </c>
      <c r="L3381" s="128">
        <v>1430438.0</v>
      </c>
      <c r="M3381" s="128">
        <v>913500.0</v>
      </c>
      <c r="N3381" s="128">
        <v>516937.5</v>
      </c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</row>
    <row r="3382">
      <c r="A3382" s="125" t="s">
        <v>461</v>
      </c>
      <c r="B3382" s="125" t="s">
        <v>564</v>
      </c>
      <c r="C3382" s="125" t="s">
        <v>494</v>
      </c>
      <c r="D3382" s="125" t="s">
        <v>454</v>
      </c>
      <c r="E3382" s="125" t="s">
        <v>189</v>
      </c>
      <c r="F3382" s="126">
        <v>40877.0</v>
      </c>
      <c r="G3382" s="127">
        <v>8.44E8</v>
      </c>
      <c r="H3382" s="126">
        <v>40909.0</v>
      </c>
      <c r="I3382" s="128">
        <v>9991.0</v>
      </c>
      <c r="J3382" s="128">
        <v>9.33</v>
      </c>
      <c r="K3382" s="128">
        <v>6.92</v>
      </c>
      <c r="L3382" s="128">
        <v>93216.03</v>
      </c>
      <c r="M3382" s="128">
        <v>69137.72</v>
      </c>
      <c r="N3382" s="128">
        <v>24078.31</v>
      </c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</row>
    <row r="3383">
      <c r="A3383" s="125" t="s">
        <v>466</v>
      </c>
      <c r="B3383" s="125" t="s">
        <v>580</v>
      </c>
      <c r="C3383" s="125" t="s">
        <v>514</v>
      </c>
      <c r="D3383" s="125" t="s">
        <v>457</v>
      </c>
      <c r="E3383" s="125" t="s">
        <v>284</v>
      </c>
      <c r="F3383" s="126">
        <v>40997.0</v>
      </c>
      <c r="G3383" s="127">
        <v>4.41E8</v>
      </c>
      <c r="H3383" s="126">
        <v>41019.0</v>
      </c>
      <c r="I3383" s="128">
        <v>7469.0</v>
      </c>
      <c r="J3383" s="128">
        <v>668.27</v>
      </c>
      <c r="K3383" s="128">
        <v>502.54</v>
      </c>
      <c r="L3383" s="128">
        <v>4991309.0</v>
      </c>
      <c r="M3383" s="128">
        <v>3753471.0</v>
      </c>
      <c r="N3383" s="128">
        <v>1237837.0</v>
      </c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</row>
    <row r="3384">
      <c r="A3384" s="125" t="s">
        <v>461</v>
      </c>
      <c r="B3384" s="125" t="s">
        <v>611</v>
      </c>
      <c r="C3384" s="125" t="s">
        <v>460</v>
      </c>
      <c r="D3384" s="125" t="s">
        <v>454</v>
      </c>
      <c r="E3384" s="125" t="s">
        <v>464</v>
      </c>
      <c r="F3384" s="126">
        <v>40191.0</v>
      </c>
      <c r="G3384" s="127">
        <v>7.3E8</v>
      </c>
      <c r="H3384" s="126">
        <v>40223.0</v>
      </c>
      <c r="I3384" s="128">
        <v>1969.0</v>
      </c>
      <c r="J3384" s="128">
        <v>47.45</v>
      </c>
      <c r="K3384" s="128">
        <v>31.79</v>
      </c>
      <c r="L3384" s="128">
        <v>93429.05</v>
      </c>
      <c r="M3384" s="128">
        <v>62594.51</v>
      </c>
      <c r="N3384" s="128">
        <v>30834.54</v>
      </c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</row>
    <row r="3385">
      <c r="A3385" s="125" t="s">
        <v>461</v>
      </c>
      <c r="B3385" s="125" t="s">
        <v>638</v>
      </c>
      <c r="C3385" s="125" t="s">
        <v>456</v>
      </c>
      <c r="D3385" s="125" t="s">
        <v>457</v>
      </c>
      <c r="E3385" s="125" t="s">
        <v>464</v>
      </c>
      <c r="F3385" s="126">
        <v>42844.0</v>
      </c>
      <c r="G3385" s="127">
        <v>5.83E8</v>
      </c>
      <c r="H3385" s="126">
        <v>42868.0</v>
      </c>
      <c r="I3385" s="128">
        <v>684.0</v>
      </c>
      <c r="J3385" s="128">
        <v>152.58</v>
      </c>
      <c r="K3385" s="128">
        <v>97.44</v>
      </c>
      <c r="L3385" s="128">
        <v>104364.7</v>
      </c>
      <c r="M3385" s="128">
        <v>66648.96</v>
      </c>
      <c r="N3385" s="128">
        <v>37715.76</v>
      </c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</row>
    <row r="3386">
      <c r="A3386" s="125" t="s">
        <v>475</v>
      </c>
      <c r="B3386" s="125" t="s">
        <v>600</v>
      </c>
      <c r="C3386" s="125" t="s">
        <v>460</v>
      </c>
      <c r="D3386" s="125" t="s">
        <v>454</v>
      </c>
      <c r="E3386" s="125" t="s">
        <v>464</v>
      </c>
      <c r="F3386" s="126">
        <v>42661.0</v>
      </c>
      <c r="G3386" s="127">
        <v>2.93E8</v>
      </c>
      <c r="H3386" s="126">
        <v>42687.0</v>
      </c>
      <c r="I3386" s="128">
        <v>2837.0</v>
      </c>
      <c r="J3386" s="128">
        <v>47.45</v>
      </c>
      <c r="K3386" s="128">
        <v>31.79</v>
      </c>
      <c r="L3386" s="128">
        <v>134615.7</v>
      </c>
      <c r="M3386" s="128">
        <v>90188.23</v>
      </c>
      <c r="N3386" s="128">
        <v>44427.42</v>
      </c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</row>
    <row r="3387">
      <c r="A3387" s="125" t="s">
        <v>451</v>
      </c>
      <c r="B3387" s="125" t="s">
        <v>592</v>
      </c>
      <c r="C3387" s="125" t="s">
        <v>460</v>
      </c>
      <c r="D3387" s="125" t="s">
        <v>454</v>
      </c>
      <c r="E3387" s="125" t="s">
        <v>284</v>
      </c>
      <c r="F3387" s="126">
        <v>40655.0</v>
      </c>
      <c r="G3387" s="127">
        <v>2.21E8</v>
      </c>
      <c r="H3387" s="126">
        <v>40656.0</v>
      </c>
      <c r="I3387" s="128">
        <v>4683.0</v>
      </c>
      <c r="J3387" s="128">
        <v>47.45</v>
      </c>
      <c r="K3387" s="128">
        <v>31.79</v>
      </c>
      <c r="L3387" s="128">
        <v>222208.4</v>
      </c>
      <c r="M3387" s="128">
        <v>148872.6</v>
      </c>
      <c r="N3387" s="128">
        <v>73335.78</v>
      </c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</row>
    <row r="3388">
      <c r="A3388" s="125" t="s">
        <v>458</v>
      </c>
      <c r="B3388" s="125" t="s">
        <v>541</v>
      </c>
      <c r="C3388" s="125" t="s">
        <v>480</v>
      </c>
      <c r="D3388" s="125" t="s">
        <v>454</v>
      </c>
      <c r="E3388" s="125" t="s">
        <v>472</v>
      </c>
      <c r="F3388" s="126">
        <v>40993.0</v>
      </c>
      <c r="G3388" s="127">
        <v>3.51E8</v>
      </c>
      <c r="H3388" s="126">
        <v>41021.0</v>
      </c>
      <c r="I3388" s="128">
        <v>4508.0</v>
      </c>
      <c r="J3388" s="128">
        <v>437.2</v>
      </c>
      <c r="K3388" s="128">
        <v>263.33</v>
      </c>
      <c r="L3388" s="128">
        <v>1970898.0</v>
      </c>
      <c r="M3388" s="128">
        <v>1187092.0</v>
      </c>
      <c r="N3388" s="128">
        <v>783806.0</v>
      </c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</row>
    <row r="3389">
      <c r="A3389" s="125" t="s">
        <v>466</v>
      </c>
      <c r="B3389" s="125" t="s">
        <v>477</v>
      </c>
      <c r="C3389" s="125" t="s">
        <v>463</v>
      </c>
      <c r="D3389" s="125" t="s">
        <v>457</v>
      </c>
      <c r="E3389" s="125" t="s">
        <v>464</v>
      </c>
      <c r="F3389" s="126">
        <v>41314.0</v>
      </c>
      <c r="G3389" s="127">
        <v>7.35E8</v>
      </c>
      <c r="H3389" s="126">
        <v>41336.0</v>
      </c>
      <c r="I3389" s="128">
        <v>7631.0</v>
      </c>
      <c r="J3389" s="128">
        <v>205.7</v>
      </c>
      <c r="K3389" s="128">
        <v>117.11</v>
      </c>
      <c r="L3389" s="128">
        <v>1569697.0</v>
      </c>
      <c r="M3389" s="128">
        <v>893666.4</v>
      </c>
      <c r="N3389" s="128">
        <v>676030.3</v>
      </c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</row>
    <row r="3390">
      <c r="A3390" s="125" t="s">
        <v>475</v>
      </c>
      <c r="B3390" s="125" t="s">
        <v>527</v>
      </c>
      <c r="C3390" s="125" t="s">
        <v>463</v>
      </c>
      <c r="D3390" s="125" t="s">
        <v>457</v>
      </c>
      <c r="E3390" s="125" t="s">
        <v>189</v>
      </c>
      <c r="F3390" s="126">
        <v>42415.0</v>
      </c>
      <c r="G3390" s="127">
        <v>1.48E8</v>
      </c>
      <c r="H3390" s="126">
        <v>42429.0</v>
      </c>
      <c r="I3390" s="128">
        <v>1398.0</v>
      </c>
      <c r="J3390" s="128">
        <v>205.7</v>
      </c>
      <c r="K3390" s="128">
        <v>117.11</v>
      </c>
      <c r="L3390" s="128">
        <v>287568.6</v>
      </c>
      <c r="M3390" s="128">
        <v>163719.8</v>
      </c>
      <c r="N3390" s="128">
        <v>123848.8</v>
      </c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</row>
    <row r="3391">
      <c r="A3391" s="125" t="s">
        <v>451</v>
      </c>
      <c r="B3391" s="125" t="s">
        <v>593</v>
      </c>
      <c r="C3391" s="125" t="s">
        <v>485</v>
      </c>
      <c r="D3391" s="125" t="s">
        <v>457</v>
      </c>
      <c r="E3391" s="125" t="s">
        <v>284</v>
      </c>
      <c r="F3391" s="126">
        <v>41330.0</v>
      </c>
      <c r="G3391" s="127">
        <v>1.33E8</v>
      </c>
      <c r="H3391" s="126">
        <v>41350.0</v>
      </c>
      <c r="I3391" s="128">
        <v>190.0</v>
      </c>
      <c r="J3391" s="128">
        <v>421.89</v>
      </c>
      <c r="K3391" s="128">
        <v>364.69</v>
      </c>
      <c r="L3391" s="128">
        <v>80159.1</v>
      </c>
      <c r="M3391" s="128">
        <v>69291.1</v>
      </c>
      <c r="N3391" s="128">
        <v>10868.0</v>
      </c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</row>
    <row r="3392">
      <c r="A3392" s="125" t="s">
        <v>475</v>
      </c>
      <c r="B3392" s="125" t="s">
        <v>656</v>
      </c>
      <c r="C3392" s="125" t="s">
        <v>506</v>
      </c>
      <c r="D3392" s="125" t="s">
        <v>457</v>
      </c>
      <c r="E3392" s="125" t="s">
        <v>464</v>
      </c>
      <c r="F3392" s="126">
        <v>41017.0</v>
      </c>
      <c r="G3392" s="127">
        <v>9.55E8</v>
      </c>
      <c r="H3392" s="126">
        <v>41040.0</v>
      </c>
      <c r="I3392" s="128">
        <v>419.0</v>
      </c>
      <c r="J3392" s="128">
        <v>154.06</v>
      </c>
      <c r="K3392" s="128">
        <v>90.93</v>
      </c>
      <c r="L3392" s="128">
        <v>64551.14</v>
      </c>
      <c r="M3392" s="128">
        <v>38099.67</v>
      </c>
      <c r="N3392" s="128">
        <v>26451.47</v>
      </c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</row>
    <row r="3393">
      <c r="A3393" s="125" t="s">
        <v>451</v>
      </c>
      <c r="B3393" s="125" t="s">
        <v>490</v>
      </c>
      <c r="C3393" s="125" t="s">
        <v>456</v>
      </c>
      <c r="D3393" s="125" t="s">
        <v>457</v>
      </c>
      <c r="E3393" s="125" t="s">
        <v>464</v>
      </c>
      <c r="F3393" s="126">
        <v>40671.0</v>
      </c>
      <c r="G3393" s="127">
        <v>2.47E8</v>
      </c>
      <c r="H3393" s="126">
        <v>40711.0</v>
      </c>
      <c r="I3393" s="128">
        <v>5527.0</v>
      </c>
      <c r="J3393" s="128">
        <v>152.58</v>
      </c>
      <c r="K3393" s="128">
        <v>97.44</v>
      </c>
      <c r="L3393" s="128">
        <v>843309.7</v>
      </c>
      <c r="M3393" s="128">
        <v>538550.9</v>
      </c>
      <c r="N3393" s="128">
        <v>304758.8</v>
      </c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</row>
    <row r="3394">
      <c r="A3394" s="125" t="s">
        <v>469</v>
      </c>
      <c r="B3394" s="125" t="s">
        <v>495</v>
      </c>
      <c r="C3394" s="125" t="s">
        <v>460</v>
      </c>
      <c r="D3394" s="125" t="s">
        <v>457</v>
      </c>
      <c r="E3394" s="125" t="s">
        <v>464</v>
      </c>
      <c r="F3394" s="126">
        <v>42644.0</v>
      </c>
      <c r="G3394" s="127">
        <v>6.64E8</v>
      </c>
      <c r="H3394" s="126">
        <v>42648.0</v>
      </c>
      <c r="I3394" s="128">
        <v>987.0</v>
      </c>
      <c r="J3394" s="128">
        <v>47.45</v>
      </c>
      <c r="K3394" s="128">
        <v>31.79</v>
      </c>
      <c r="L3394" s="128">
        <v>46833.15</v>
      </c>
      <c r="M3394" s="128">
        <v>31376.73</v>
      </c>
      <c r="N3394" s="128">
        <v>15456.42</v>
      </c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</row>
    <row r="3395">
      <c r="A3395" s="125" t="s">
        <v>488</v>
      </c>
      <c r="B3395" s="125" t="s">
        <v>489</v>
      </c>
      <c r="C3395" s="125" t="s">
        <v>514</v>
      </c>
      <c r="D3395" s="125" t="s">
        <v>457</v>
      </c>
      <c r="E3395" s="125" t="s">
        <v>472</v>
      </c>
      <c r="F3395" s="126">
        <v>42762.0</v>
      </c>
      <c r="G3395" s="127">
        <v>4.32E8</v>
      </c>
      <c r="H3395" s="126">
        <v>42800.0</v>
      </c>
      <c r="I3395" s="128">
        <v>9304.0</v>
      </c>
      <c r="J3395" s="128">
        <v>668.27</v>
      </c>
      <c r="K3395" s="128">
        <v>502.54</v>
      </c>
      <c r="L3395" s="128">
        <v>6217584.0</v>
      </c>
      <c r="M3395" s="128">
        <v>4675632.0</v>
      </c>
      <c r="N3395" s="128">
        <v>1541952.0</v>
      </c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</row>
    <row r="3396">
      <c r="A3396" s="125" t="s">
        <v>461</v>
      </c>
      <c r="B3396" s="125" t="s">
        <v>510</v>
      </c>
      <c r="C3396" s="125" t="s">
        <v>456</v>
      </c>
      <c r="D3396" s="125" t="s">
        <v>454</v>
      </c>
      <c r="E3396" s="125" t="s">
        <v>189</v>
      </c>
      <c r="F3396" s="126">
        <v>42770.0</v>
      </c>
      <c r="G3396" s="127">
        <v>9.95E8</v>
      </c>
      <c r="H3396" s="126">
        <v>42794.0</v>
      </c>
      <c r="I3396" s="128">
        <v>5014.0</v>
      </c>
      <c r="J3396" s="128">
        <v>152.58</v>
      </c>
      <c r="K3396" s="128">
        <v>97.44</v>
      </c>
      <c r="L3396" s="128">
        <v>765036.1</v>
      </c>
      <c r="M3396" s="128">
        <v>488564.2</v>
      </c>
      <c r="N3396" s="128">
        <v>276472.0</v>
      </c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</row>
    <row r="3397">
      <c r="A3397" s="125" t="s">
        <v>475</v>
      </c>
      <c r="B3397" s="125" t="s">
        <v>588</v>
      </c>
      <c r="C3397" s="125" t="s">
        <v>494</v>
      </c>
      <c r="D3397" s="125" t="s">
        <v>457</v>
      </c>
      <c r="E3397" s="125" t="s">
        <v>472</v>
      </c>
      <c r="F3397" s="126">
        <v>40656.0</v>
      </c>
      <c r="G3397" s="127">
        <v>2.71E8</v>
      </c>
      <c r="H3397" s="126">
        <v>40691.0</v>
      </c>
      <c r="I3397" s="128">
        <v>9685.0</v>
      </c>
      <c r="J3397" s="128">
        <v>9.33</v>
      </c>
      <c r="K3397" s="128">
        <v>6.92</v>
      </c>
      <c r="L3397" s="128">
        <v>90361.05</v>
      </c>
      <c r="M3397" s="128">
        <v>67020.2</v>
      </c>
      <c r="N3397" s="128">
        <v>23340.85</v>
      </c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</row>
    <row r="3398">
      <c r="A3398" s="125" t="s">
        <v>458</v>
      </c>
      <c r="B3398" s="125" t="s">
        <v>518</v>
      </c>
      <c r="C3398" s="125" t="s">
        <v>468</v>
      </c>
      <c r="D3398" s="125" t="s">
        <v>454</v>
      </c>
      <c r="E3398" s="125" t="s">
        <v>284</v>
      </c>
      <c r="F3398" s="126">
        <v>40325.0</v>
      </c>
      <c r="G3398" s="127">
        <v>2.93E8</v>
      </c>
      <c r="H3398" s="126">
        <v>40330.0</v>
      </c>
      <c r="I3398" s="128">
        <v>6916.0</v>
      </c>
      <c r="J3398" s="128">
        <v>81.73</v>
      </c>
      <c r="K3398" s="128">
        <v>56.67</v>
      </c>
      <c r="L3398" s="128">
        <v>565244.7</v>
      </c>
      <c r="M3398" s="128">
        <v>391929.7</v>
      </c>
      <c r="N3398" s="128">
        <v>173315.0</v>
      </c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</row>
    <row r="3399">
      <c r="A3399" s="125" t="s">
        <v>475</v>
      </c>
      <c r="B3399" s="125" t="s">
        <v>513</v>
      </c>
      <c r="C3399" s="125" t="s">
        <v>514</v>
      </c>
      <c r="D3399" s="125" t="s">
        <v>457</v>
      </c>
      <c r="E3399" s="125" t="s">
        <v>284</v>
      </c>
      <c r="F3399" s="126">
        <v>41926.0</v>
      </c>
      <c r="G3399" s="127">
        <v>4.7E8</v>
      </c>
      <c r="H3399" s="126">
        <v>41937.0</v>
      </c>
      <c r="I3399" s="128">
        <v>7336.0</v>
      </c>
      <c r="J3399" s="128">
        <v>668.27</v>
      </c>
      <c r="K3399" s="128">
        <v>502.54</v>
      </c>
      <c r="L3399" s="128">
        <v>4902429.0</v>
      </c>
      <c r="M3399" s="128">
        <v>3686633.0</v>
      </c>
      <c r="N3399" s="128">
        <v>1215795.0</v>
      </c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</row>
    <row r="3400">
      <c r="A3400" s="125" t="s">
        <v>461</v>
      </c>
      <c r="B3400" s="125" t="s">
        <v>615</v>
      </c>
      <c r="C3400" s="125" t="s">
        <v>471</v>
      </c>
      <c r="D3400" s="125" t="s">
        <v>454</v>
      </c>
      <c r="E3400" s="125" t="s">
        <v>189</v>
      </c>
      <c r="F3400" s="126">
        <v>40462.0</v>
      </c>
      <c r="G3400" s="127">
        <v>7.26E8</v>
      </c>
      <c r="H3400" s="126">
        <v>40501.0</v>
      </c>
      <c r="I3400" s="128">
        <v>3606.0</v>
      </c>
      <c r="J3400" s="128">
        <v>109.28</v>
      </c>
      <c r="K3400" s="128">
        <v>35.84</v>
      </c>
      <c r="L3400" s="128">
        <v>394063.7</v>
      </c>
      <c r="M3400" s="128">
        <v>129239.0</v>
      </c>
      <c r="N3400" s="128">
        <v>264824.6</v>
      </c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</row>
    <row r="3401">
      <c r="A3401" s="125" t="s">
        <v>475</v>
      </c>
      <c r="B3401" s="125" t="s">
        <v>504</v>
      </c>
      <c r="C3401" s="125" t="s">
        <v>468</v>
      </c>
      <c r="D3401" s="125" t="s">
        <v>457</v>
      </c>
      <c r="E3401" s="125" t="s">
        <v>284</v>
      </c>
      <c r="F3401" s="126">
        <v>41008.0</v>
      </c>
      <c r="G3401" s="127">
        <v>1.6E8</v>
      </c>
      <c r="H3401" s="126">
        <v>41022.0</v>
      </c>
      <c r="I3401" s="128">
        <v>5418.0</v>
      </c>
      <c r="J3401" s="128">
        <v>81.73</v>
      </c>
      <c r="K3401" s="128">
        <v>56.67</v>
      </c>
      <c r="L3401" s="128">
        <v>442813.1</v>
      </c>
      <c r="M3401" s="128">
        <v>307038.1</v>
      </c>
      <c r="N3401" s="128">
        <v>135775.1</v>
      </c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</row>
    <row r="3402">
      <c r="A3402" s="125" t="s">
        <v>475</v>
      </c>
      <c r="B3402" s="125" t="s">
        <v>537</v>
      </c>
      <c r="C3402" s="125" t="s">
        <v>506</v>
      </c>
      <c r="D3402" s="125" t="s">
        <v>454</v>
      </c>
      <c r="E3402" s="125" t="s">
        <v>284</v>
      </c>
      <c r="F3402" s="126">
        <v>40729.0</v>
      </c>
      <c r="G3402" s="127">
        <v>1.89E8</v>
      </c>
      <c r="H3402" s="126">
        <v>40754.0</v>
      </c>
      <c r="I3402" s="128">
        <v>4498.0</v>
      </c>
      <c r="J3402" s="128">
        <v>154.06</v>
      </c>
      <c r="K3402" s="128">
        <v>90.93</v>
      </c>
      <c r="L3402" s="128">
        <v>692961.9</v>
      </c>
      <c r="M3402" s="128">
        <v>409003.1</v>
      </c>
      <c r="N3402" s="128">
        <v>283958.7</v>
      </c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</row>
    <row r="3403">
      <c r="A3403" s="125" t="s">
        <v>475</v>
      </c>
      <c r="B3403" s="125" t="s">
        <v>526</v>
      </c>
      <c r="C3403" s="125" t="s">
        <v>468</v>
      </c>
      <c r="D3403" s="125" t="s">
        <v>454</v>
      </c>
      <c r="E3403" s="125" t="s">
        <v>472</v>
      </c>
      <c r="F3403" s="126">
        <v>41328.0</v>
      </c>
      <c r="G3403" s="127">
        <v>5.0E8</v>
      </c>
      <c r="H3403" s="126">
        <v>41377.0</v>
      </c>
      <c r="I3403" s="128">
        <v>9598.0</v>
      </c>
      <c r="J3403" s="128">
        <v>81.73</v>
      </c>
      <c r="K3403" s="128">
        <v>56.67</v>
      </c>
      <c r="L3403" s="128">
        <v>784444.5</v>
      </c>
      <c r="M3403" s="128">
        <v>543918.7</v>
      </c>
      <c r="N3403" s="128">
        <v>240525.9</v>
      </c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</row>
    <row r="3404">
      <c r="A3404" s="125" t="s">
        <v>469</v>
      </c>
      <c r="B3404" s="125" t="s">
        <v>630</v>
      </c>
      <c r="C3404" s="125" t="s">
        <v>478</v>
      </c>
      <c r="D3404" s="125" t="s">
        <v>457</v>
      </c>
      <c r="E3404" s="125" t="s">
        <v>284</v>
      </c>
      <c r="F3404" s="126">
        <v>42130.0</v>
      </c>
      <c r="G3404" s="127">
        <v>4.0E8</v>
      </c>
      <c r="H3404" s="126">
        <v>42156.0</v>
      </c>
      <c r="I3404" s="128">
        <v>1506.0</v>
      </c>
      <c r="J3404" s="128">
        <v>651.21</v>
      </c>
      <c r="K3404" s="128">
        <v>524.96</v>
      </c>
      <c r="L3404" s="128">
        <v>980722.3</v>
      </c>
      <c r="M3404" s="128">
        <v>790589.8</v>
      </c>
      <c r="N3404" s="128">
        <v>190132.5</v>
      </c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</row>
    <row r="3405">
      <c r="A3405" s="125" t="s">
        <v>458</v>
      </c>
      <c r="B3405" s="125" t="s">
        <v>653</v>
      </c>
      <c r="C3405" s="125" t="s">
        <v>453</v>
      </c>
      <c r="D3405" s="125" t="s">
        <v>454</v>
      </c>
      <c r="E3405" s="125" t="s">
        <v>472</v>
      </c>
      <c r="F3405" s="126">
        <v>41469.0</v>
      </c>
      <c r="G3405" s="127">
        <v>1.69E8</v>
      </c>
      <c r="H3405" s="126">
        <v>41505.0</v>
      </c>
      <c r="I3405" s="128">
        <v>8039.0</v>
      </c>
      <c r="J3405" s="128">
        <v>255.28</v>
      </c>
      <c r="K3405" s="128">
        <v>159.42</v>
      </c>
      <c r="L3405" s="128">
        <v>2052196.0</v>
      </c>
      <c r="M3405" s="128">
        <v>1281577.0</v>
      </c>
      <c r="N3405" s="128">
        <v>770618.5</v>
      </c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</row>
    <row r="3406">
      <c r="A3406" s="125" t="s">
        <v>466</v>
      </c>
      <c r="B3406" s="125" t="s">
        <v>580</v>
      </c>
      <c r="C3406" s="125" t="s">
        <v>478</v>
      </c>
      <c r="D3406" s="125" t="s">
        <v>457</v>
      </c>
      <c r="E3406" s="125" t="s">
        <v>189</v>
      </c>
      <c r="F3406" s="126">
        <v>40831.0</v>
      </c>
      <c r="G3406" s="127">
        <v>6.04E8</v>
      </c>
      <c r="H3406" s="126">
        <v>40851.0</v>
      </c>
      <c r="I3406" s="128">
        <v>9045.0</v>
      </c>
      <c r="J3406" s="128">
        <v>651.21</v>
      </c>
      <c r="K3406" s="128">
        <v>524.96</v>
      </c>
      <c r="L3406" s="128">
        <v>5890194.0</v>
      </c>
      <c r="M3406" s="128">
        <v>4748263.0</v>
      </c>
      <c r="N3406" s="128">
        <v>1141931.0</v>
      </c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</row>
    <row r="3407">
      <c r="A3407" s="125" t="s">
        <v>461</v>
      </c>
      <c r="B3407" s="125" t="s">
        <v>576</v>
      </c>
      <c r="C3407" s="125" t="s">
        <v>456</v>
      </c>
      <c r="D3407" s="125" t="s">
        <v>457</v>
      </c>
      <c r="E3407" s="125" t="s">
        <v>464</v>
      </c>
      <c r="F3407" s="126">
        <v>40709.0</v>
      </c>
      <c r="G3407" s="127">
        <v>7.75E8</v>
      </c>
      <c r="H3407" s="126">
        <v>40716.0</v>
      </c>
      <c r="I3407" s="128">
        <v>1404.0</v>
      </c>
      <c r="J3407" s="128">
        <v>152.58</v>
      </c>
      <c r="K3407" s="128">
        <v>97.44</v>
      </c>
      <c r="L3407" s="128">
        <v>214222.3</v>
      </c>
      <c r="M3407" s="128">
        <v>136805.8</v>
      </c>
      <c r="N3407" s="128">
        <v>77416.56</v>
      </c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</row>
    <row r="3408">
      <c r="A3408" s="125" t="s">
        <v>458</v>
      </c>
      <c r="B3408" s="125" t="s">
        <v>594</v>
      </c>
      <c r="C3408" s="125" t="s">
        <v>460</v>
      </c>
      <c r="D3408" s="125" t="s">
        <v>457</v>
      </c>
      <c r="E3408" s="125" t="s">
        <v>189</v>
      </c>
      <c r="F3408" s="126">
        <v>41984.0</v>
      </c>
      <c r="G3408" s="127">
        <v>2.7E8</v>
      </c>
      <c r="H3408" s="126">
        <v>42028.0</v>
      </c>
      <c r="I3408" s="128">
        <v>4028.0</v>
      </c>
      <c r="J3408" s="128">
        <v>47.45</v>
      </c>
      <c r="K3408" s="128">
        <v>31.79</v>
      </c>
      <c r="L3408" s="128">
        <v>191128.6</v>
      </c>
      <c r="M3408" s="128">
        <v>128050.1</v>
      </c>
      <c r="N3408" s="128">
        <v>63078.48</v>
      </c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</row>
    <row r="3409">
      <c r="A3409" s="125" t="s">
        <v>475</v>
      </c>
      <c r="B3409" s="125" t="s">
        <v>500</v>
      </c>
      <c r="C3409" s="125" t="s">
        <v>471</v>
      </c>
      <c r="D3409" s="125" t="s">
        <v>454</v>
      </c>
      <c r="E3409" s="125" t="s">
        <v>284</v>
      </c>
      <c r="F3409" s="126">
        <v>41780.0</v>
      </c>
      <c r="G3409" s="127">
        <v>5.5E8</v>
      </c>
      <c r="H3409" s="126">
        <v>41788.0</v>
      </c>
      <c r="I3409" s="128">
        <v>2859.0</v>
      </c>
      <c r="J3409" s="128">
        <v>109.28</v>
      </c>
      <c r="K3409" s="128">
        <v>35.84</v>
      </c>
      <c r="L3409" s="128">
        <v>312431.5</v>
      </c>
      <c r="M3409" s="128">
        <v>102466.6</v>
      </c>
      <c r="N3409" s="128">
        <v>209965.0</v>
      </c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</row>
    <row r="3410">
      <c r="A3410" s="125" t="s">
        <v>466</v>
      </c>
      <c r="B3410" s="125" t="s">
        <v>496</v>
      </c>
      <c r="C3410" s="125" t="s">
        <v>453</v>
      </c>
      <c r="D3410" s="125" t="s">
        <v>457</v>
      </c>
      <c r="E3410" s="125" t="s">
        <v>472</v>
      </c>
      <c r="F3410" s="126">
        <v>40372.0</v>
      </c>
      <c r="G3410" s="127">
        <v>8.92E8</v>
      </c>
      <c r="H3410" s="126">
        <v>40421.0</v>
      </c>
      <c r="I3410" s="128">
        <v>5870.0</v>
      </c>
      <c r="J3410" s="128">
        <v>255.28</v>
      </c>
      <c r="K3410" s="128">
        <v>159.42</v>
      </c>
      <c r="L3410" s="128">
        <v>1498494.0</v>
      </c>
      <c r="M3410" s="128">
        <v>935795.4</v>
      </c>
      <c r="N3410" s="128">
        <v>562698.2</v>
      </c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</row>
    <row r="3411">
      <c r="A3411" s="125" t="s">
        <v>475</v>
      </c>
      <c r="B3411" s="125" t="s">
        <v>640</v>
      </c>
      <c r="C3411" s="125" t="s">
        <v>478</v>
      </c>
      <c r="D3411" s="125" t="s">
        <v>454</v>
      </c>
      <c r="E3411" s="125" t="s">
        <v>464</v>
      </c>
      <c r="F3411" s="126">
        <v>42575.0</v>
      </c>
      <c r="G3411" s="127">
        <v>6.49E8</v>
      </c>
      <c r="H3411" s="126">
        <v>42621.0</v>
      </c>
      <c r="I3411" s="128">
        <v>8067.0</v>
      </c>
      <c r="J3411" s="128">
        <v>651.21</v>
      </c>
      <c r="K3411" s="128">
        <v>524.96</v>
      </c>
      <c r="L3411" s="128">
        <v>5253311.0</v>
      </c>
      <c r="M3411" s="128">
        <v>4234852.0</v>
      </c>
      <c r="N3411" s="128">
        <v>1018459.0</v>
      </c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</row>
    <row r="3412">
      <c r="A3412" s="125" t="s">
        <v>458</v>
      </c>
      <c r="B3412" s="125" t="s">
        <v>616</v>
      </c>
      <c r="C3412" s="125" t="s">
        <v>468</v>
      </c>
      <c r="D3412" s="125" t="s">
        <v>457</v>
      </c>
      <c r="E3412" s="125" t="s">
        <v>189</v>
      </c>
      <c r="F3412" s="126">
        <v>42530.0</v>
      </c>
      <c r="G3412" s="127">
        <v>5.9E8</v>
      </c>
      <c r="H3412" s="126">
        <v>42579.0</v>
      </c>
      <c r="I3412" s="128">
        <v>6485.0</v>
      </c>
      <c r="J3412" s="128">
        <v>81.73</v>
      </c>
      <c r="K3412" s="128">
        <v>56.67</v>
      </c>
      <c r="L3412" s="128">
        <v>530019.1</v>
      </c>
      <c r="M3412" s="128">
        <v>367505.0</v>
      </c>
      <c r="N3412" s="128">
        <v>162514.1</v>
      </c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</row>
    <row r="3413">
      <c r="A3413" s="125" t="s">
        <v>458</v>
      </c>
      <c r="B3413" s="125" t="s">
        <v>547</v>
      </c>
      <c r="C3413" s="125" t="s">
        <v>463</v>
      </c>
      <c r="D3413" s="125" t="s">
        <v>457</v>
      </c>
      <c r="E3413" s="125" t="s">
        <v>284</v>
      </c>
      <c r="F3413" s="126">
        <v>41680.0</v>
      </c>
      <c r="G3413" s="127">
        <v>6.55E8</v>
      </c>
      <c r="H3413" s="126">
        <v>41720.0</v>
      </c>
      <c r="I3413" s="128">
        <v>5191.0</v>
      </c>
      <c r="J3413" s="128">
        <v>205.7</v>
      </c>
      <c r="K3413" s="128">
        <v>117.11</v>
      </c>
      <c r="L3413" s="128">
        <v>1067789.0</v>
      </c>
      <c r="M3413" s="128">
        <v>607918.0</v>
      </c>
      <c r="N3413" s="128">
        <v>459870.7</v>
      </c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</row>
    <row r="3414">
      <c r="A3414" s="125" t="s">
        <v>458</v>
      </c>
      <c r="B3414" s="125" t="s">
        <v>594</v>
      </c>
      <c r="C3414" s="125" t="s">
        <v>506</v>
      </c>
      <c r="D3414" s="125" t="s">
        <v>454</v>
      </c>
      <c r="E3414" s="125" t="s">
        <v>189</v>
      </c>
      <c r="F3414" s="126">
        <v>41858.0</v>
      </c>
      <c r="G3414" s="127">
        <v>4.07E8</v>
      </c>
      <c r="H3414" s="126">
        <v>41876.0</v>
      </c>
      <c r="I3414" s="128">
        <v>286.0</v>
      </c>
      <c r="J3414" s="128">
        <v>154.06</v>
      </c>
      <c r="K3414" s="128">
        <v>90.93</v>
      </c>
      <c r="L3414" s="128">
        <v>44061.16</v>
      </c>
      <c r="M3414" s="128">
        <v>26005.98</v>
      </c>
      <c r="N3414" s="128">
        <v>18055.18</v>
      </c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</row>
    <row r="3415">
      <c r="A3415" s="125" t="s">
        <v>458</v>
      </c>
      <c r="B3415" s="125" t="s">
        <v>606</v>
      </c>
      <c r="C3415" s="125" t="s">
        <v>471</v>
      </c>
      <c r="D3415" s="125" t="s">
        <v>454</v>
      </c>
      <c r="E3415" s="125" t="s">
        <v>472</v>
      </c>
      <c r="F3415" s="126">
        <v>41137.0</v>
      </c>
      <c r="G3415" s="127">
        <v>3.75E8</v>
      </c>
      <c r="H3415" s="126">
        <v>41158.0</v>
      </c>
      <c r="I3415" s="128">
        <v>4897.0</v>
      </c>
      <c r="J3415" s="128">
        <v>109.28</v>
      </c>
      <c r="K3415" s="128">
        <v>35.84</v>
      </c>
      <c r="L3415" s="128">
        <v>535144.2</v>
      </c>
      <c r="M3415" s="128">
        <v>175508.5</v>
      </c>
      <c r="N3415" s="128">
        <v>359635.7</v>
      </c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</row>
    <row r="3416">
      <c r="A3416" s="125" t="s">
        <v>475</v>
      </c>
      <c r="B3416" s="125" t="s">
        <v>521</v>
      </c>
      <c r="C3416" s="125" t="s">
        <v>468</v>
      </c>
      <c r="D3416" s="125" t="s">
        <v>454</v>
      </c>
      <c r="E3416" s="125" t="s">
        <v>464</v>
      </c>
      <c r="F3416" s="126">
        <v>40743.0</v>
      </c>
      <c r="G3416" s="127">
        <v>7.12E8</v>
      </c>
      <c r="H3416" s="126">
        <v>40792.0</v>
      </c>
      <c r="I3416" s="128">
        <v>4187.0</v>
      </c>
      <c r="J3416" s="128">
        <v>81.73</v>
      </c>
      <c r="K3416" s="128">
        <v>56.67</v>
      </c>
      <c r="L3416" s="128">
        <v>342203.5</v>
      </c>
      <c r="M3416" s="128">
        <v>237277.3</v>
      </c>
      <c r="N3416" s="128">
        <v>104926.2</v>
      </c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</row>
    <row r="3417">
      <c r="A3417" s="125" t="s">
        <v>475</v>
      </c>
      <c r="B3417" s="125" t="s">
        <v>536</v>
      </c>
      <c r="C3417" s="125" t="s">
        <v>494</v>
      </c>
      <c r="D3417" s="125" t="s">
        <v>454</v>
      </c>
      <c r="E3417" s="125" t="s">
        <v>464</v>
      </c>
      <c r="F3417" s="126">
        <v>40912.0</v>
      </c>
      <c r="G3417" s="127">
        <v>7.39E8</v>
      </c>
      <c r="H3417" s="126">
        <v>40949.0</v>
      </c>
      <c r="I3417" s="128">
        <v>348.0</v>
      </c>
      <c r="J3417" s="128">
        <v>9.33</v>
      </c>
      <c r="K3417" s="128">
        <v>6.92</v>
      </c>
      <c r="L3417" s="128">
        <v>3246.84</v>
      </c>
      <c r="M3417" s="128">
        <v>2408.16</v>
      </c>
      <c r="N3417" s="128">
        <v>838.68</v>
      </c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</row>
    <row r="3418">
      <c r="A3418" s="125" t="s">
        <v>475</v>
      </c>
      <c r="B3418" s="125" t="s">
        <v>602</v>
      </c>
      <c r="C3418" s="125" t="s">
        <v>468</v>
      </c>
      <c r="D3418" s="125" t="s">
        <v>454</v>
      </c>
      <c r="E3418" s="125" t="s">
        <v>464</v>
      </c>
      <c r="F3418" s="126">
        <v>42265.0</v>
      </c>
      <c r="G3418" s="127">
        <v>3.0E8</v>
      </c>
      <c r="H3418" s="126">
        <v>42303.0</v>
      </c>
      <c r="I3418" s="128">
        <v>7604.0</v>
      </c>
      <c r="J3418" s="128">
        <v>81.73</v>
      </c>
      <c r="K3418" s="128">
        <v>56.67</v>
      </c>
      <c r="L3418" s="128">
        <v>621474.9</v>
      </c>
      <c r="M3418" s="128">
        <v>430918.7</v>
      </c>
      <c r="N3418" s="128">
        <v>190556.2</v>
      </c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</row>
    <row r="3419">
      <c r="A3419" s="125" t="s">
        <v>451</v>
      </c>
      <c r="B3419" s="125" t="s">
        <v>543</v>
      </c>
      <c r="C3419" s="125" t="s">
        <v>453</v>
      </c>
      <c r="D3419" s="125" t="s">
        <v>457</v>
      </c>
      <c r="E3419" s="125" t="s">
        <v>472</v>
      </c>
      <c r="F3419" s="126">
        <v>41665.0</v>
      </c>
      <c r="G3419" s="127">
        <v>2.05E8</v>
      </c>
      <c r="H3419" s="126">
        <v>41707.0</v>
      </c>
      <c r="I3419" s="128">
        <v>7209.0</v>
      </c>
      <c r="J3419" s="128">
        <v>255.28</v>
      </c>
      <c r="K3419" s="128">
        <v>159.42</v>
      </c>
      <c r="L3419" s="128">
        <v>1840314.0</v>
      </c>
      <c r="M3419" s="128">
        <v>1149259.0</v>
      </c>
      <c r="N3419" s="128">
        <v>691054.7</v>
      </c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</row>
    <row r="3420">
      <c r="A3420" s="125" t="s">
        <v>451</v>
      </c>
      <c r="B3420" s="125" t="s">
        <v>550</v>
      </c>
      <c r="C3420" s="125" t="s">
        <v>480</v>
      </c>
      <c r="D3420" s="125" t="s">
        <v>457</v>
      </c>
      <c r="E3420" s="125" t="s">
        <v>189</v>
      </c>
      <c r="F3420" s="126">
        <v>41896.0</v>
      </c>
      <c r="G3420" s="127">
        <v>8.89E8</v>
      </c>
      <c r="H3420" s="126">
        <v>41897.0</v>
      </c>
      <c r="I3420" s="128">
        <v>2449.0</v>
      </c>
      <c r="J3420" s="128">
        <v>437.2</v>
      </c>
      <c r="K3420" s="128">
        <v>263.33</v>
      </c>
      <c r="L3420" s="128">
        <v>1070703.0</v>
      </c>
      <c r="M3420" s="128">
        <v>644895.2</v>
      </c>
      <c r="N3420" s="128">
        <v>425807.6</v>
      </c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</row>
    <row r="3421">
      <c r="A3421" s="125" t="s">
        <v>466</v>
      </c>
      <c r="B3421" s="125" t="s">
        <v>612</v>
      </c>
      <c r="C3421" s="125" t="s">
        <v>506</v>
      </c>
      <c r="D3421" s="125" t="s">
        <v>457</v>
      </c>
      <c r="E3421" s="125" t="s">
        <v>464</v>
      </c>
      <c r="F3421" s="126">
        <v>41981.0</v>
      </c>
      <c r="G3421" s="127">
        <v>1.55E8</v>
      </c>
      <c r="H3421" s="126">
        <v>41988.0</v>
      </c>
      <c r="I3421" s="128">
        <v>3643.0</v>
      </c>
      <c r="J3421" s="128">
        <v>154.06</v>
      </c>
      <c r="K3421" s="128">
        <v>90.93</v>
      </c>
      <c r="L3421" s="128">
        <v>561240.6</v>
      </c>
      <c r="M3421" s="128">
        <v>331258.0</v>
      </c>
      <c r="N3421" s="128">
        <v>229982.6</v>
      </c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</row>
    <row r="3422">
      <c r="A3422" s="125" t="s">
        <v>469</v>
      </c>
      <c r="B3422" s="125" t="s">
        <v>617</v>
      </c>
      <c r="C3422" s="125" t="s">
        <v>463</v>
      </c>
      <c r="D3422" s="125" t="s">
        <v>457</v>
      </c>
      <c r="E3422" s="125" t="s">
        <v>284</v>
      </c>
      <c r="F3422" s="126">
        <v>41332.0</v>
      </c>
      <c r="G3422" s="127">
        <v>8.25E8</v>
      </c>
      <c r="H3422" s="126">
        <v>41346.0</v>
      </c>
      <c r="I3422" s="128">
        <v>3138.0</v>
      </c>
      <c r="J3422" s="128">
        <v>205.7</v>
      </c>
      <c r="K3422" s="128">
        <v>117.11</v>
      </c>
      <c r="L3422" s="128">
        <v>645486.6</v>
      </c>
      <c r="M3422" s="128">
        <v>367491.2</v>
      </c>
      <c r="N3422" s="128">
        <v>277995.4</v>
      </c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</row>
    <row r="3423">
      <c r="A3423" s="125" t="s">
        <v>458</v>
      </c>
      <c r="B3423" s="125" t="s">
        <v>633</v>
      </c>
      <c r="C3423" s="125" t="s">
        <v>494</v>
      </c>
      <c r="D3423" s="125" t="s">
        <v>457</v>
      </c>
      <c r="E3423" s="125" t="s">
        <v>464</v>
      </c>
      <c r="F3423" s="126">
        <v>41135.0</v>
      </c>
      <c r="G3423" s="127">
        <v>3.94E8</v>
      </c>
      <c r="H3423" s="126">
        <v>41150.0</v>
      </c>
      <c r="I3423" s="128">
        <v>314.0</v>
      </c>
      <c r="J3423" s="128">
        <v>9.33</v>
      </c>
      <c r="K3423" s="128">
        <v>6.92</v>
      </c>
      <c r="L3423" s="128">
        <v>2929.62</v>
      </c>
      <c r="M3423" s="128">
        <v>2172.88</v>
      </c>
      <c r="N3423" s="128">
        <v>756.74</v>
      </c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</row>
    <row r="3424">
      <c r="A3424" s="125" t="s">
        <v>488</v>
      </c>
      <c r="B3424" s="125" t="s">
        <v>489</v>
      </c>
      <c r="C3424" s="125" t="s">
        <v>468</v>
      </c>
      <c r="D3424" s="125" t="s">
        <v>454</v>
      </c>
      <c r="E3424" s="125" t="s">
        <v>189</v>
      </c>
      <c r="F3424" s="126">
        <v>40197.0</v>
      </c>
      <c r="G3424" s="127">
        <v>4.76E8</v>
      </c>
      <c r="H3424" s="126">
        <v>40213.0</v>
      </c>
      <c r="I3424" s="128">
        <v>6583.0</v>
      </c>
      <c r="J3424" s="128">
        <v>81.73</v>
      </c>
      <c r="K3424" s="128">
        <v>56.67</v>
      </c>
      <c r="L3424" s="128">
        <v>538028.6</v>
      </c>
      <c r="M3424" s="128">
        <v>373058.6</v>
      </c>
      <c r="N3424" s="128">
        <v>164970.0</v>
      </c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</row>
    <row r="3425">
      <c r="A3425" s="125" t="s">
        <v>466</v>
      </c>
      <c r="B3425" s="125" t="s">
        <v>484</v>
      </c>
      <c r="C3425" s="125" t="s">
        <v>514</v>
      </c>
      <c r="D3425" s="125" t="s">
        <v>454</v>
      </c>
      <c r="E3425" s="125" t="s">
        <v>189</v>
      </c>
      <c r="F3425" s="126">
        <v>41862.0</v>
      </c>
      <c r="G3425" s="127">
        <v>9.55E8</v>
      </c>
      <c r="H3425" s="126">
        <v>41872.0</v>
      </c>
      <c r="I3425" s="128">
        <v>387.0</v>
      </c>
      <c r="J3425" s="128">
        <v>668.27</v>
      </c>
      <c r="K3425" s="128">
        <v>502.54</v>
      </c>
      <c r="L3425" s="128">
        <v>258620.5</v>
      </c>
      <c r="M3425" s="128">
        <v>194483.0</v>
      </c>
      <c r="N3425" s="128">
        <v>64137.51</v>
      </c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</row>
    <row r="3426">
      <c r="A3426" s="125" t="s">
        <v>458</v>
      </c>
      <c r="B3426" s="125" t="s">
        <v>555</v>
      </c>
      <c r="C3426" s="125" t="s">
        <v>460</v>
      </c>
      <c r="D3426" s="125" t="s">
        <v>454</v>
      </c>
      <c r="E3426" s="125" t="s">
        <v>284</v>
      </c>
      <c r="F3426" s="126">
        <v>41568.0</v>
      </c>
      <c r="G3426" s="127">
        <v>4.35E8</v>
      </c>
      <c r="H3426" s="126">
        <v>41574.0</v>
      </c>
      <c r="I3426" s="128">
        <v>2199.0</v>
      </c>
      <c r="J3426" s="128">
        <v>47.45</v>
      </c>
      <c r="K3426" s="128">
        <v>31.79</v>
      </c>
      <c r="L3426" s="128">
        <v>104342.6</v>
      </c>
      <c r="M3426" s="128">
        <v>69906.21</v>
      </c>
      <c r="N3426" s="128">
        <v>34436.34</v>
      </c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</row>
    <row r="3427">
      <c r="A3427" s="125" t="s">
        <v>451</v>
      </c>
      <c r="B3427" s="125" t="s">
        <v>655</v>
      </c>
      <c r="C3427" s="125" t="s">
        <v>460</v>
      </c>
      <c r="D3427" s="125" t="s">
        <v>457</v>
      </c>
      <c r="E3427" s="125" t="s">
        <v>284</v>
      </c>
      <c r="F3427" s="126">
        <v>42054.0</v>
      </c>
      <c r="G3427" s="127">
        <v>2.93E8</v>
      </c>
      <c r="H3427" s="126">
        <v>42104.0</v>
      </c>
      <c r="I3427" s="128">
        <v>9525.0</v>
      </c>
      <c r="J3427" s="128">
        <v>47.45</v>
      </c>
      <c r="K3427" s="128">
        <v>31.79</v>
      </c>
      <c r="L3427" s="128">
        <v>451961.3</v>
      </c>
      <c r="M3427" s="128">
        <v>302799.8</v>
      </c>
      <c r="N3427" s="128">
        <v>149161.5</v>
      </c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</row>
    <row r="3428">
      <c r="A3428" s="125" t="s">
        <v>475</v>
      </c>
      <c r="B3428" s="125" t="s">
        <v>571</v>
      </c>
      <c r="C3428" s="125" t="s">
        <v>460</v>
      </c>
      <c r="D3428" s="125" t="s">
        <v>457</v>
      </c>
      <c r="E3428" s="125" t="s">
        <v>472</v>
      </c>
      <c r="F3428" s="126">
        <v>40918.0</v>
      </c>
      <c r="G3428" s="127">
        <v>6.24E8</v>
      </c>
      <c r="H3428" s="126">
        <v>40968.0</v>
      </c>
      <c r="I3428" s="128">
        <v>1900.0</v>
      </c>
      <c r="J3428" s="128">
        <v>47.45</v>
      </c>
      <c r="K3428" s="128">
        <v>31.79</v>
      </c>
      <c r="L3428" s="128">
        <v>90155.0</v>
      </c>
      <c r="M3428" s="128">
        <v>60401.0</v>
      </c>
      <c r="N3428" s="128">
        <v>29754.0</v>
      </c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</row>
    <row r="3429">
      <c r="A3429" s="125" t="s">
        <v>461</v>
      </c>
      <c r="B3429" s="125" t="s">
        <v>599</v>
      </c>
      <c r="C3429" s="125" t="s">
        <v>478</v>
      </c>
      <c r="D3429" s="125" t="s">
        <v>457</v>
      </c>
      <c r="E3429" s="125" t="s">
        <v>464</v>
      </c>
      <c r="F3429" s="126">
        <v>40296.0</v>
      </c>
      <c r="G3429" s="127">
        <v>6.92E8</v>
      </c>
      <c r="H3429" s="126">
        <v>40298.0</v>
      </c>
      <c r="I3429" s="128">
        <v>5893.0</v>
      </c>
      <c r="J3429" s="128">
        <v>651.21</v>
      </c>
      <c r="K3429" s="128">
        <v>524.96</v>
      </c>
      <c r="L3429" s="128">
        <v>3837581.0</v>
      </c>
      <c r="M3429" s="128">
        <v>3093589.0</v>
      </c>
      <c r="N3429" s="128">
        <v>743991.3</v>
      </c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</row>
    <row r="3430">
      <c r="A3430" s="125" t="s">
        <v>458</v>
      </c>
      <c r="B3430" s="125" t="s">
        <v>610</v>
      </c>
      <c r="C3430" s="125" t="s">
        <v>506</v>
      </c>
      <c r="D3430" s="125" t="s">
        <v>457</v>
      </c>
      <c r="E3430" s="125" t="s">
        <v>284</v>
      </c>
      <c r="F3430" s="126">
        <v>42711.0</v>
      </c>
      <c r="G3430" s="127">
        <v>2.84E8</v>
      </c>
      <c r="H3430" s="126">
        <v>42731.0</v>
      </c>
      <c r="I3430" s="128">
        <v>101.0</v>
      </c>
      <c r="J3430" s="128">
        <v>154.06</v>
      </c>
      <c r="K3430" s="128">
        <v>90.93</v>
      </c>
      <c r="L3430" s="128">
        <v>15560.06</v>
      </c>
      <c r="M3430" s="128">
        <v>9183.93</v>
      </c>
      <c r="N3430" s="128">
        <v>6376.13</v>
      </c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</row>
    <row r="3431">
      <c r="A3431" s="125" t="s">
        <v>466</v>
      </c>
      <c r="B3431" s="125" t="s">
        <v>625</v>
      </c>
      <c r="C3431" s="125" t="s">
        <v>463</v>
      </c>
      <c r="D3431" s="125" t="s">
        <v>457</v>
      </c>
      <c r="E3431" s="125" t="s">
        <v>464</v>
      </c>
      <c r="F3431" s="126">
        <v>41396.0</v>
      </c>
      <c r="G3431" s="127">
        <v>1.57E8</v>
      </c>
      <c r="H3431" s="126">
        <v>41397.0</v>
      </c>
      <c r="I3431" s="128">
        <v>154.0</v>
      </c>
      <c r="J3431" s="128">
        <v>205.7</v>
      </c>
      <c r="K3431" s="128">
        <v>117.11</v>
      </c>
      <c r="L3431" s="128">
        <v>31677.8</v>
      </c>
      <c r="M3431" s="128">
        <v>18034.94</v>
      </c>
      <c r="N3431" s="128">
        <v>13642.86</v>
      </c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</row>
    <row r="3432">
      <c r="A3432" s="125" t="s">
        <v>461</v>
      </c>
      <c r="B3432" s="125" t="s">
        <v>510</v>
      </c>
      <c r="C3432" s="125" t="s">
        <v>468</v>
      </c>
      <c r="D3432" s="125" t="s">
        <v>457</v>
      </c>
      <c r="E3432" s="125" t="s">
        <v>472</v>
      </c>
      <c r="F3432" s="126">
        <v>41036.0</v>
      </c>
      <c r="G3432" s="127">
        <v>6.87E8</v>
      </c>
      <c r="H3432" s="126">
        <v>41045.0</v>
      </c>
      <c r="I3432" s="128">
        <v>3714.0</v>
      </c>
      <c r="J3432" s="128">
        <v>81.73</v>
      </c>
      <c r="K3432" s="128">
        <v>56.67</v>
      </c>
      <c r="L3432" s="128">
        <v>303545.2</v>
      </c>
      <c r="M3432" s="128">
        <v>210472.4</v>
      </c>
      <c r="N3432" s="128">
        <v>93072.84</v>
      </c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</row>
    <row r="3433">
      <c r="A3433" s="125" t="s">
        <v>466</v>
      </c>
      <c r="B3433" s="125" t="s">
        <v>534</v>
      </c>
      <c r="C3433" s="125" t="s">
        <v>456</v>
      </c>
      <c r="D3433" s="125" t="s">
        <v>457</v>
      </c>
      <c r="E3433" s="125" t="s">
        <v>464</v>
      </c>
      <c r="F3433" s="126">
        <v>42555.0</v>
      </c>
      <c r="G3433" s="127">
        <v>5.2E8</v>
      </c>
      <c r="H3433" s="126">
        <v>42598.0</v>
      </c>
      <c r="I3433" s="128">
        <v>5474.0</v>
      </c>
      <c r="J3433" s="128">
        <v>152.58</v>
      </c>
      <c r="K3433" s="128">
        <v>97.44</v>
      </c>
      <c r="L3433" s="128">
        <v>835222.9</v>
      </c>
      <c r="M3433" s="128">
        <v>533386.6</v>
      </c>
      <c r="N3433" s="128">
        <v>301836.4</v>
      </c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</row>
    <row r="3434">
      <c r="A3434" s="125" t="s">
        <v>451</v>
      </c>
      <c r="B3434" s="125" t="s">
        <v>609</v>
      </c>
      <c r="C3434" s="125" t="s">
        <v>514</v>
      </c>
      <c r="D3434" s="125" t="s">
        <v>454</v>
      </c>
      <c r="E3434" s="125" t="s">
        <v>472</v>
      </c>
      <c r="F3434" s="126">
        <v>41737.0</v>
      </c>
      <c r="G3434" s="127">
        <v>6.25E8</v>
      </c>
      <c r="H3434" s="126">
        <v>41752.0</v>
      </c>
      <c r="I3434" s="128">
        <v>2155.0</v>
      </c>
      <c r="J3434" s="128">
        <v>668.27</v>
      </c>
      <c r="K3434" s="128">
        <v>502.54</v>
      </c>
      <c r="L3434" s="128">
        <v>1440122.0</v>
      </c>
      <c r="M3434" s="128">
        <v>1082974.0</v>
      </c>
      <c r="N3434" s="128">
        <v>357148.2</v>
      </c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</row>
    <row r="3435">
      <c r="A3435" s="125" t="s">
        <v>469</v>
      </c>
      <c r="B3435" s="125" t="s">
        <v>650</v>
      </c>
      <c r="C3435" s="125" t="s">
        <v>463</v>
      </c>
      <c r="D3435" s="125" t="s">
        <v>454</v>
      </c>
      <c r="E3435" s="125" t="s">
        <v>284</v>
      </c>
      <c r="F3435" s="126">
        <v>41668.0</v>
      </c>
      <c r="G3435" s="127">
        <v>2.38E8</v>
      </c>
      <c r="H3435" s="126">
        <v>41699.0</v>
      </c>
      <c r="I3435" s="128">
        <v>7515.0</v>
      </c>
      <c r="J3435" s="128">
        <v>205.7</v>
      </c>
      <c r="K3435" s="128">
        <v>117.11</v>
      </c>
      <c r="L3435" s="128">
        <v>1545836.0</v>
      </c>
      <c r="M3435" s="128">
        <v>880081.7</v>
      </c>
      <c r="N3435" s="128">
        <v>665753.9</v>
      </c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</row>
    <row r="3436">
      <c r="A3436" s="125" t="s">
        <v>458</v>
      </c>
      <c r="B3436" s="125" t="s">
        <v>652</v>
      </c>
      <c r="C3436" s="125" t="s">
        <v>468</v>
      </c>
      <c r="D3436" s="125" t="s">
        <v>454</v>
      </c>
      <c r="E3436" s="125" t="s">
        <v>464</v>
      </c>
      <c r="F3436" s="126">
        <v>40289.0</v>
      </c>
      <c r="G3436" s="127">
        <v>9.18E8</v>
      </c>
      <c r="H3436" s="126">
        <v>40292.0</v>
      </c>
      <c r="I3436" s="128">
        <v>7338.0</v>
      </c>
      <c r="J3436" s="128">
        <v>81.73</v>
      </c>
      <c r="K3436" s="128">
        <v>56.67</v>
      </c>
      <c r="L3436" s="128">
        <v>599734.7</v>
      </c>
      <c r="M3436" s="128">
        <v>415844.5</v>
      </c>
      <c r="N3436" s="128">
        <v>183890.3</v>
      </c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</row>
    <row r="3437">
      <c r="A3437" s="125" t="s">
        <v>469</v>
      </c>
      <c r="B3437" s="125" t="s">
        <v>501</v>
      </c>
      <c r="C3437" s="125" t="s">
        <v>463</v>
      </c>
      <c r="D3437" s="125" t="s">
        <v>457</v>
      </c>
      <c r="E3437" s="125" t="s">
        <v>472</v>
      </c>
      <c r="F3437" s="126">
        <v>42849.0</v>
      </c>
      <c r="G3437" s="127">
        <v>6.92E8</v>
      </c>
      <c r="H3437" s="126">
        <v>42886.0</v>
      </c>
      <c r="I3437" s="128">
        <v>4442.0</v>
      </c>
      <c r="J3437" s="128">
        <v>205.7</v>
      </c>
      <c r="K3437" s="128">
        <v>117.11</v>
      </c>
      <c r="L3437" s="128">
        <v>913719.4</v>
      </c>
      <c r="M3437" s="128">
        <v>520202.6</v>
      </c>
      <c r="N3437" s="128">
        <v>393516.8</v>
      </c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</row>
    <row r="3438">
      <c r="A3438" s="125" t="s">
        <v>466</v>
      </c>
      <c r="B3438" s="125" t="s">
        <v>637</v>
      </c>
      <c r="C3438" s="125" t="s">
        <v>453</v>
      </c>
      <c r="D3438" s="125" t="s">
        <v>454</v>
      </c>
      <c r="E3438" s="125" t="s">
        <v>472</v>
      </c>
      <c r="F3438" s="126">
        <v>41153.0</v>
      </c>
      <c r="G3438" s="127">
        <v>8.1E8</v>
      </c>
      <c r="H3438" s="126">
        <v>41202.0</v>
      </c>
      <c r="I3438" s="128">
        <v>3675.0</v>
      </c>
      <c r="J3438" s="128">
        <v>255.28</v>
      </c>
      <c r="K3438" s="128">
        <v>159.42</v>
      </c>
      <c r="L3438" s="128">
        <v>938154.0</v>
      </c>
      <c r="M3438" s="128">
        <v>585868.5</v>
      </c>
      <c r="N3438" s="128">
        <v>352285.5</v>
      </c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</row>
    <row r="3439">
      <c r="A3439" s="125" t="s">
        <v>461</v>
      </c>
      <c r="B3439" s="125" t="s">
        <v>576</v>
      </c>
      <c r="C3439" s="125" t="s">
        <v>453</v>
      </c>
      <c r="D3439" s="125" t="s">
        <v>457</v>
      </c>
      <c r="E3439" s="125" t="s">
        <v>284</v>
      </c>
      <c r="F3439" s="126">
        <v>42610.0</v>
      </c>
      <c r="G3439" s="127">
        <v>7.9E8</v>
      </c>
      <c r="H3439" s="126">
        <v>42654.0</v>
      </c>
      <c r="I3439" s="128">
        <v>6919.0</v>
      </c>
      <c r="J3439" s="128">
        <v>255.28</v>
      </c>
      <c r="K3439" s="128">
        <v>159.42</v>
      </c>
      <c r="L3439" s="128">
        <v>1766282.0</v>
      </c>
      <c r="M3439" s="128">
        <v>1103027.0</v>
      </c>
      <c r="N3439" s="128">
        <v>663255.3</v>
      </c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</row>
    <row r="3440">
      <c r="A3440" s="125" t="s">
        <v>458</v>
      </c>
      <c r="B3440" s="125" t="s">
        <v>509</v>
      </c>
      <c r="C3440" s="125" t="s">
        <v>506</v>
      </c>
      <c r="D3440" s="125" t="s">
        <v>454</v>
      </c>
      <c r="E3440" s="125" t="s">
        <v>284</v>
      </c>
      <c r="F3440" s="126">
        <v>41186.0</v>
      </c>
      <c r="G3440" s="127">
        <v>6.7E8</v>
      </c>
      <c r="H3440" s="126">
        <v>41226.0</v>
      </c>
      <c r="I3440" s="128">
        <v>8082.0</v>
      </c>
      <c r="J3440" s="128">
        <v>154.06</v>
      </c>
      <c r="K3440" s="128">
        <v>90.93</v>
      </c>
      <c r="L3440" s="128">
        <v>1245113.0</v>
      </c>
      <c r="M3440" s="128">
        <v>734896.3</v>
      </c>
      <c r="N3440" s="128">
        <v>510216.7</v>
      </c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</row>
    <row r="3441">
      <c r="A3441" s="125" t="s">
        <v>469</v>
      </c>
      <c r="B3441" s="125" t="s">
        <v>470</v>
      </c>
      <c r="C3441" s="125" t="s">
        <v>485</v>
      </c>
      <c r="D3441" s="125" t="s">
        <v>457</v>
      </c>
      <c r="E3441" s="125" t="s">
        <v>189</v>
      </c>
      <c r="F3441" s="126">
        <v>40918.0</v>
      </c>
      <c r="G3441" s="127">
        <v>5.61E8</v>
      </c>
      <c r="H3441" s="126">
        <v>40963.0</v>
      </c>
      <c r="I3441" s="128">
        <v>8109.0</v>
      </c>
      <c r="J3441" s="128">
        <v>421.89</v>
      </c>
      <c r="K3441" s="128">
        <v>364.69</v>
      </c>
      <c r="L3441" s="128">
        <v>3421106.0</v>
      </c>
      <c r="M3441" s="128">
        <v>2957271.0</v>
      </c>
      <c r="N3441" s="128">
        <v>463834.8</v>
      </c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</row>
    <row r="3442">
      <c r="A3442" s="125" t="s">
        <v>451</v>
      </c>
      <c r="B3442" s="125" t="s">
        <v>452</v>
      </c>
      <c r="C3442" s="125" t="s">
        <v>468</v>
      </c>
      <c r="D3442" s="125" t="s">
        <v>457</v>
      </c>
      <c r="E3442" s="125" t="s">
        <v>189</v>
      </c>
      <c r="F3442" s="126">
        <v>40700.0</v>
      </c>
      <c r="G3442" s="127">
        <v>1.93E8</v>
      </c>
      <c r="H3442" s="126">
        <v>40728.0</v>
      </c>
      <c r="I3442" s="128">
        <v>9973.0</v>
      </c>
      <c r="J3442" s="128">
        <v>81.73</v>
      </c>
      <c r="K3442" s="128">
        <v>56.67</v>
      </c>
      <c r="L3442" s="128">
        <v>815093.3</v>
      </c>
      <c r="M3442" s="128">
        <v>565169.9</v>
      </c>
      <c r="N3442" s="128">
        <v>249923.4</v>
      </c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</row>
    <row r="3443">
      <c r="A3443" s="125" t="s">
        <v>469</v>
      </c>
      <c r="B3443" s="125" t="s">
        <v>650</v>
      </c>
      <c r="C3443" s="125" t="s">
        <v>463</v>
      </c>
      <c r="D3443" s="125" t="s">
        <v>457</v>
      </c>
      <c r="E3443" s="125" t="s">
        <v>464</v>
      </c>
      <c r="F3443" s="126">
        <v>41197.0</v>
      </c>
      <c r="G3443" s="127">
        <v>2.65E8</v>
      </c>
      <c r="H3443" s="126">
        <v>41246.0</v>
      </c>
      <c r="I3443" s="128">
        <v>3678.0</v>
      </c>
      <c r="J3443" s="128">
        <v>205.7</v>
      </c>
      <c r="K3443" s="128">
        <v>117.11</v>
      </c>
      <c r="L3443" s="128">
        <v>756564.6</v>
      </c>
      <c r="M3443" s="128">
        <v>430730.6</v>
      </c>
      <c r="N3443" s="128">
        <v>325834.0</v>
      </c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</row>
    <row r="3444">
      <c r="A3444" s="125" t="s">
        <v>451</v>
      </c>
      <c r="B3444" s="125" t="s">
        <v>620</v>
      </c>
      <c r="C3444" s="125" t="s">
        <v>460</v>
      </c>
      <c r="D3444" s="125" t="s">
        <v>457</v>
      </c>
      <c r="E3444" s="125" t="s">
        <v>464</v>
      </c>
      <c r="F3444" s="126">
        <v>40700.0</v>
      </c>
      <c r="G3444" s="127">
        <v>1.97E8</v>
      </c>
      <c r="H3444" s="126">
        <v>40727.0</v>
      </c>
      <c r="I3444" s="128">
        <v>1261.0</v>
      </c>
      <c r="J3444" s="128">
        <v>47.45</v>
      </c>
      <c r="K3444" s="128">
        <v>31.79</v>
      </c>
      <c r="L3444" s="128">
        <v>59834.45</v>
      </c>
      <c r="M3444" s="128">
        <v>40087.19</v>
      </c>
      <c r="N3444" s="128">
        <v>19747.26</v>
      </c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</row>
    <row r="3445">
      <c r="A3445" s="125" t="s">
        <v>458</v>
      </c>
      <c r="B3445" s="125" t="s">
        <v>505</v>
      </c>
      <c r="C3445" s="125" t="s">
        <v>480</v>
      </c>
      <c r="D3445" s="125" t="s">
        <v>457</v>
      </c>
      <c r="E3445" s="125" t="s">
        <v>189</v>
      </c>
      <c r="F3445" s="126">
        <v>42034.0</v>
      </c>
      <c r="G3445" s="127">
        <v>3.81E8</v>
      </c>
      <c r="H3445" s="126">
        <v>42058.0</v>
      </c>
      <c r="I3445" s="128">
        <v>1789.0</v>
      </c>
      <c r="J3445" s="128">
        <v>437.2</v>
      </c>
      <c r="K3445" s="128">
        <v>263.33</v>
      </c>
      <c r="L3445" s="128">
        <v>782150.8</v>
      </c>
      <c r="M3445" s="128">
        <v>471097.4</v>
      </c>
      <c r="N3445" s="128">
        <v>311053.4</v>
      </c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</row>
    <row r="3446">
      <c r="A3446" s="125" t="s">
        <v>466</v>
      </c>
      <c r="B3446" s="125" t="s">
        <v>607</v>
      </c>
      <c r="C3446" s="125" t="s">
        <v>471</v>
      </c>
      <c r="D3446" s="125" t="s">
        <v>457</v>
      </c>
      <c r="E3446" s="125" t="s">
        <v>464</v>
      </c>
      <c r="F3446" s="126">
        <v>42883.0</v>
      </c>
      <c r="G3446" s="127">
        <v>8.27E8</v>
      </c>
      <c r="H3446" s="126">
        <v>42895.0</v>
      </c>
      <c r="I3446" s="128">
        <v>6361.0</v>
      </c>
      <c r="J3446" s="128">
        <v>109.28</v>
      </c>
      <c r="K3446" s="128">
        <v>35.84</v>
      </c>
      <c r="L3446" s="128">
        <v>695130.1</v>
      </c>
      <c r="M3446" s="128">
        <v>227978.2</v>
      </c>
      <c r="N3446" s="128">
        <v>467151.8</v>
      </c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</row>
    <row r="3447">
      <c r="A3447" s="125" t="s">
        <v>461</v>
      </c>
      <c r="B3447" s="125" t="s">
        <v>510</v>
      </c>
      <c r="C3447" s="125" t="s">
        <v>514</v>
      </c>
      <c r="D3447" s="125" t="s">
        <v>457</v>
      </c>
      <c r="E3447" s="125" t="s">
        <v>472</v>
      </c>
      <c r="F3447" s="126">
        <v>42703.0</v>
      </c>
      <c r="G3447" s="127">
        <v>7.16E8</v>
      </c>
      <c r="H3447" s="126">
        <v>42705.0</v>
      </c>
      <c r="I3447" s="128">
        <v>3107.0</v>
      </c>
      <c r="J3447" s="128">
        <v>668.27</v>
      </c>
      <c r="K3447" s="128">
        <v>502.54</v>
      </c>
      <c r="L3447" s="128">
        <v>2076315.0</v>
      </c>
      <c r="M3447" s="128">
        <v>1561392.0</v>
      </c>
      <c r="N3447" s="128">
        <v>514923.1</v>
      </c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</row>
    <row r="3448">
      <c r="A3448" s="125" t="s">
        <v>461</v>
      </c>
      <c r="B3448" s="125" t="s">
        <v>564</v>
      </c>
      <c r="C3448" s="125" t="s">
        <v>468</v>
      </c>
      <c r="D3448" s="125" t="s">
        <v>454</v>
      </c>
      <c r="E3448" s="125" t="s">
        <v>284</v>
      </c>
      <c r="F3448" s="126">
        <v>41338.0</v>
      </c>
      <c r="G3448" s="127">
        <v>6.51E8</v>
      </c>
      <c r="H3448" s="126">
        <v>41359.0</v>
      </c>
      <c r="I3448" s="128">
        <v>2187.0</v>
      </c>
      <c r="J3448" s="128">
        <v>81.73</v>
      </c>
      <c r="K3448" s="128">
        <v>56.67</v>
      </c>
      <c r="L3448" s="128">
        <v>178743.5</v>
      </c>
      <c r="M3448" s="128">
        <v>123937.3</v>
      </c>
      <c r="N3448" s="128">
        <v>54806.22</v>
      </c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</row>
    <row r="3449">
      <c r="A3449" s="125" t="s">
        <v>475</v>
      </c>
      <c r="B3449" s="125" t="s">
        <v>513</v>
      </c>
      <c r="C3449" s="125" t="s">
        <v>506</v>
      </c>
      <c r="D3449" s="125" t="s">
        <v>454</v>
      </c>
      <c r="E3449" s="125" t="s">
        <v>472</v>
      </c>
      <c r="F3449" s="126">
        <v>40406.0</v>
      </c>
      <c r="G3449" s="127">
        <v>4.03E8</v>
      </c>
      <c r="H3449" s="126">
        <v>40437.0</v>
      </c>
      <c r="I3449" s="128">
        <v>794.0</v>
      </c>
      <c r="J3449" s="128">
        <v>154.06</v>
      </c>
      <c r="K3449" s="128">
        <v>90.93</v>
      </c>
      <c r="L3449" s="128">
        <v>122323.6</v>
      </c>
      <c r="M3449" s="128">
        <v>72198.42</v>
      </c>
      <c r="N3449" s="128">
        <v>50125.22</v>
      </c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</row>
    <row r="3450">
      <c r="A3450" s="125" t="s">
        <v>458</v>
      </c>
      <c r="B3450" s="125" t="s">
        <v>652</v>
      </c>
      <c r="C3450" s="125" t="s">
        <v>468</v>
      </c>
      <c r="D3450" s="125" t="s">
        <v>457</v>
      </c>
      <c r="E3450" s="125" t="s">
        <v>472</v>
      </c>
      <c r="F3450" s="126">
        <v>41912.0</v>
      </c>
      <c r="G3450" s="127">
        <v>2.65E8</v>
      </c>
      <c r="H3450" s="126">
        <v>41919.0</v>
      </c>
      <c r="I3450" s="128">
        <v>8152.0</v>
      </c>
      <c r="J3450" s="128">
        <v>81.73</v>
      </c>
      <c r="K3450" s="128">
        <v>56.67</v>
      </c>
      <c r="L3450" s="128">
        <v>666263.0</v>
      </c>
      <c r="M3450" s="128">
        <v>461973.8</v>
      </c>
      <c r="N3450" s="128">
        <v>204289.1</v>
      </c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</row>
    <row r="3451">
      <c r="A3451" s="125" t="s">
        <v>475</v>
      </c>
      <c r="B3451" s="125" t="s">
        <v>544</v>
      </c>
      <c r="C3451" s="125" t="s">
        <v>456</v>
      </c>
      <c r="D3451" s="125" t="s">
        <v>457</v>
      </c>
      <c r="E3451" s="125" t="s">
        <v>189</v>
      </c>
      <c r="F3451" s="126">
        <v>41335.0</v>
      </c>
      <c r="G3451" s="127">
        <v>5.98E8</v>
      </c>
      <c r="H3451" s="126">
        <v>41350.0</v>
      </c>
      <c r="I3451" s="128">
        <v>516.0</v>
      </c>
      <c r="J3451" s="128">
        <v>152.58</v>
      </c>
      <c r="K3451" s="128">
        <v>97.44</v>
      </c>
      <c r="L3451" s="128">
        <v>78731.28</v>
      </c>
      <c r="M3451" s="128">
        <v>50279.04</v>
      </c>
      <c r="N3451" s="128">
        <v>28452.24</v>
      </c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</row>
    <row r="3452">
      <c r="A3452" s="125" t="s">
        <v>458</v>
      </c>
      <c r="B3452" s="125" t="s">
        <v>538</v>
      </c>
      <c r="C3452" s="125" t="s">
        <v>468</v>
      </c>
      <c r="D3452" s="125" t="s">
        <v>457</v>
      </c>
      <c r="E3452" s="125" t="s">
        <v>284</v>
      </c>
      <c r="F3452" s="126">
        <v>42842.0</v>
      </c>
      <c r="G3452" s="127">
        <v>4.86E8</v>
      </c>
      <c r="H3452" s="126">
        <v>42874.0</v>
      </c>
      <c r="I3452" s="128">
        <v>6171.0</v>
      </c>
      <c r="J3452" s="128">
        <v>81.73</v>
      </c>
      <c r="K3452" s="128">
        <v>56.67</v>
      </c>
      <c r="L3452" s="128">
        <v>504355.8</v>
      </c>
      <c r="M3452" s="128">
        <v>349710.6</v>
      </c>
      <c r="N3452" s="128">
        <v>154645.3</v>
      </c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</row>
    <row r="3453">
      <c r="A3453" s="125" t="s">
        <v>488</v>
      </c>
      <c r="B3453" s="125" t="s">
        <v>489</v>
      </c>
      <c r="C3453" s="125" t="s">
        <v>506</v>
      </c>
      <c r="D3453" s="125" t="s">
        <v>454</v>
      </c>
      <c r="E3453" s="125" t="s">
        <v>464</v>
      </c>
      <c r="F3453" s="126">
        <v>41308.0</v>
      </c>
      <c r="G3453" s="127">
        <v>8.82E8</v>
      </c>
      <c r="H3453" s="126">
        <v>41333.0</v>
      </c>
      <c r="I3453" s="128">
        <v>436.0</v>
      </c>
      <c r="J3453" s="128">
        <v>154.06</v>
      </c>
      <c r="K3453" s="128">
        <v>90.93</v>
      </c>
      <c r="L3453" s="128">
        <v>67170.16</v>
      </c>
      <c r="M3453" s="128">
        <v>39645.48</v>
      </c>
      <c r="N3453" s="128">
        <v>27524.68</v>
      </c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</row>
    <row r="3454">
      <c r="A3454" s="125" t="s">
        <v>475</v>
      </c>
      <c r="B3454" s="125" t="s">
        <v>513</v>
      </c>
      <c r="C3454" s="125" t="s">
        <v>494</v>
      </c>
      <c r="D3454" s="125" t="s">
        <v>454</v>
      </c>
      <c r="E3454" s="125" t="s">
        <v>464</v>
      </c>
      <c r="F3454" s="126">
        <v>40293.0</v>
      </c>
      <c r="G3454" s="127">
        <v>5.6E8</v>
      </c>
      <c r="H3454" s="126">
        <v>40315.0</v>
      </c>
      <c r="I3454" s="128">
        <v>658.0</v>
      </c>
      <c r="J3454" s="128">
        <v>9.33</v>
      </c>
      <c r="K3454" s="128">
        <v>6.92</v>
      </c>
      <c r="L3454" s="128">
        <v>6139.14</v>
      </c>
      <c r="M3454" s="128">
        <v>4553.36</v>
      </c>
      <c r="N3454" s="128">
        <v>1585.78</v>
      </c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</row>
    <row r="3455">
      <c r="A3455" s="125" t="s">
        <v>451</v>
      </c>
      <c r="B3455" s="125" t="s">
        <v>593</v>
      </c>
      <c r="C3455" s="125" t="s">
        <v>456</v>
      </c>
      <c r="D3455" s="125" t="s">
        <v>457</v>
      </c>
      <c r="E3455" s="125" t="s">
        <v>189</v>
      </c>
      <c r="F3455" s="126">
        <v>42367.0</v>
      </c>
      <c r="G3455" s="127">
        <v>1.62E8</v>
      </c>
      <c r="H3455" s="126">
        <v>42410.0</v>
      </c>
      <c r="I3455" s="128">
        <v>1219.0</v>
      </c>
      <c r="J3455" s="128">
        <v>152.58</v>
      </c>
      <c r="K3455" s="128">
        <v>97.44</v>
      </c>
      <c r="L3455" s="128">
        <v>185995.0</v>
      </c>
      <c r="M3455" s="128">
        <v>118779.4</v>
      </c>
      <c r="N3455" s="128">
        <v>67215.66</v>
      </c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</row>
    <row r="3456">
      <c r="A3456" s="125" t="s">
        <v>466</v>
      </c>
      <c r="B3456" s="125" t="s">
        <v>637</v>
      </c>
      <c r="C3456" s="125" t="s">
        <v>463</v>
      </c>
      <c r="D3456" s="125" t="s">
        <v>454</v>
      </c>
      <c r="E3456" s="125" t="s">
        <v>464</v>
      </c>
      <c r="F3456" s="126">
        <v>42186.0</v>
      </c>
      <c r="G3456" s="127">
        <v>8.54E8</v>
      </c>
      <c r="H3456" s="126">
        <v>42202.0</v>
      </c>
      <c r="I3456" s="128">
        <v>8527.0</v>
      </c>
      <c r="J3456" s="128">
        <v>205.7</v>
      </c>
      <c r="K3456" s="128">
        <v>117.11</v>
      </c>
      <c r="L3456" s="128">
        <v>1754004.0</v>
      </c>
      <c r="M3456" s="128">
        <v>998597.0</v>
      </c>
      <c r="N3456" s="128">
        <v>755406.9</v>
      </c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</row>
    <row r="3457">
      <c r="A3457" s="125" t="s">
        <v>461</v>
      </c>
      <c r="B3457" s="125" t="s">
        <v>556</v>
      </c>
      <c r="C3457" s="125" t="s">
        <v>494</v>
      </c>
      <c r="D3457" s="125" t="s">
        <v>457</v>
      </c>
      <c r="E3457" s="125" t="s">
        <v>284</v>
      </c>
      <c r="F3457" s="126">
        <v>41713.0</v>
      </c>
      <c r="G3457" s="127">
        <v>2.7E8</v>
      </c>
      <c r="H3457" s="126">
        <v>41725.0</v>
      </c>
      <c r="I3457" s="128">
        <v>6028.0</v>
      </c>
      <c r="J3457" s="128">
        <v>9.33</v>
      </c>
      <c r="K3457" s="128">
        <v>6.92</v>
      </c>
      <c r="L3457" s="128">
        <v>56241.24</v>
      </c>
      <c r="M3457" s="128">
        <v>41713.76</v>
      </c>
      <c r="N3457" s="128">
        <v>14527.48</v>
      </c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</row>
    <row r="3458">
      <c r="A3458" s="125" t="s">
        <v>451</v>
      </c>
      <c r="B3458" s="125" t="s">
        <v>609</v>
      </c>
      <c r="C3458" s="125" t="s">
        <v>480</v>
      </c>
      <c r="D3458" s="125" t="s">
        <v>454</v>
      </c>
      <c r="E3458" s="125" t="s">
        <v>189</v>
      </c>
      <c r="F3458" s="126">
        <v>40534.0</v>
      </c>
      <c r="G3458" s="127">
        <v>1.65E8</v>
      </c>
      <c r="H3458" s="126">
        <v>40548.0</v>
      </c>
      <c r="I3458" s="128">
        <v>9193.0</v>
      </c>
      <c r="J3458" s="128">
        <v>437.2</v>
      </c>
      <c r="K3458" s="128">
        <v>263.33</v>
      </c>
      <c r="L3458" s="128">
        <v>4019180.0</v>
      </c>
      <c r="M3458" s="128">
        <v>2420793.0</v>
      </c>
      <c r="N3458" s="128">
        <v>1598387.0</v>
      </c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</row>
    <row r="3459">
      <c r="A3459" s="125" t="s">
        <v>475</v>
      </c>
      <c r="B3459" s="125" t="s">
        <v>574</v>
      </c>
      <c r="C3459" s="125" t="s">
        <v>453</v>
      </c>
      <c r="D3459" s="125" t="s">
        <v>454</v>
      </c>
      <c r="E3459" s="125" t="s">
        <v>189</v>
      </c>
      <c r="F3459" s="126">
        <v>42772.0</v>
      </c>
      <c r="G3459" s="127">
        <v>5.63E8</v>
      </c>
      <c r="H3459" s="126">
        <v>42815.0</v>
      </c>
      <c r="I3459" s="128">
        <v>527.0</v>
      </c>
      <c r="J3459" s="128">
        <v>255.28</v>
      </c>
      <c r="K3459" s="128">
        <v>159.42</v>
      </c>
      <c r="L3459" s="128">
        <v>134532.6</v>
      </c>
      <c r="M3459" s="128">
        <v>84014.34</v>
      </c>
      <c r="N3459" s="128">
        <v>50518.22</v>
      </c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</row>
    <row r="3460">
      <c r="A3460" s="125" t="s">
        <v>458</v>
      </c>
      <c r="B3460" s="125" t="s">
        <v>541</v>
      </c>
      <c r="C3460" s="125" t="s">
        <v>478</v>
      </c>
      <c r="D3460" s="125" t="s">
        <v>457</v>
      </c>
      <c r="E3460" s="125" t="s">
        <v>284</v>
      </c>
      <c r="F3460" s="126">
        <v>41875.0</v>
      </c>
      <c r="G3460" s="127">
        <v>2.1E8</v>
      </c>
      <c r="H3460" s="126">
        <v>41906.0</v>
      </c>
      <c r="I3460" s="128">
        <v>4568.0</v>
      </c>
      <c r="J3460" s="128">
        <v>651.21</v>
      </c>
      <c r="K3460" s="128">
        <v>524.96</v>
      </c>
      <c r="L3460" s="128">
        <v>2974727.0</v>
      </c>
      <c r="M3460" s="128">
        <v>2398017.0</v>
      </c>
      <c r="N3460" s="128">
        <v>576710.0</v>
      </c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</row>
    <row r="3461">
      <c r="A3461" s="125" t="s">
        <v>451</v>
      </c>
      <c r="B3461" s="125" t="s">
        <v>609</v>
      </c>
      <c r="C3461" s="125" t="s">
        <v>506</v>
      </c>
      <c r="D3461" s="125" t="s">
        <v>457</v>
      </c>
      <c r="E3461" s="125" t="s">
        <v>472</v>
      </c>
      <c r="F3461" s="126">
        <v>41362.0</v>
      </c>
      <c r="G3461" s="127">
        <v>6.21E8</v>
      </c>
      <c r="H3461" s="126">
        <v>41364.0</v>
      </c>
      <c r="I3461" s="128">
        <v>2881.0</v>
      </c>
      <c r="J3461" s="128">
        <v>154.06</v>
      </c>
      <c r="K3461" s="128">
        <v>90.93</v>
      </c>
      <c r="L3461" s="128">
        <v>443846.9</v>
      </c>
      <c r="M3461" s="128">
        <v>261969.3</v>
      </c>
      <c r="N3461" s="128">
        <v>181877.5</v>
      </c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</row>
    <row r="3462">
      <c r="A3462" s="125" t="s">
        <v>458</v>
      </c>
      <c r="B3462" s="125" t="s">
        <v>517</v>
      </c>
      <c r="C3462" s="125" t="s">
        <v>478</v>
      </c>
      <c r="D3462" s="125" t="s">
        <v>457</v>
      </c>
      <c r="E3462" s="125" t="s">
        <v>189</v>
      </c>
      <c r="F3462" s="126">
        <v>42374.0</v>
      </c>
      <c r="G3462" s="127">
        <v>2.33E8</v>
      </c>
      <c r="H3462" s="126">
        <v>42417.0</v>
      </c>
      <c r="I3462" s="128">
        <v>9067.0</v>
      </c>
      <c r="J3462" s="128">
        <v>651.21</v>
      </c>
      <c r="K3462" s="128">
        <v>524.96</v>
      </c>
      <c r="L3462" s="128">
        <v>5904521.0</v>
      </c>
      <c r="M3462" s="128">
        <v>4759812.0</v>
      </c>
      <c r="N3462" s="128">
        <v>1144709.0</v>
      </c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</row>
    <row r="3463">
      <c r="A3463" s="125" t="s">
        <v>469</v>
      </c>
      <c r="B3463" s="125" t="s">
        <v>470</v>
      </c>
      <c r="C3463" s="125" t="s">
        <v>478</v>
      </c>
      <c r="D3463" s="125" t="s">
        <v>454</v>
      </c>
      <c r="E3463" s="125" t="s">
        <v>472</v>
      </c>
      <c r="F3463" s="126">
        <v>42292.0</v>
      </c>
      <c r="G3463" s="127">
        <v>2.52E8</v>
      </c>
      <c r="H3463" s="126">
        <v>42316.0</v>
      </c>
      <c r="I3463" s="128">
        <v>3754.0</v>
      </c>
      <c r="J3463" s="128">
        <v>651.21</v>
      </c>
      <c r="K3463" s="128">
        <v>524.96</v>
      </c>
      <c r="L3463" s="128">
        <v>2444642.0</v>
      </c>
      <c r="M3463" s="128">
        <v>1970700.0</v>
      </c>
      <c r="N3463" s="128">
        <v>473942.5</v>
      </c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</row>
    <row r="3464">
      <c r="A3464" s="125" t="s">
        <v>475</v>
      </c>
      <c r="B3464" s="125" t="s">
        <v>579</v>
      </c>
      <c r="C3464" s="125" t="s">
        <v>514</v>
      </c>
      <c r="D3464" s="125" t="s">
        <v>457</v>
      </c>
      <c r="E3464" s="125" t="s">
        <v>472</v>
      </c>
      <c r="F3464" s="126">
        <v>41652.0</v>
      </c>
      <c r="G3464" s="127">
        <v>6.05E8</v>
      </c>
      <c r="H3464" s="126">
        <v>41688.0</v>
      </c>
      <c r="I3464" s="128">
        <v>9604.0</v>
      </c>
      <c r="J3464" s="128">
        <v>668.27</v>
      </c>
      <c r="K3464" s="128">
        <v>502.54</v>
      </c>
      <c r="L3464" s="128">
        <v>6418065.0</v>
      </c>
      <c r="M3464" s="128">
        <v>4826394.0</v>
      </c>
      <c r="N3464" s="128">
        <v>1591671.0</v>
      </c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</row>
    <row r="3465">
      <c r="A3465" s="125" t="s">
        <v>475</v>
      </c>
      <c r="B3465" s="125" t="s">
        <v>624</v>
      </c>
      <c r="C3465" s="125" t="s">
        <v>456</v>
      </c>
      <c r="D3465" s="125" t="s">
        <v>454</v>
      </c>
      <c r="E3465" s="125" t="s">
        <v>472</v>
      </c>
      <c r="F3465" s="126">
        <v>42763.0</v>
      </c>
      <c r="G3465" s="127">
        <v>3.88E8</v>
      </c>
      <c r="H3465" s="126">
        <v>42765.0</v>
      </c>
      <c r="I3465" s="128">
        <v>6310.0</v>
      </c>
      <c r="J3465" s="128">
        <v>152.58</v>
      </c>
      <c r="K3465" s="128">
        <v>97.44</v>
      </c>
      <c r="L3465" s="128">
        <v>962779.8</v>
      </c>
      <c r="M3465" s="128">
        <v>614846.4</v>
      </c>
      <c r="N3465" s="128">
        <v>347933.4</v>
      </c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</row>
    <row r="3466">
      <c r="A3466" s="125" t="s">
        <v>466</v>
      </c>
      <c r="B3466" s="125" t="s">
        <v>502</v>
      </c>
      <c r="C3466" s="125" t="s">
        <v>494</v>
      </c>
      <c r="D3466" s="125" t="s">
        <v>454</v>
      </c>
      <c r="E3466" s="125" t="s">
        <v>464</v>
      </c>
      <c r="F3466" s="126">
        <v>42789.0</v>
      </c>
      <c r="G3466" s="127">
        <v>1.19E8</v>
      </c>
      <c r="H3466" s="126">
        <v>42802.0</v>
      </c>
      <c r="I3466" s="128">
        <v>5594.0</v>
      </c>
      <c r="J3466" s="128">
        <v>9.33</v>
      </c>
      <c r="K3466" s="128">
        <v>6.92</v>
      </c>
      <c r="L3466" s="128">
        <v>52192.02</v>
      </c>
      <c r="M3466" s="128">
        <v>38710.48</v>
      </c>
      <c r="N3466" s="128">
        <v>13481.54</v>
      </c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</row>
    <row r="3467">
      <c r="A3467" s="125" t="s">
        <v>458</v>
      </c>
      <c r="B3467" s="125" t="s">
        <v>486</v>
      </c>
      <c r="C3467" s="125" t="s">
        <v>506</v>
      </c>
      <c r="D3467" s="125" t="s">
        <v>457</v>
      </c>
      <c r="E3467" s="125" t="s">
        <v>464</v>
      </c>
      <c r="F3467" s="126">
        <v>40668.0</v>
      </c>
      <c r="G3467" s="127">
        <v>3.84E8</v>
      </c>
      <c r="H3467" s="126">
        <v>40713.0</v>
      </c>
      <c r="I3467" s="128">
        <v>6212.0</v>
      </c>
      <c r="J3467" s="128">
        <v>154.06</v>
      </c>
      <c r="K3467" s="128">
        <v>90.93</v>
      </c>
      <c r="L3467" s="128">
        <v>957020.7</v>
      </c>
      <c r="M3467" s="128">
        <v>564857.2</v>
      </c>
      <c r="N3467" s="128">
        <v>392163.6</v>
      </c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</row>
    <row r="3468">
      <c r="A3468" s="125" t="s">
        <v>475</v>
      </c>
      <c r="B3468" s="125" t="s">
        <v>476</v>
      </c>
      <c r="C3468" s="125" t="s">
        <v>463</v>
      </c>
      <c r="D3468" s="125" t="s">
        <v>457</v>
      </c>
      <c r="E3468" s="125" t="s">
        <v>284</v>
      </c>
      <c r="F3468" s="126">
        <v>41257.0</v>
      </c>
      <c r="G3468" s="127">
        <v>4.93E8</v>
      </c>
      <c r="H3468" s="126">
        <v>41295.0</v>
      </c>
      <c r="I3468" s="128">
        <v>8950.0</v>
      </c>
      <c r="J3468" s="128">
        <v>205.7</v>
      </c>
      <c r="K3468" s="128">
        <v>117.11</v>
      </c>
      <c r="L3468" s="128">
        <v>1841015.0</v>
      </c>
      <c r="M3468" s="128">
        <v>1048135.0</v>
      </c>
      <c r="N3468" s="128">
        <v>792880.5</v>
      </c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</row>
    <row r="3469">
      <c r="A3469" s="125" t="s">
        <v>475</v>
      </c>
      <c r="B3469" s="125" t="s">
        <v>623</v>
      </c>
      <c r="C3469" s="125" t="s">
        <v>453</v>
      </c>
      <c r="D3469" s="125" t="s">
        <v>454</v>
      </c>
      <c r="E3469" s="125" t="s">
        <v>472</v>
      </c>
      <c r="F3469" s="126">
        <v>42889.0</v>
      </c>
      <c r="G3469" s="127">
        <v>7.24E8</v>
      </c>
      <c r="H3469" s="126">
        <v>42909.0</v>
      </c>
      <c r="I3469" s="128">
        <v>1626.0</v>
      </c>
      <c r="J3469" s="128">
        <v>255.28</v>
      </c>
      <c r="K3469" s="128">
        <v>159.42</v>
      </c>
      <c r="L3469" s="128">
        <v>415085.3</v>
      </c>
      <c r="M3469" s="128">
        <v>259216.9</v>
      </c>
      <c r="N3469" s="128">
        <v>155868.4</v>
      </c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</row>
    <row r="3470">
      <c r="A3470" s="125" t="s">
        <v>475</v>
      </c>
      <c r="B3470" s="125" t="s">
        <v>623</v>
      </c>
      <c r="C3470" s="125" t="s">
        <v>460</v>
      </c>
      <c r="D3470" s="125" t="s">
        <v>454</v>
      </c>
      <c r="E3470" s="125" t="s">
        <v>472</v>
      </c>
      <c r="F3470" s="126">
        <v>41519.0</v>
      </c>
      <c r="G3470" s="127">
        <v>9.73E8</v>
      </c>
      <c r="H3470" s="126">
        <v>41554.0</v>
      </c>
      <c r="I3470" s="128">
        <v>4087.0</v>
      </c>
      <c r="J3470" s="128">
        <v>47.45</v>
      </c>
      <c r="K3470" s="128">
        <v>31.79</v>
      </c>
      <c r="L3470" s="128">
        <v>193928.2</v>
      </c>
      <c r="M3470" s="128">
        <v>129925.7</v>
      </c>
      <c r="N3470" s="128">
        <v>64002.42</v>
      </c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</row>
    <row r="3471">
      <c r="A3471" s="125" t="s">
        <v>458</v>
      </c>
      <c r="B3471" s="125" t="s">
        <v>642</v>
      </c>
      <c r="C3471" s="125" t="s">
        <v>460</v>
      </c>
      <c r="D3471" s="125" t="s">
        <v>454</v>
      </c>
      <c r="E3471" s="125" t="s">
        <v>472</v>
      </c>
      <c r="F3471" s="126">
        <v>40405.0</v>
      </c>
      <c r="G3471" s="127">
        <v>3.12E8</v>
      </c>
      <c r="H3471" s="126">
        <v>40416.0</v>
      </c>
      <c r="I3471" s="128">
        <v>3214.0</v>
      </c>
      <c r="J3471" s="128">
        <v>47.45</v>
      </c>
      <c r="K3471" s="128">
        <v>31.79</v>
      </c>
      <c r="L3471" s="128">
        <v>152504.3</v>
      </c>
      <c r="M3471" s="128">
        <v>102173.1</v>
      </c>
      <c r="N3471" s="128">
        <v>50331.24</v>
      </c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</row>
    <row r="3472">
      <c r="A3472" s="125" t="s">
        <v>458</v>
      </c>
      <c r="B3472" s="125" t="s">
        <v>509</v>
      </c>
      <c r="C3472" s="125" t="s">
        <v>453</v>
      </c>
      <c r="D3472" s="125" t="s">
        <v>454</v>
      </c>
      <c r="E3472" s="125" t="s">
        <v>464</v>
      </c>
      <c r="F3472" s="126">
        <v>40430.0</v>
      </c>
      <c r="G3472" s="127">
        <v>1.28E8</v>
      </c>
      <c r="H3472" s="126">
        <v>40474.0</v>
      </c>
      <c r="I3472" s="128">
        <v>7918.0</v>
      </c>
      <c r="J3472" s="128">
        <v>255.28</v>
      </c>
      <c r="K3472" s="128">
        <v>159.42</v>
      </c>
      <c r="L3472" s="128">
        <v>2021307.0</v>
      </c>
      <c r="M3472" s="128">
        <v>1262288.0</v>
      </c>
      <c r="N3472" s="128">
        <v>759019.5</v>
      </c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</row>
    <row r="3473">
      <c r="A3473" s="125" t="s">
        <v>458</v>
      </c>
      <c r="B3473" s="125" t="s">
        <v>616</v>
      </c>
      <c r="C3473" s="125" t="s">
        <v>460</v>
      </c>
      <c r="D3473" s="125" t="s">
        <v>457</v>
      </c>
      <c r="E3473" s="125" t="s">
        <v>284</v>
      </c>
      <c r="F3473" s="126">
        <v>41482.0</v>
      </c>
      <c r="G3473" s="127">
        <v>9.81E8</v>
      </c>
      <c r="H3473" s="126">
        <v>41495.0</v>
      </c>
      <c r="I3473" s="128">
        <v>4141.0</v>
      </c>
      <c r="J3473" s="128">
        <v>47.45</v>
      </c>
      <c r="K3473" s="128">
        <v>31.79</v>
      </c>
      <c r="L3473" s="128">
        <v>196490.5</v>
      </c>
      <c r="M3473" s="128">
        <v>131642.4</v>
      </c>
      <c r="N3473" s="128">
        <v>64848.06</v>
      </c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</row>
    <row r="3474">
      <c r="A3474" s="125" t="s">
        <v>451</v>
      </c>
      <c r="B3474" s="125" t="s">
        <v>455</v>
      </c>
      <c r="C3474" s="125" t="s">
        <v>485</v>
      </c>
      <c r="D3474" s="125" t="s">
        <v>454</v>
      </c>
      <c r="E3474" s="125" t="s">
        <v>472</v>
      </c>
      <c r="F3474" s="126">
        <v>41071.0</v>
      </c>
      <c r="G3474" s="127">
        <v>3.51E8</v>
      </c>
      <c r="H3474" s="126">
        <v>41086.0</v>
      </c>
      <c r="I3474" s="128">
        <v>9857.0</v>
      </c>
      <c r="J3474" s="128">
        <v>421.89</v>
      </c>
      <c r="K3474" s="128">
        <v>364.69</v>
      </c>
      <c r="L3474" s="128">
        <v>4158570.0</v>
      </c>
      <c r="M3474" s="128">
        <v>3594749.0</v>
      </c>
      <c r="N3474" s="128">
        <v>563820.4</v>
      </c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</row>
    <row r="3475">
      <c r="A3475" s="125" t="s">
        <v>458</v>
      </c>
      <c r="B3475" s="125" t="s">
        <v>622</v>
      </c>
      <c r="C3475" s="125" t="s">
        <v>468</v>
      </c>
      <c r="D3475" s="125" t="s">
        <v>454</v>
      </c>
      <c r="E3475" s="125" t="s">
        <v>464</v>
      </c>
      <c r="F3475" s="126">
        <v>41246.0</v>
      </c>
      <c r="G3475" s="127">
        <v>2.88E8</v>
      </c>
      <c r="H3475" s="126">
        <v>41279.0</v>
      </c>
      <c r="I3475" s="128">
        <v>71.0</v>
      </c>
      <c r="J3475" s="128">
        <v>81.73</v>
      </c>
      <c r="K3475" s="128">
        <v>56.67</v>
      </c>
      <c r="L3475" s="128">
        <v>5802.83</v>
      </c>
      <c r="M3475" s="128">
        <v>4023.57</v>
      </c>
      <c r="N3475" s="128">
        <v>1779.26</v>
      </c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</row>
    <row r="3476">
      <c r="A3476" s="125" t="s">
        <v>451</v>
      </c>
      <c r="B3476" s="125" t="s">
        <v>546</v>
      </c>
      <c r="C3476" s="125" t="s">
        <v>485</v>
      </c>
      <c r="D3476" s="125" t="s">
        <v>457</v>
      </c>
      <c r="E3476" s="125" t="s">
        <v>472</v>
      </c>
      <c r="F3476" s="126">
        <v>41679.0</v>
      </c>
      <c r="G3476" s="127">
        <v>6.62E8</v>
      </c>
      <c r="H3476" s="126">
        <v>41691.0</v>
      </c>
      <c r="I3476" s="128">
        <v>1819.0</v>
      </c>
      <c r="J3476" s="128">
        <v>421.89</v>
      </c>
      <c r="K3476" s="128">
        <v>364.69</v>
      </c>
      <c r="L3476" s="128">
        <v>767417.9</v>
      </c>
      <c r="M3476" s="128">
        <v>663371.1</v>
      </c>
      <c r="N3476" s="128">
        <v>104046.8</v>
      </c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</row>
    <row r="3477">
      <c r="A3477" s="125" t="s">
        <v>451</v>
      </c>
      <c r="B3477" s="125" t="s">
        <v>592</v>
      </c>
      <c r="C3477" s="125" t="s">
        <v>453</v>
      </c>
      <c r="D3477" s="125" t="s">
        <v>457</v>
      </c>
      <c r="E3477" s="125" t="s">
        <v>464</v>
      </c>
      <c r="F3477" s="126">
        <v>41047.0</v>
      </c>
      <c r="G3477" s="127">
        <v>5.14E8</v>
      </c>
      <c r="H3477" s="126">
        <v>41087.0</v>
      </c>
      <c r="I3477" s="128">
        <v>9169.0</v>
      </c>
      <c r="J3477" s="128">
        <v>255.28</v>
      </c>
      <c r="K3477" s="128">
        <v>159.42</v>
      </c>
      <c r="L3477" s="128">
        <v>2340662.0</v>
      </c>
      <c r="M3477" s="128">
        <v>1461722.0</v>
      </c>
      <c r="N3477" s="128">
        <v>878940.3</v>
      </c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</row>
    <row r="3478">
      <c r="A3478" s="125" t="s">
        <v>475</v>
      </c>
      <c r="B3478" s="125" t="s">
        <v>574</v>
      </c>
      <c r="C3478" s="125" t="s">
        <v>478</v>
      </c>
      <c r="D3478" s="125" t="s">
        <v>457</v>
      </c>
      <c r="E3478" s="125" t="s">
        <v>472</v>
      </c>
      <c r="F3478" s="126">
        <v>41185.0</v>
      </c>
      <c r="G3478" s="127">
        <v>3.05E8</v>
      </c>
      <c r="H3478" s="126">
        <v>41197.0</v>
      </c>
      <c r="I3478" s="128">
        <v>8218.0</v>
      </c>
      <c r="J3478" s="128">
        <v>651.21</v>
      </c>
      <c r="K3478" s="128">
        <v>524.96</v>
      </c>
      <c r="L3478" s="128">
        <v>5351644.0</v>
      </c>
      <c r="M3478" s="128">
        <v>4314121.0</v>
      </c>
      <c r="N3478" s="128">
        <v>1037523.0</v>
      </c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</row>
    <row r="3479">
      <c r="A3479" s="125" t="s">
        <v>475</v>
      </c>
      <c r="B3479" s="125" t="s">
        <v>623</v>
      </c>
      <c r="C3479" s="125" t="s">
        <v>506</v>
      </c>
      <c r="D3479" s="125" t="s">
        <v>454</v>
      </c>
      <c r="E3479" s="125" t="s">
        <v>472</v>
      </c>
      <c r="F3479" s="126">
        <v>42929.0</v>
      </c>
      <c r="G3479" s="127">
        <v>5.66E8</v>
      </c>
      <c r="H3479" s="126">
        <v>42945.0</v>
      </c>
      <c r="I3479" s="128">
        <v>2097.0</v>
      </c>
      <c r="J3479" s="128">
        <v>154.06</v>
      </c>
      <c r="K3479" s="128">
        <v>90.93</v>
      </c>
      <c r="L3479" s="128">
        <v>323063.8</v>
      </c>
      <c r="M3479" s="128">
        <v>190680.2</v>
      </c>
      <c r="N3479" s="128">
        <v>132383.6</v>
      </c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</row>
    <row r="3480">
      <c r="A3480" s="125" t="s">
        <v>458</v>
      </c>
      <c r="B3480" s="125" t="s">
        <v>559</v>
      </c>
      <c r="C3480" s="125" t="s">
        <v>456</v>
      </c>
      <c r="D3480" s="125" t="s">
        <v>457</v>
      </c>
      <c r="E3480" s="125" t="s">
        <v>464</v>
      </c>
      <c r="F3480" s="126">
        <v>41977.0</v>
      </c>
      <c r="G3480" s="127">
        <v>5.48E8</v>
      </c>
      <c r="H3480" s="126">
        <v>41979.0</v>
      </c>
      <c r="I3480" s="128">
        <v>5967.0</v>
      </c>
      <c r="J3480" s="128">
        <v>152.58</v>
      </c>
      <c r="K3480" s="128">
        <v>97.44</v>
      </c>
      <c r="L3480" s="128">
        <v>910444.9</v>
      </c>
      <c r="M3480" s="128">
        <v>581424.5</v>
      </c>
      <c r="N3480" s="128">
        <v>329020.4</v>
      </c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</row>
    <row r="3481">
      <c r="A3481" s="125" t="s">
        <v>461</v>
      </c>
      <c r="B3481" s="125" t="s">
        <v>510</v>
      </c>
      <c r="C3481" s="125" t="s">
        <v>506</v>
      </c>
      <c r="D3481" s="125" t="s">
        <v>457</v>
      </c>
      <c r="E3481" s="125" t="s">
        <v>464</v>
      </c>
      <c r="F3481" s="126">
        <v>41327.0</v>
      </c>
      <c r="G3481" s="127">
        <v>4.75E8</v>
      </c>
      <c r="H3481" s="126">
        <v>41334.0</v>
      </c>
      <c r="I3481" s="128">
        <v>2021.0</v>
      </c>
      <c r="J3481" s="128">
        <v>154.06</v>
      </c>
      <c r="K3481" s="128">
        <v>90.93</v>
      </c>
      <c r="L3481" s="128">
        <v>311355.3</v>
      </c>
      <c r="M3481" s="128">
        <v>183769.5</v>
      </c>
      <c r="N3481" s="128">
        <v>127585.7</v>
      </c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</row>
    <row r="3482">
      <c r="A3482" s="125" t="s">
        <v>469</v>
      </c>
      <c r="B3482" s="125" t="s">
        <v>495</v>
      </c>
      <c r="C3482" s="125" t="s">
        <v>471</v>
      </c>
      <c r="D3482" s="125" t="s">
        <v>457</v>
      </c>
      <c r="E3482" s="125" t="s">
        <v>284</v>
      </c>
      <c r="F3482" s="126">
        <v>41602.0</v>
      </c>
      <c r="G3482" s="127">
        <v>1.87E8</v>
      </c>
      <c r="H3482" s="126">
        <v>41635.0</v>
      </c>
      <c r="I3482" s="128">
        <v>4482.0</v>
      </c>
      <c r="J3482" s="128">
        <v>109.28</v>
      </c>
      <c r="K3482" s="128">
        <v>35.84</v>
      </c>
      <c r="L3482" s="128">
        <v>489793.0</v>
      </c>
      <c r="M3482" s="128">
        <v>160634.9</v>
      </c>
      <c r="N3482" s="128">
        <v>329158.1</v>
      </c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</row>
    <row r="3483">
      <c r="A3483" s="125" t="s">
        <v>458</v>
      </c>
      <c r="B3483" s="125" t="s">
        <v>559</v>
      </c>
      <c r="C3483" s="125" t="s">
        <v>485</v>
      </c>
      <c r="D3483" s="125" t="s">
        <v>454</v>
      </c>
      <c r="E3483" s="125" t="s">
        <v>464</v>
      </c>
      <c r="F3483" s="126">
        <v>42431.0</v>
      </c>
      <c r="G3483" s="127">
        <v>4.98E8</v>
      </c>
      <c r="H3483" s="126">
        <v>42451.0</v>
      </c>
      <c r="I3483" s="128">
        <v>4604.0</v>
      </c>
      <c r="J3483" s="128">
        <v>421.89</v>
      </c>
      <c r="K3483" s="128">
        <v>364.69</v>
      </c>
      <c r="L3483" s="128">
        <v>1942382.0</v>
      </c>
      <c r="M3483" s="128">
        <v>1679033.0</v>
      </c>
      <c r="N3483" s="128">
        <v>263348.8</v>
      </c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</row>
    <row r="3484">
      <c r="A3484" s="125" t="s">
        <v>466</v>
      </c>
      <c r="B3484" s="125" t="s">
        <v>535</v>
      </c>
      <c r="C3484" s="125" t="s">
        <v>494</v>
      </c>
      <c r="D3484" s="125" t="s">
        <v>457</v>
      </c>
      <c r="E3484" s="125" t="s">
        <v>284</v>
      </c>
      <c r="F3484" s="126">
        <v>41066.0</v>
      </c>
      <c r="G3484" s="127">
        <v>9.4E8</v>
      </c>
      <c r="H3484" s="126">
        <v>41085.0</v>
      </c>
      <c r="I3484" s="128">
        <v>5675.0</v>
      </c>
      <c r="J3484" s="128">
        <v>9.33</v>
      </c>
      <c r="K3484" s="128">
        <v>6.92</v>
      </c>
      <c r="L3484" s="128">
        <v>52947.75</v>
      </c>
      <c r="M3484" s="128">
        <v>39271.0</v>
      </c>
      <c r="N3484" s="128">
        <v>13676.75</v>
      </c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</row>
    <row r="3485">
      <c r="A3485" s="125" t="s">
        <v>461</v>
      </c>
      <c r="B3485" s="125" t="s">
        <v>639</v>
      </c>
      <c r="C3485" s="125" t="s">
        <v>463</v>
      </c>
      <c r="D3485" s="125" t="s">
        <v>454</v>
      </c>
      <c r="E3485" s="125" t="s">
        <v>189</v>
      </c>
      <c r="F3485" s="126">
        <v>42061.0</v>
      </c>
      <c r="G3485" s="127">
        <v>2.17E8</v>
      </c>
      <c r="H3485" s="126">
        <v>42085.0</v>
      </c>
      <c r="I3485" s="128">
        <v>8011.0</v>
      </c>
      <c r="J3485" s="128">
        <v>205.7</v>
      </c>
      <c r="K3485" s="128">
        <v>117.11</v>
      </c>
      <c r="L3485" s="128">
        <v>1647863.0</v>
      </c>
      <c r="M3485" s="128">
        <v>938168.2</v>
      </c>
      <c r="N3485" s="128">
        <v>709694.5</v>
      </c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</row>
    <row r="3486">
      <c r="A3486" s="125" t="s">
        <v>458</v>
      </c>
      <c r="B3486" s="125" t="s">
        <v>597</v>
      </c>
      <c r="C3486" s="125" t="s">
        <v>456</v>
      </c>
      <c r="D3486" s="125" t="s">
        <v>457</v>
      </c>
      <c r="E3486" s="125" t="s">
        <v>284</v>
      </c>
      <c r="F3486" s="126">
        <v>42064.0</v>
      </c>
      <c r="G3486" s="127">
        <v>2.52E8</v>
      </c>
      <c r="H3486" s="126">
        <v>42101.0</v>
      </c>
      <c r="I3486" s="128">
        <v>3961.0</v>
      </c>
      <c r="J3486" s="128">
        <v>152.58</v>
      </c>
      <c r="K3486" s="128">
        <v>97.44</v>
      </c>
      <c r="L3486" s="128">
        <v>604369.4</v>
      </c>
      <c r="M3486" s="128">
        <v>385959.8</v>
      </c>
      <c r="N3486" s="128">
        <v>218409.5</v>
      </c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</row>
    <row r="3487">
      <c r="A3487" s="125" t="s">
        <v>461</v>
      </c>
      <c r="B3487" s="125" t="s">
        <v>576</v>
      </c>
      <c r="C3487" s="125" t="s">
        <v>494</v>
      </c>
      <c r="D3487" s="125" t="s">
        <v>457</v>
      </c>
      <c r="E3487" s="125" t="s">
        <v>472</v>
      </c>
      <c r="F3487" s="126">
        <v>42258.0</v>
      </c>
      <c r="G3487" s="127">
        <v>3.39E8</v>
      </c>
      <c r="H3487" s="126">
        <v>42259.0</v>
      </c>
      <c r="I3487" s="128">
        <v>2904.0</v>
      </c>
      <c r="J3487" s="128">
        <v>9.33</v>
      </c>
      <c r="K3487" s="128">
        <v>6.92</v>
      </c>
      <c r="L3487" s="128">
        <v>27094.32</v>
      </c>
      <c r="M3487" s="128">
        <v>20095.68</v>
      </c>
      <c r="N3487" s="128">
        <v>6998.64</v>
      </c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</row>
    <row r="3488">
      <c r="A3488" s="125" t="s">
        <v>488</v>
      </c>
      <c r="B3488" s="125" t="s">
        <v>577</v>
      </c>
      <c r="C3488" s="125" t="s">
        <v>460</v>
      </c>
      <c r="D3488" s="125" t="s">
        <v>454</v>
      </c>
      <c r="E3488" s="125" t="s">
        <v>472</v>
      </c>
      <c r="F3488" s="126">
        <v>41452.0</v>
      </c>
      <c r="G3488" s="127">
        <v>2.91E8</v>
      </c>
      <c r="H3488" s="126">
        <v>41475.0</v>
      </c>
      <c r="I3488" s="128">
        <v>6253.0</v>
      </c>
      <c r="J3488" s="128">
        <v>47.45</v>
      </c>
      <c r="K3488" s="128">
        <v>31.79</v>
      </c>
      <c r="L3488" s="128">
        <v>296704.9</v>
      </c>
      <c r="M3488" s="128">
        <v>198782.9</v>
      </c>
      <c r="N3488" s="128">
        <v>97921.98</v>
      </c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</row>
    <row r="3489">
      <c r="A3489" s="125" t="s">
        <v>461</v>
      </c>
      <c r="B3489" s="125" t="s">
        <v>639</v>
      </c>
      <c r="C3489" s="125" t="s">
        <v>514</v>
      </c>
      <c r="D3489" s="125" t="s">
        <v>454</v>
      </c>
      <c r="E3489" s="125" t="s">
        <v>189</v>
      </c>
      <c r="F3489" s="126">
        <v>40224.0</v>
      </c>
      <c r="G3489" s="127">
        <v>8.94E8</v>
      </c>
      <c r="H3489" s="126">
        <v>40271.0</v>
      </c>
      <c r="I3489" s="128">
        <v>2450.0</v>
      </c>
      <c r="J3489" s="128">
        <v>668.27</v>
      </c>
      <c r="K3489" s="128">
        <v>502.54</v>
      </c>
      <c r="L3489" s="128">
        <v>1637262.0</v>
      </c>
      <c r="M3489" s="128">
        <v>1231223.0</v>
      </c>
      <c r="N3489" s="128">
        <v>406038.5</v>
      </c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</row>
    <row r="3490">
      <c r="A3490" s="125" t="s">
        <v>451</v>
      </c>
      <c r="B3490" s="125" t="s">
        <v>523</v>
      </c>
      <c r="C3490" s="125" t="s">
        <v>471</v>
      </c>
      <c r="D3490" s="125" t="s">
        <v>454</v>
      </c>
      <c r="E3490" s="125" t="s">
        <v>472</v>
      </c>
      <c r="F3490" s="126">
        <v>42309.0</v>
      </c>
      <c r="G3490" s="127">
        <v>7.52E8</v>
      </c>
      <c r="H3490" s="126">
        <v>42339.0</v>
      </c>
      <c r="I3490" s="128">
        <v>1967.0</v>
      </c>
      <c r="J3490" s="128">
        <v>109.28</v>
      </c>
      <c r="K3490" s="128">
        <v>35.84</v>
      </c>
      <c r="L3490" s="128">
        <v>214953.8</v>
      </c>
      <c r="M3490" s="128">
        <v>70497.28</v>
      </c>
      <c r="N3490" s="128">
        <v>144456.5</v>
      </c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</row>
    <row r="3491">
      <c r="A3491" s="125" t="s">
        <v>458</v>
      </c>
      <c r="B3491" s="125" t="s">
        <v>555</v>
      </c>
      <c r="C3491" s="125" t="s">
        <v>456</v>
      </c>
      <c r="D3491" s="125" t="s">
        <v>454</v>
      </c>
      <c r="E3491" s="125" t="s">
        <v>464</v>
      </c>
      <c r="F3491" s="126">
        <v>42150.0</v>
      </c>
      <c r="G3491" s="127">
        <v>3.4E8</v>
      </c>
      <c r="H3491" s="126">
        <v>42168.0</v>
      </c>
      <c r="I3491" s="128">
        <v>2311.0</v>
      </c>
      <c r="J3491" s="128">
        <v>152.58</v>
      </c>
      <c r="K3491" s="128">
        <v>97.44</v>
      </c>
      <c r="L3491" s="128">
        <v>352612.4</v>
      </c>
      <c r="M3491" s="128">
        <v>225183.8</v>
      </c>
      <c r="N3491" s="128">
        <v>127428.5</v>
      </c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</row>
    <row r="3492">
      <c r="A3492" s="125" t="s">
        <v>475</v>
      </c>
      <c r="B3492" s="125" t="s">
        <v>526</v>
      </c>
      <c r="C3492" s="125" t="s">
        <v>480</v>
      </c>
      <c r="D3492" s="125" t="s">
        <v>454</v>
      </c>
      <c r="E3492" s="125" t="s">
        <v>472</v>
      </c>
      <c r="F3492" s="126">
        <v>42876.0</v>
      </c>
      <c r="G3492" s="127">
        <v>6.54E8</v>
      </c>
      <c r="H3492" s="126">
        <v>42897.0</v>
      </c>
      <c r="I3492" s="128">
        <v>3016.0</v>
      </c>
      <c r="J3492" s="128">
        <v>437.2</v>
      </c>
      <c r="K3492" s="128">
        <v>263.33</v>
      </c>
      <c r="L3492" s="128">
        <v>1318595.0</v>
      </c>
      <c r="M3492" s="128">
        <v>794203.3</v>
      </c>
      <c r="N3492" s="128">
        <v>524391.9</v>
      </c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</row>
    <row r="3493">
      <c r="A3493" s="125" t="s">
        <v>458</v>
      </c>
      <c r="B3493" s="125" t="s">
        <v>533</v>
      </c>
      <c r="C3493" s="125" t="s">
        <v>463</v>
      </c>
      <c r="D3493" s="125" t="s">
        <v>457</v>
      </c>
      <c r="E3493" s="125" t="s">
        <v>189</v>
      </c>
      <c r="F3493" s="126">
        <v>41089.0</v>
      </c>
      <c r="G3493" s="127">
        <v>9.58E8</v>
      </c>
      <c r="H3493" s="126">
        <v>41124.0</v>
      </c>
      <c r="I3493" s="128">
        <v>651.0</v>
      </c>
      <c r="J3493" s="128">
        <v>205.7</v>
      </c>
      <c r="K3493" s="128">
        <v>117.11</v>
      </c>
      <c r="L3493" s="128">
        <v>133910.7</v>
      </c>
      <c r="M3493" s="128">
        <v>76238.61</v>
      </c>
      <c r="N3493" s="128">
        <v>57672.09</v>
      </c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</row>
    <row r="3494">
      <c r="A3494" s="125" t="s">
        <v>475</v>
      </c>
      <c r="B3494" s="125" t="s">
        <v>574</v>
      </c>
      <c r="C3494" s="125" t="s">
        <v>471</v>
      </c>
      <c r="D3494" s="125" t="s">
        <v>457</v>
      </c>
      <c r="E3494" s="125" t="s">
        <v>472</v>
      </c>
      <c r="F3494" s="126">
        <v>42081.0</v>
      </c>
      <c r="G3494" s="127">
        <v>1.4E8</v>
      </c>
      <c r="H3494" s="126">
        <v>42102.0</v>
      </c>
      <c r="I3494" s="128">
        <v>3814.0</v>
      </c>
      <c r="J3494" s="128">
        <v>109.28</v>
      </c>
      <c r="K3494" s="128">
        <v>35.84</v>
      </c>
      <c r="L3494" s="128">
        <v>416793.9</v>
      </c>
      <c r="M3494" s="128">
        <v>136693.8</v>
      </c>
      <c r="N3494" s="128">
        <v>280100.2</v>
      </c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</row>
    <row r="3495">
      <c r="A3495" s="125" t="s">
        <v>475</v>
      </c>
      <c r="B3495" s="125" t="s">
        <v>651</v>
      </c>
      <c r="C3495" s="125" t="s">
        <v>478</v>
      </c>
      <c r="D3495" s="125" t="s">
        <v>457</v>
      </c>
      <c r="E3495" s="125" t="s">
        <v>189</v>
      </c>
      <c r="F3495" s="126">
        <v>41849.0</v>
      </c>
      <c r="G3495" s="127">
        <v>7.56E8</v>
      </c>
      <c r="H3495" s="126">
        <v>41878.0</v>
      </c>
      <c r="I3495" s="128">
        <v>8136.0</v>
      </c>
      <c r="J3495" s="128">
        <v>651.21</v>
      </c>
      <c r="K3495" s="128">
        <v>524.96</v>
      </c>
      <c r="L3495" s="128">
        <v>5298245.0</v>
      </c>
      <c r="M3495" s="128">
        <v>4271075.0</v>
      </c>
      <c r="N3495" s="128">
        <v>1027170.0</v>
      </c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</row>
    <row r="3496">
      <c r="A3496" s="125" t="s">
        <v>458</v>
      </c>
      <c r="B3496" s="125" t="s">
        <v>563</v>
      </c>
      <c r="C3496" s="125" t="s">
        <v>463</v>
      </c>
      <c r="D3496" s="125" t="s">
        <v>454</v>
      </c>
      <c r="E3496" s="125" t="s">
        <v>189</v>
      </c>
      <c r="F3496" s="126">
        <v>42312.0</v>
      </c>
      <c r="G3496" s="127">
        <v>4.81E8</v>
      </c>
      <c r="H3496" s="126">
        <v>42332.0</v>
      </c>
      <c r="I3496" s="128">
        <v>1276.0</v>
      </c>
      <c r="J3496" s="128">
        <v>205.7</v>
      </c>
      <c r="K3496" s="128">
        <v>117.11</v>
      </c>
      <c r="L3496" s="128">
        <v>262473.2</v>
      </c>
      <c r="M3496" s="128">
        <v>149432.4</v>
      </c>
      <c r="N3496" s="128">
        <v>113040.8</v>
      </c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</row>
    <row r="3497">
      <c r="A3497" s="125" t="s">
        <v>475</v>
      </c>
      <c r="B3497" s="125" t="s">
        <v>619</v>
      </c>
      <c r="C3497" s="125" t="s">
        <v>514</v>
      </c>
      <c r="D3497" s="125" t="s">
        <v>454</v>
      </c>
      <c r="E3497" s="125" t="s">
        <v>189</v>
      </c>
      <c r="F3497" s="126">
        <v>41631.0</v>
      </c>
      <c r="G3497" s="127">
        <v>6.64E8</v>
      </c>
      <c r="H3497" s="126">
        <v>41676.0</v>
      </c>
      <c r="I3497" s="128">
        <v>7927.0</v>
      </c>
      <c r="J3497" s="128">
        <v>668.27</v>
      </c>
      <c r="K3497" s="128">
        <v>502.54</v>
      </c>
      <c r="L3497" s="128">
        <v>5297376.0</v>
      </c>
      <c r="M3497" s="128">
        <v>3983635.0</v>
      </c>
      <c r="N3497" s="128">
        <v>1313742.0</v>
      </c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</row>
    <row r="3498">
      <c r="A3498" s="125" t="s">
        <v>475</v>
      </c>
      <c r="B3498" s="125" t="s">
        <v>512</v>
      </c>
      <c r="C3498" s="125" t="s">
        <v>480</v>
      </c>
      <c r="D3498" s="125" t="s">
        <v>457</v>
      </c>
      <c r="E3498" s="125" t="s">
        <v>464</v>
      </c>
      <c r="F3498" s="126">
        <v>41118.0</v>
      </c>
      <c r="G3498" s="127">
        <v>4.7E8</v>
      </c>
      <c r="H3498" s="126">
        <v>41136.0</v>
      </c>
      <c r="I3498" s="128">
        <v>4814.0</v>
      </c>
      <c r="J3498" s="128">
        <v>437.2</v>
      </c>
      <c r="K3498" s="128">
        <v>263.33</v>
      </c>
      <c r="L3498" s="128">
        <v>2104681.0</v>
      </c>
      <c r="M3498" s="128">
        <v>1267671.0</v>
      </c>
      <c r="N3498" s="128">
        <v>837010.2</v>
      </c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</row>
    <row r="3499">
      <c r="A3499" s="125" t="s">
        <v>475</v>
      </c>
      <c r="B3499" s="125" t="s">
        <v>651</v>
      </c>
      <c r="C3499" s="125" t="s">
        <v>506</v>
      </c>
      <c r="D3499" s="125" t="s">
        <v>454</v>
      </c>
      <c r="E3499" s="125" t="s">
        <v>472</v>
      </c>
      <c r="F3499" s="126">
        <v>41094.0</v>
      </c>
      <c r="G3499" s="127">
        <v>9.39E8</v>
      </c>
      <c r="H3499" s="126">
        <v>41135.0</v>
      </c>
      <c r="I3499" s="128">
        <v>5691.0</v>
      </c>
      <c r="J3499" s="128">
        <v>154.06</v>
      </c>
      <c r="K3499" s="128">
        <v>90.93</v>
      </c>
      <c r="L3499" s="128">
        <v>876755.5</v>
      </c>
      <c r="M3499" s="128">
        <v>517482.6</v>
      </c>
      <c r="N3499" s="128">
        <v>359272.8</v>
      </c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</row>
    <row r="3500">
      <c r="A3500" s="125" t="s">
        <v>475</v>
      </c>
      <c r="B3500" s="125" t="s">
        <v>575</v>
      </c>
      <c r="C3500" s="125" t="s">
        <v>460</v>
      </c>
      <c r="D3500" s="125" t="s">
        <v>454</v>
      </c>
      <c r="E3500" s="125" t="s">
        <v>464</v>
      </c>
      <c r="F3500" s="126">
        <v>42268.0</v>
      </c>
      <c r="G3500" s="127">
        <v>9.27E8</v>
      </c>
      <c r="H3500" s="126">
        <v>42297.0</v>
      </c>
      <c r="I3500" s="128">
        <v>6344.0</v>
      </c>
      <c r="J3500" s="128">
        <v>47.45</v>
      </c>
      <c r="K3500" s="128">
        <v>31.79</v>
      </c>
      <c r="L3500" s="128">
        <v>301022.8</v>
      </c>
      <c r="M3500" s="128">
        <v>201675.8</v>
      </c>
      <c r="N3500" s="128">
        <v>99347.04</v>
      </c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</row>
    <row r="3501">
      <c r="A3501" s="125" t="s">
        <v>461</v>
      </c>
      <c r="B3501" s="125" t="s">
        <v>481</v>
      </c>
      <c r="C3501" s="125" t="s">
        <v>514</v>
      </c>
      <c r="D3501" s="125" t="s">
        <v>457</v>
      </c>
      <c r="E3501" s="125" t="s">
        <v>464</v>
      </c>
      <c r="F3501" s="126">
        <v>41589.0</v>
      </c>
      <c r="G3501" s="127">
        <v>2.63E8</v>
      </c>
      <c r="H3501" s="126">
        <v>41624.0</v>
      </c>
      <c r="I3501" s="128">
        <v>9591.0</v>
      </c>
      <c r="J3501" s="128">
        <v>668.27</v>
      </c>
      <c r="K3501" s="128">
        <v>502.54</v>
      </c>
      <c r="L3501" s="128">
        <v>6409378.0</v>
      </c>
      <c r="M3501" s="128">
        <v>4819861.0</v>
      </c>
      <c r="N3501" s="128">
        <v>1589516.0</v>
      </c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</row>
    <row r="3502">
      <c r="A3502" s="125" t="s">
        <v>458</v>
      </c>
      <c r="B3502" s="125" t="s">
        <v>551</v>
      </c>
      <c r="C3502" s="125" t="s">
        <v>463</v>
      </c>
      <c r="D3502" s="125" t="s">
        <v>457</v>
      </c>
      <c r="E3502" s="125" t="s">
        <v>464</v>
      </c>
      <c r="F3502" s="126">
        <v>41928.0</v>
      </c>
      <c r="G3502" s="127">
        <v>1.95E8</v>
      </c>
      <c r="H3502" s="126">
        <v>41956.0</v>
      </c>
      <c r="I3502" s="128">
        <v>280.0</v>
      </c>
      <c r="J3502" s="128">
        <v>205.7</v>
      </c>
      <c r="K3502" s="128">
        <v>117.11</v>
      </c>
      <c r="L3502" s="128">
        <v>57596.0</v>
      </c>
      <c r="M3502" s="128">
        <v>32790.8</v>
      </c>
      <c r="N3502" s="128">
        <v>24805.2</v>
      </c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</row>
    <row r="3503">
      <c r="A3503" s="125" t="s">
        <v>475</v>
      </c>
      <c r="B3503" s="125" t="s">
        <v>585</v>
      </c>
      <c r="C3503" s="125" t="s">
        <v>471</v>
      </c>
      <c r="D3503" s="125" t="s">
        <v>454</v>
      </c>
      <c r="E3503" s="125" t="s">
        <v>472</v>
      </c>
      <c r="F3503" s="126">
        <v>42393.0</v>
      </c>
      <c r="G3503" s="127">
        <v>2.42E8</v>
      </c>
      <c r="H3503" s="126">
        <v>42404.0</v>
      </c>
      <c r="I3503" s="128">
        <v>290.0</v>
      </c>
      <c r="J3503" s="128">
        <v>109.28</v>
      </c>
      <c r="K3503" s="128">
        <v>35.84</v>
      </c>
      <c r="L3503" s="128">
        <v>31691.2</v>
      </c>
      <c r="M3503" s="128">
        <v>10393.6</v>
      </c>
      <c r="N3503" s="128">
        <v>21297.6</v>
      </c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</row>
    <row r="3504">
      <c r="A3504" s="125" t="s">
        <v>458</v>
      </c>
      <c r="B3504" s="125" t="s">
        <v>626</v>
      </c>
      <c r="C3504" s="125" t="s">
        <v>460</v>
      </c>
      <c r="D3504" s="125" t="s">
        <v>454</v>
      </c>
      <c r="E3504" s="125" t="s">
        <v>284</v>
      </c>
      <c r="F3504" s="126">
        <v>42484.0</v>
      </c>
      <c r="G3504" s="127">
        <v>4.44E8</v>
      </c>
      <c r="H3504" s="126">
        <v>42488.0</v>
      </c>
      <c r="I3504" s="128">
        <v>3534.0</v>
      </c>
      <c r="J3504" s="128">
        <v>47.45</v>
      </c>
      <c r="K3504" s="128">
        <v>31.79</v>
      </c>
      <c r="L3504" s="128">
        <v>167688.3</v>
      </c>
      <c r="M3504" s="128">
        <v>112345.9</v>
      </c>
      <c r="N3504" s="128">
        <v>55342.44</v>
      </c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</row>
    <row r="3505">
      <c r="A3505" s="125" t="s">
        <v>461</v>
      </c>
      <c r="B3505" s="125" t="s">
        <v>539</v>
      </c>
      <c r="C3505" s="125" t="s">
        <v>494</v>
      </c>
      <c r="D3505" s="125" t="s">
        <v>454</v>
      </c>
      <c r="E3505" s="125" t="s">
        <v>472</v>
      </c>
      <c r="F3505" s="126">
        <v>40706.0</v>
      </c>
      <c r="G3505" s="127">
        <v>9.09E8</v>
      </c>
      <c r="H3505" s="126">
        <v>40719.0</v>
      </c>
      <c r="I3505" s="128">
        <v>954.0</v>
      </c>
      <c r="J3505" s="128">
        <v>9.33</v>
      </c>
      <c r="K3505" s="128">
        <v>6.92</v>
      </c>
      <c r="L3505" s="128">
        <v>8900.82</v>
      </c>
      <c r="M3505" s="128">
        <v>6601.68</v>
      </c>
      <c r="N3505" s="128">
        <v>2299.14</v>
      </c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</row>
    <row r="3506">
      <c r="A3506" s="125" t="s">
        <v>458</v>
      </c>
      <c r="B3506" s="125" t="s">
        <v>518</v>
      </c>
      <c r="C3506" s="125" t="s">
        <v>471</v>
      </c>
      <c r="D3506" s="125" t="s">
        <v>454</v>
      </c>
      <c r="E3506" s="125" t="s">
        <v>472</v>
      </c>
      <c r="F3506" s="126">
        <v>41485.0</v>
      </c>
      <c r="G3506" s="127">
        <v>4.67E8</v>
      </c>
      <c r="H3506" s="126">
        <v>41494.0</v>
      </c>
      <c r="I3506" s="128">
        <v>5523.0</v>
      </c>
      <c r="J3506" s="128">
        <v>109.28</v>
      </c>
      <c r="K3506" s="128">
        <v>35.84</v>
      </c>
      <c r="L3506" s="128">
        <v>603553.4</v>
      </c>
      <c r="M3506" s="128">
        <v>197944.3</v>
      </c>
      <c r="N3506" s="128">
        <v>405609.1</v>
      </c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</row>
    <row r="3507">
      <c r="A3507" s="125" t="s">
        <v>461</v>
      </c>
      <c r="B3507" s="125" t="s">
        <v>462</v>
      </c>
      <c r="C3507" s="125" t="s">
        <v>471</v>
      </c>
      <c r="D3507" s="125" t="s">
        <v>457</v>
      </c>
      <c r="E3507" s="125" t="s">
        <v>189</v>
      </c>
      <c r="F3507" s="126">
        <v>42720.0</v>
      </c>
      <c r="G3507" s="127">
        <v>7.19E8</v>
      </c>
      <c r="H3507" s="126">
        <v>42770.0</v>
      </c>
      <c r="I3507" s="128">
        <v>7246.0</v>
      </c>
      <c r="J3507" s="128">
        <v>109.28</v>
      </c>
      <c r="K3507" s="128">
        <v>35.84</v>
      </c>
      <c r="L3507" s="128">
        <v>791842.9</v>
      </c>
      <c r="M3507" s="128">
        <v>259696.6</v>
      </c>
      <c r="N3507" s="128">
        <v>532146.2</v>
      </c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</row>
    <row r="3508">
      <c r="A3508" s="125" t="s">
        <v>458</v>
      </c>
      <c r="B3508" s="125" t="s">
        <v>473</v>
      </c>
      <c r="C3508" s="125" t="s">
        <v>506</v>
      </c>
      <c r="D3508" s="125" t="s">
        <v>454</v>
      </c>
      <c r="E3508" s="125" t="s">
        <v>472</v>
      </c>
      <c r="F3508" s="126">
        <v>42701.0</v>
      </c>
      <c r="G3508" s="127">
        <v>1.85E8</v>
      </c>
      <c r="H3508" s="126">
        <v>42706.0</v>
      </c>
      <c r="I3508" s="128">
        <v>8159.0</v>
      </c>
      <c r="J3508" s="128">
        <v>154.06</v>
      </c>
      <c r="K3508" s="128">
        <v>90.93</v>
      </c>
      <c r="L3508" s="128">
        <v>1256976.0</v>
      </c>
      <c r="M3508" s="128">
        <v>741897.9</v>
      </c>
      <c r="N3508" s="128">
        <v>515077.7</v>
      </c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</row>
    <row r="3509">
      <c r="A3509" s="125" t="s">
        <v>461</v>
      </c>
      <c r="B3509" s="125" t="s">
        <v>564</v>
      </c>
      <c r="C3509" s="125" t="s">
        <v>514</v>
      </c>
      <c r="D3509" s="125" t="s">
        <v>457</v>
      </c>
      <c r="E3509" s="125" t="s">
        <v>284</v>
      </c>
      <c r="F3509" s="126">
        <v>41487.0</v>
      </c>
      <c r="G3509" s="127">
        <v>1.55E8</v>
      </c>
      <c r="H3509" s="126">
        <v>41525.0</v>
      </c>
      <c r="I3509" s="128">
        <v>7329.0</v>
      </c>
      <c r="J3509" s="128">
        <v>668.27</v>
      </c>
      <c r="K3509" s="128">
        <v>502.54</v>
      </c>
      <c r="L3509" s="128">
        <v>4897751.0</v>
      </c>
      <c r="M3509" s="128">
        <v>3683116.0</v>
      </c>
      <c r="N3509" s="128">
        <v>1214635.0</v>
      </c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</row>
    <row r="3510">
      <c r="A3510" s="125" t="s">
        <v>458</v>
      </c>
      <c r="B3510" s="125" t="s">
        <v>473</v>
      </c>
      <c r="C3510" s="125" t="s">
        <v>478</v>
      </c>
      <c r="D3510" s="125" t="s">
        <v>457</v>
      </c>
      <c r="E3510" s="125" t="s">
        <v>472</v>
      </c>
      <c r="F3510" s="126">
        <v>42296.0</v>
      </c>
      <c r="G3510" s="127">
        <v>6.4E8</v>
      </c>
      <c r="H3510" s="126">
        <v>42315.0</v>
      </c>
      <c r="I3510" s="128">
        <v>5856.0</v>
      </c>
      <c r="J3510" s="128">
        <v>651.21</v>
      </c>
      <c r="K3510" s="128">
        <v>524.96</v>
      </c>
      <c r="L3510" s="128">
        <v>3813486.0</v>
      </c>
      <c r="M3510" s="128">
        <v>3074166.0</v>
      </c>
      <c r="N3510" s="128">
        <v>739320.0</v>
      </c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</row>
    <row r="3511">
      <c r="A3511" s="125" t="s">
        <v>469</v>
      </c>
      <c r="B3511" s="125" t="s">
        <v>501</v>
      </c>
      <c r="C3511" s="125" t="s">
        <v>471</v>
      </c>
      <c r="D3511" s="125" t="s">
        <v>454</v>
      </c>
      <c r="E3511" s="125" t="s">
        <v>464</v>
      </c>
      <c r="F3511" s="126">
        <v>41816.0</v>
      </c>
      <c r="G3511" s="127">
        <v>8.23E8</v>
      </c>
      <c r="H3511" s="126">
        <v>41827.0</v>
      </c>
      <c r="I3511" s="128">
        <v>1869.0</v>
      </c>
      <c r="J3511" s="128">
        <v>109.28</v>
      </c>
      <c r="K3511" s="128">
        <v>35.84</v>
      </c>
      <c r="L3511" s="128">
        <v>204244.3</v>
      </c>
      <c r="M3511" s="128">
        <v>66984.96</v>
      </c>
      <c r="N3511" s="128">
        <v>137259.4</v>
      </c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</row>
    <row r="3512">
      <c r="A3512" s="125" t="s">
        <v>458</v>
      </c>
      <c r="B3512" s="125" t="s">
        <v>626</v>
      </c>
      <c r="C3512" s="125" t="s">
        <v>506</v>
      </c>
      <c r="D3512" s="125" t="s">
        <v>457</v>
      </c>
      <c r="E3512" s="125" t="s">
        <v>464</v>
      </c>
      <c r="F3512" s="126">
        <v>42658.0</v>
      </c>
      <c r="G3512" s="127">
        <v>4.03E8</v>
      </c>
      <c r="H3512" s="126">
        <v>42698.0</v>
      </c>
      <c r="I3512" s="128">
        <v>5529.0</v>
      </c>
      <c r="J3512" s="128">
        <v>154.06</v>
      </c>
      <c r="K3512" s="128">
        <v>90.93</v>
      </c>
      <c r="L3512" s="128">
        <v>851797.7</v>
      </c>
      <c r="M3512" s="128">
        <v>502752.0</v>
      </c>
      <c r="N3512" s="128">
        <v>349045.8</v>
      </c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</row>
    <row r="3513">
      <c r="A3513" s="125" t="s">
        <v>451</v>
      </c>
      <c r="B3513" s="125" t="s">
        <v>620</v>
      </c>
      <c r="C3513" s="125" t="s">
        <v>453</v>
      </c>
      <c r="D3513" s="125" t="s">
        <v>454</v>
      </c>
      <c r="E3513" s="125" t="s">
        <v>284</v>
      </c>
      <c r="F3513" s="126">
        <v>40908.0</v>
      </c>
      <c r="G3513" s="127">
        <v>9.54E8</v>
      </c>
      <c r="H3513" s="126">
        <v>40923.0</v>
      </c>
      <c r="I3513" s="128">
        <v>4029.0</v>
      </c>
      <c r="J3513" s="128">
        <v>255.28</v>
      </c>
      <c r="K3513" s="128">
        <v>159.42</v>
      </c>
      <c r="L3513" s="128">
        <v>1028523.0</v>
      </c>
      <c r="M3513" s="128">
        <v>642303.2</v>
      </c>
      <c r="N3513" s="128">
        <v>386219.9</v>
      </c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</row>
    <row r="3514">
      <c r="A3514" s="125" t="s">
        <v>458</v>
      </c>
      <c r="B3514" s="125" t="s">
        <v>626</v>
      </c>
      <c r="C3514" s="125" t="s">
        <v>506</v>
      </c>
      <c r="D3514" s="125" t="s">
        <v>454</v>
      </c>
      <c r="E3514" s="125" t="s">
        <v>284</v>
      </c>
      <c r="F3514" s="126">
        <v>41336.0</v>
      </c>
      <c r="G3514" s="127">
        <v>9.68E8</v>
      </c>
      <c r="H3514" s="126">
        <v>41352.0</v>
      </c>
      <c r="I3514" s="128">
        <v>6592.0</v>
      </c>
      <c r="J3514" s="128">
        <v>154.06</v>
      </c>
      <c r="K3514" s="128">
        <v>90.93</v>
      </c>
      <c r="L3514" s="128">
        <v>1015564.0</v>
      </c>
      <c r="M3514" s="128">
        <v>599410.6</v>
      </c>
      <c r="N3514" s="128">
        <v>416153.0</v>
      </c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</row>
    <row r="3515">
      <c r="A3515" s="125" t="s">
        <v>461</v>
      </c>
      <c r="B3515" s="125" t="s">
        <v>639</v>
      </c>
      <c r="C3515" s="125" t="s">
        <v>460</v>
      </c>
      <c r="D3515" s="125" t="s">
        <v>454</v>
      </c>
      <c r="E3515" s="125" t="s">
        <v>189</v>
      </c>
      <c r="F3515" s="126">
        <v>42188.0</v>
      </c>
      <c r="G3515" s="127">
        <v>8.06E8</v>
      </c>
      <c r="H3515" s="126">
        <v>42194.0</v>
      </c>
      <c r="I3515" s="128">
        <v>9474.0</v>
      </c>
      <c r="J3515" s="128">
        <v>47.45</v>
      </c>
      <c r="K3515" s="128">
        <v>31.79</v>
      </c>
      <c r="L3515" s="128">
        <v>449541.3</v>
      </c>
      <c r="M3515" s="128">
        <v>301178.5</v>
      </c>
      <c r="N3515" s="128">
        <v>148362.8</v>
      </c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</row>
    <row r="3516">
      <c r="A3516" s="125" t="s">
        <v>451</v>
      </c>
      <c r="B3516" s="125" t="s">
        <v>499</v>
      </c>
      <c r="C3516" s="125" t="s">
        <v>480</v>
      </c>
      <c r="D3516" s="125" t="s">
        <v>457</v>
      </c>
      <c r="E3516" s="125" t="s">
        <v>472</v>
      </c>
      <c r="F3516" s="126">
        <v>42098.0</v>
      </c>
      <c r="G3516" s="127">
        <v>4.53E8</v>
      </c>
      <c r="H3516" s="126">
        <v>42112.0</v>
      </c>
      <c r="I3516" s="128">
        <v>959.0</v>
      </c>
      <c r="J3516" s="128">
        <v>437.2</v>
      </c>
      <c r="K3516" s="128">
        <v>263.33</v>
      </c>
      <c r="L3516" s="128">
        <v>419274.8</v>
      </c>
      <c r="M3516" s="128">
        <v>252533.5</v>
      </c>
      <c r="N3516" s="128">
        <v>166741.3</v>
      </c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</row>
    <row r="3517">
      <c r="A3517" s="125" t="s">
        <v>475</v>
      </c>
      <c r="B3517" s="125" t="s">
        <v>528</v>
      </c>
      <c r="C3517" s="125" t="s">
        <v>514</v>
      </c>
      <c r="D3517" s="125" t="s">
        <v>457</v>
      </c>
      <c r="E3517" s="125" t="s">
        <v>472</v>
      </c>
      <c r="F3517" s="126">
        <v>41474.0</v>
      </c>
      <c r="G3517" s="127">
        <v>8.6E8</v>
      </c>
      <c r="H3517" s="126">
        <v>41478.0</v>
      </c>
      <c r="I3517" s="128">
        <v>6366.0</v>
      </c>
      <c r="J3517" s="128">
        <v>668.27</v>
      </c>
      <c r="K3517" s="128">
        <v>502.54</v>
      </c>
      <c r="L3517" s="128">
        <v>4254207.0</v>
      </c>
      <c r="M3517" s="128">
        <v>3199170.0</v>
      </c>
      <c r="N3517" s="128">
        <v>1055037.0</v>
      </c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</row>
    <row r="3518">
      <c r="A3518" s="125" t="s">
        <v>475</v>
      </c>
      <c r="B3518" s="125" t="s">
        <v>513</v>
      </c>
      <c r="C3518" s="125" t="s">
        <v>514</v>
      </c>
      <c r="D3518" s="125" t="s">
        <v>454</v>
      </c>
      <c r="E3518" s="125" t="s">
        <v>189</v>
      </c>
      <c r="F3518" s="126">
        <v>41111.0</v>
      </c>
      <c r="G3518" s="127">
        <v>8.02E8</v>
      </c>
      <c r="H3518" s="126">
        <v>41119.0</v>
      </c>
      <c r="I3518" s="128">
        <v>3044.0</v>
      </c>
      <c r="J3518" s="128">
        <v>668.27</v>
      </c>
      <c r="K3518" s="128">
        <v>502.54</v>
      </c>
      <c r="L3518" s="128">
        <v>2034214.0</v>
      </c>
      <c r="M3518" s="128">
        <v>1529732.0</v>
      </c>
      <c r="N3518" s="128">
        <v>504482.1</v>
      </c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</row>
    <row r="3519">
      <c r="A3519" s="125" t="s">
        <v>475</v>
      </c>
      <c r="B3519" s="125" t="s">
        <v>558</v>
      </c>
      <c r="C3519" s="125" t="s">
        <v>478</v>
      </c>
      <c r="D3519" s="125" t="s">
        <v>457</v>
      </c>
      <c r="E3519" s="125" t="s">
        <v>189</v>
      </c>
      <c r="F3519" s="126">
        <v>40810.0</v>
      </c>
      <c r="G3519" s="127">
        <v>9.23E8</v>
      </c>
      <c r="H3519" s="126">
        <v>40852.0</v>
      </c>
      <c r="I3519" s="128">
        <v>5372.0</v>
      </c>
      <c r="J3519" s="128">
        <v>651.21</v>
      </c>
      <c r="K3519" s="128">
        <v>524.96</v>
      </c>
      <c r="L3519" s="128">
        <v>3498300.0</v>
      </c>
      <c r="M3519" s="128">
        <v>2820085.0</v>
      </c>
      <c r="N3519" s="128">
        <v>678215.0</v>
      </c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</row>
    <row r="3520">
      <c r="A3520" s="125" t="s">
        <v>475</v>
      </c>
      <c r="B3520" s="125" t="s">
        <v>521</v>
      </c>
      <c r="C3520" s="125" t="s">
        <v>463</v>
      </c>
      <c r="D3520" s="125" t="s">
        <v>457</v>
      </c>
      <c r="E3520" s="125" t="s">
        <v>284</v>
      </c>
      <c r="F3520" s="126">
        <v>40761.0</v>
      </c>
      <c r="G3520" s="127">
        <v>5.85E8</v>
      </c>
      <c r="H3520" s="126">
        <v>40799.0</v>
      </c>
      <c r="I3520" s="128">
        <v>9761.0</v>
      </c>
      <c r="J3520" s="128">
        <v>205.7</v>
      </c>
      <c r="K3520" s="128">
        <v>117.11</v>
      </c>
      <c r="L3520" s="128">
        <v>2007838.0</v>
      </c>
      <c r="M3520" s="128">
        <v>1143111.0</v>
      </c>
      <c r="N3520" s="128">
        <v>864727.0</v>
      </c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</row>
    <row r="3521">
      <c r="A3521" s="125" t="s">
        <v>458</v>
      </c>
      <c r="B3521" s="125" t="s">
        <v>613</v>
      </c>
      <c r="C3521" s="125" t="s">
        <v>456</v>
      </c>
      <c r="D3521" s="125" t="s">
        <v>454</v>
      </c>
      <c r="E3521" s="125" t="s">
        <v>464</v>
      </c>
      <c r="F3521" s="126">
        <v>42927.0</v>
      </c>
      <c r="G3521" s="127">
        <v>1.25E8</v>
      </c>
      <c r="H3521" s="126">
        <v>42940.0</v>
      </c>
      <c r="I3521" s="128">
        <v>9653.0</v>
      </c>
      <c r="J3521" s="128">
        <v>152.58</v>
      </c>
      <c r="K3521" s="128">
        <v>97.44</v>
      </c>
      <c r="L3521" s="128">
        <v>1472855.0</v>
      </c>
      <c r="M3521" s="128">
        <v>940588.3</v>
      </c>
      <c r="N3521" s="128">
        <v>532266.4</v>
      </c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</row>
    <row r="3522">
      <c r="A3522" s="125" t="s">
        <v>458</v>
      </c>
      <c r="B3522" s="125" t="s">
        <v>631</v>
      </c>
      <c r="C3522" s="125" t="s">
        <v>468</v>
      </c>
      <c r="D3522" s="125" t="s">
        <v>457</v>
      </c>
      <c r="E3522" s="125" t="s">
        <v>189</v>
      </c>
      <c r="F3522" s="126">
        <v>41362.0</v>
      </c>
      <c r="G3522" s="127">
        <v>3.97E8</v>
      </c>
      <c r="H3522" s="126">
        <v>41364.0</v>
      </c>
      <c r="I3522" s="128">
        <v>523.0</v>
      </c>
      <c r="J3522" s="128">
        <v>81.73</v>
      </c>
      <c r="K3522" s="128">
        <v>56.67</v>
      </c>
      <c r="L3522" s="128">
        <v>42744.79</v>
      </c>
      <c r="M3522" s="128">
        <v>29638.41</v>
      </c>
      <c r="N3522" s="128">
        <v>13106.38</v>
      </c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</row>
    <row r="3523">
      <c r="A3523" s="125" t="s">
        <v>466</v>
      </c>
      <c r="B3523" s="125" t="s">
        <v>658</v>
      </c>
      <c r="C3523" s="125" t="s">
        <v>485</v>
      </c>
      <c r="D3523" s="125" t="s">
        <v>457</v>
      </c>
      <c r="E3523" s="125" t="s">
        <v>464</v>
      </c>
      <c r="F3523" s="126">
        <v>40189.0</v>
      </c>
      <c r="G3523" s="127">
        <v>5.25E8</v>
      </c>
      <c r="H3523" s="126">
        <v>40215.0</v>
      </c>
      <c r="I3523" s="128">
        <v>4876.0</v>
      </c>
      <c r="J3523" s="128">
        <v>421.89</v>
      </c>
      <c r="K3523" s="128">
        <v>364.69</v>
      </c>
      <c r="L3523" s="128">
        <v>2057136.0</v>
      </c>
      <c r="M3523" s="128">
        <v>1778228.0</v>
      </c>
      <c r="N3523" s="128">
        <v>278907.2</v>
      </c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</row>
    <row r="3524">
      <c r="A3524" s="125" t="s">
        <v>469</v>
      </c>
      <c r="B3524" s="125" t="s">
        <v>617</v>
      </c>
      <c r="C3524" s="125" t="s">
        <v>480</v>
      </c>
      <c r="D3524" s="125" t="s">
        <v>454</v>
      </c>
      <c r="E3524" s="125" t="s">
        <v>284</v>
      </c>
      <c r="F3524" s="126">
        <v>41153.0</v>
      </c>
      <c r="G3524" s="127">
        <v>1.55E8</v>
      </c>
      <c r="H3524" s="126">
        <v>41170.0</v>
      </c>
      <c r="I3524" s="128">
        <v>7246.0</v>
      </c>
      <c r="J3524" s="128">
        <v>437.2</v>
      </c>
      <c r="K3524" s="128">
        <v>263.33</v>
      </c>
      <c r="L3524" s="128">
        <v>3167951.0</v>
      </c>
      <c r="M3524" s="128">
        <v>1908089.0</v>
      </c>
      <c r="N3524" s="128">
        <v>1259862.0</v>
      </c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</row>
    <row r="3525">
      <c r="A3525" s="125" t="s">
        <v>451</v>
      </c>
      <c r="B3525" s="125" t="s">
        <v>646</v>
      </c>
      <c r="C3525" s="125" t="s">
        <v>468</v>
      </c>
      <c r="D3525" s="125" t="s">
        <v>457</v>
      </c>
      <c r="E3525" s="125" t="s">
        <v>189</v>
      </c>
      <c r="F3525" s="126">
        <v>42242.0</v>
      </c>
      <c r="G3525" s="127">
        <v>8.03E8</v>
      </c>
      <c r="H3525" s="126">
        <v>42291.0</v>
      </c>
      <c r="I3525" s="128">
        <v>9202.0</v>
      </c>
      <c r="J3525" s="128">
        <v>81.73</v>
      </c>
      <c r="K3525" s="128">
        <v>56.67</v>
      </c>
      <c r="L3525" s="128">
        <v>752079.5</v>
      </c>
      <c r="M3525" s="128">
        <v>521477.3</v>
      </c>
      <c r="N3525" s="128">
        <v>230602.1</v>
      </c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</row>
    <row r="3526">
      <c r="A3526" s="125" t="s">
        <v>466</v>
      </c>
      <c r="B3526" s="125" t="s">
        <v>607</v>
      </c>
      <c r="C3526" s="125" t="s">
        <v>478</v>
      </c>
      <c r="D3526" s="125" t="s">
        <v>457</v>
      </c>
      <c r="E3526" s="125" t="s">
        <v>472</v>
      </c>
      <c r="F3526" s="126">
        <v>41830.0</v>
      </c>
      <c r="G3526" s="127">
        <v>9.05E8</v>
      </c>
      <c r="H3526" s="126">
        <v>41837.0</v>
      </c>
      <c r="I3526" s="128">
        <v>4343.0</v>
      </c>
      <c r="J3526" s="128">
        <v>651.21</v>
      </c>
      <c r="K3526" s="128">
        <v>524.96</v>
      </c>
      <c r="L3526" s="128">
        <v>2828205.0</v>
      </c>
      <c r="M3526" s="128">
        <v>2279901.0</v>
      </c>
      <c r="N3526" s="128">
        <v>548303.8</v>
      </c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</row>
    <row r="3527">
      <c r="A3527" s="125" t="s">
        <v>466</v>
      </c>
      <c r="B3527" s="125" t="s">
        <v>474</v>
      </c>
      <c r="C3527" s="125" t="s">
        <v>506</v>
      </c>
      <c r="D3527" s="125" t="s">
        <v>457</v>
      </c>
      <c r="E3527" s="125" t="s">
        <v>189</v>
      </c>
      <c r="F3527" s="126">
        <v>42831.0</v>
      </c>
      <c r="G3527" s="127">
        <v>7.67E8</v>
      </c>
      <c r="H3527" s="126">
        <v>42846.0</v>
      </c>
      <c r="I3527" s="128">
        <v>3298.0</v>
      </c>
      <c r="J3527" s="128">
        <v>154.06</v>
      </c>
      <c r="K3527" s="128">
        <v>90.93</v>
      </c>
      <c r="L3527" s="128">
        <v>508089.9</v>
      </c>
      <c r="M3527" s="128">
        <v>299887.1</v>
      </c>
      <c r="N3527" s="128">
        <v>208202.7</v>
      </c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</row>
    <row r="3528">
      <c r="A3528" s="125" t="s">
        <v>475</v>
      </c>
      <c r="B3528" s="125" t="s">
        <v>575</v>
      </c>
      <c r="C3528" s="125" t="s">
        <v>471</v>
      </c>
      <c r="D3528" s="125" t="s">
        <v>454</v>
      </c>
      <c r="E3528" s="125" t="s">
        <v>472</v>
      </c>
      <c r="F3528" s="126">
        <v>40249.0</v>
      </c>
      <c r="G3528" s="127">
        <v>3.15E8</v>
      </c>
      <c r="H3528" s="126">
        <v>40260.0</v>
      </c>
      <c r="I3528" s="128">
        <v>8728.0</v>
      </c>
      <c r="J3528" s="128">
        <v>109.28</v>
      </c>
      <c r="K3528" s="128">
        <v>35.84</v>
      </c>
      <c r="L3528" s="128">
        <v>953795.8</v>
      </c>
      <c r="M3528" s="128">
        <v>312811.5</v>
      </c>
      <c r="N3528" s="128">
        <v>640984.3</v>
      </c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</row>
    <row r="3529">
      <c r="A3529" s="125" t="s">
        <v>475</v>
      </c>
      <c r="B3529" s="125" t="s">
        <v>585</v>
      </c>
      <c r="C3529" s="125" t="s">
        <v>506</v>
      </c>
      <c r="D3529" s="125" t="s">
        <v>457</v>
      </c>
      <c r="E3529" s="125" t="s">
        <v>464</v>
      </c>
      <c r="F3529" s="126">
        <v>41925.0</v>
      </c>
      <c r="G3529" s="127">
        <v>4.47E8</v>
      </c>
      <c r="H3529" s="126">
        <v>41944.0</v>
      </c>
      <c r="I3529" s="128">
        <v>326.0</v>
      </c>
      <c r="J3529" s="128">
        <v>154.06</v>
      </c>
      <c r="K3529" s="128">
        <v>90.93</v>
      </c>
      <c r="L3529" s="128">
        <v>50223.56</v>
      </c>
      <c r="M3529" s="128">
        <v>29643.18</v>
      </c>
      <c r="N3529" s="128">
        <v>20580.38</v>
      </c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</row>
    <row r="3530">
      <c r="A3530" s="125" t="s">
        <v>475</v>
      </c>
      <c r="B3530" s="125" t="s">
        <v>636</v>
      </c>
      <c r="C3530" s="125" t="s">
        <v>506</v>
      </c>
      <c r="D3530" s="125" t="s">
        <v>454</v>
      </c>
      <c r="E3530" s="125" t="s">
        <v>284</v>
      </c>
      <c r="F3530" s="126">
        <v>42256.0</v>
      </c>
      <c r="G3530" s="127">
        <v>7.8E8</v>
      </c>
      <c r="H3530" s="126">
        <v>42286.0</v>
      </c>
      <c r="I3530" s="128">
        <v>9816.0</v>
      </c>
      <c r="J3530" s="128">
        <v>154.06</v>
      </c>
      <c r="K3530" s="128">
        <v>90.93</v>
      </c>
      <c r="L3530" s="128">
        <v>1512253.0</v>
      </c>
      <c r="M3530" s="128">
        <v>892568.9</v>
      </c>
      <c r="N3530" s="128">
        <v>619684.1</v>
      </c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</row>
    <row r="3531">
      <c r="A3531" s="125" t="s">
        <v>475</v>
      </c>
      <c r="B3531" s="125" t="s">
        <v>570</v>
      </c>
      <c r="C3531" s="125" t="s">
        <v>480</v>
      </c>
      <c r="D3531" s="125" t="s">
        <v>454</v>
      </c>
      <c r="E3531" s="125" t="s">
        <v>189</v>
      </c>
      <c r="F3531" s="126">
        <v>40180.0</v>
      </c>
      <c r="G3531" s="127">
        <v>1.01E8</v>
      </c>
      <c r="H3531" s="126">
        <v>40198.0</v>
      </c>
      <c r="I3531" s="128">
        <v>5951.0</v>
      </c>
      <c r="J3531" s="128">
        <v>437.2</v>
      </c>
      <c r="K3531" s="128">
        <v>263.33</v>
      </c>
      <c r="L3531" s="128">
        <v>2601777.0</v>
      </c>
      <c r="M3531" s="128">
        <v>1567077.0</v>
      </c>
      <c r="N3531" s="128">
        <v>1034700.0</v>
      </c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</row>
    <row r="3532">
      <c r="A3532" s="125" t="s">
        <v>451</v>
      </c>
      <c r="B3532" s="125" t="s">
        <v>499</v>
      </c>
      <c r="C3532" s="125" t="s">
        <v>453</v>
      </c>
      <c r="D3532" s="125" t="s">
        <v>457</v>
      </c>
      <c r="E3532" s="125" t="s">
        <v>189</v>
      </c>
      <c r="F3532" s="126">
        <v>40556.0</v>
      </c>
      <c r="G3532" s="127">
        <v>4.18E8</v>
      </c>
      <c r="H3532" s="126">
        <v>40583.0</v>
      </c>
      <c r="I3532" s="128">
        <v>9519.0</v>
      </c>
      <c r="J3532" s="128">
        <v>255.28</v>
      </c>
      <c r="K3532" s="128">
        <v>159.42</v>
      </c>
      <c r="L3532" s="128">
        <v>2430010.0</v>
      </c>
      <c r="M3532" s="128">
        <v>1517519.0</v>
      </c>
      <c r="N3532" s="128">
        <v>912491.3</v>
      </c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</row>
    <row r="3533">
      <c r="A3533" s="125" t="s">
        <v>458</v>
      </c>
      <c r="B3533" s="125" t="s">
        <v>509</v>
      </c>
      <c r="C3533" s="125" t="s">
        <v>480</v>
      </c>
      <c r="D3533" s="125" t="s">
        <v>457</v>
      </c>
      <c r="E3533" s="125" t="s">
        <v>189</v>
      </c>
      <c r="F3533" s="126">
        <v>41716.0</v>
      </c>
      <c r="G3533" s="127">
        <v>2.09E8</v>
      </c>
      <c r="H3533" s="126">
        <v>41749.0</v>
      </c>
      <c r="I3533" s="128">
        <v>8337.0</v>
      </c>
      <c r="J3533" s="128">
        <v>437.2</v>
      </c>
      <c r="K3533" s="128">
        <v>263.33</v>
      </c>
      <c r="L3533" s="128">
        <v>3644936.0</v>
      </c>
      <c r="M3533" s="128">
        <v>2195382.0</v>
      </c>
      <c r="N3533" s="128">
        <v>1449554.0</v>
      </c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</row>
    <row r="3534">
      <c r="A3534" s="125" t="s">
        <v>475</v>
      </c>
      <c r="B3534" s="125" t="s">
        <v>507</v>
      </c>
      <c r="C3534" s="125" t="s">
        <v>485</v>
      </c>
      <c r="D3534" s="125" t="s">
        <v>454</v>
      </c>
      <c r="E3534" s="125" t="s">
        <v>472</v>
      </c>
      <c r="F3534" s="126">
        <v>42380.0</v>
      </c>
      <c r="G3534" s="127">
        <v>2.74E8</v>
      </c>
      <c r="H3534" s="126">
        <v>42408.0</v>
      </c>
      <c r="I3534" s="128">
        <v>2254.0</v>
      </c>
      <c r="J3534" s="128">
        <v>421.89</v>
      </c>
      <c r="K3534" s="128">
        <v>364.69</v>
      </c>
      <c r="L3534" s="128">
        <v>950940.1</v>
      </c>
      <c r="M3534" s="128">
        <v>822011.3</v>
      </c>
      <c r="N3534" s="128">
        <v>128928.8</v>
      </c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</row>
    <row r="3535">
      <c r="A3535" s="125" t="s">
        <v>451</v>
      </c>
      <c r="B3535" s="125" t="s">
        <v>593</v>
      </c>
      <c r="C3535" s="125" t="s">
        <v>494</v>
      </c>
      <c r="D3535" s="125" t="s">
        <v>454</v>
      </c>
      <c r="E3535" s="125" t="s">
        <v>284</v>
      </c>
      <c r="F3535" s="126">
        <v>40275.0</v>
      </c>
      <c r="G3535" s="127">
        <v>5.8E8</v>
      </c>
      <c r="H3535" s="126">
        <v>40319.0</v>
      </c>
      <c r="I3535" s="128">
        <v>8148.0</v>
      </c>
      <c r="J3535" s="128">
        <v>9.33</v>
      </c>
      <c r="K3535" s="128">
        <v>6.92</v>
      </c>
      <c r="L3535" s="128">
        <v>76020.84</v>
      </c>
      <c r="M3535" s="128">
        <v>56384.16</v>
      </c>
      <c r="N3535" s="128">
        <v>19636.68</v>
      </c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</row>
    <row r="3536">
      <c r="A3536" s="125" t="s">
        <v>475</v>
      </c>
      <c r="B3536" s="125" t="s">
        <v>513</v>
      </c>
      <c r="C3536" s="125" t="s">
        <v>494</v>
      </c>
      <c r="D3536" s="125" t="s">
        <v>457</v>
      </c>
      <c r="E3536" s="125" t="s">
        <v>472</v>
      </c>
      <c r="F3536" s="126">
        <v>41815.0</v>
      </c>
      <c r="G3536" s="127">
        <v>7.17E8</v>
      </c>
      <c r="H3536" s="126">
        <v>41837.0</v>
      </c>
      <c r="I3536" s="128">
        <v>4932.0</v>
      </c>
      <c r="J3536" s="128">
        <v>9.33</v>
      </c>
      <c r="K3536" s="128">
        <v>6.92</v>
      </c>
      <c r="L3536" s="128">
        <v>46015.56</v>
      </c>
      <c r="M3536" s="128">
        <v>34129.44</v>
      </c>
      <c r="N3536" s="128">
        <v>11886.12</v>
      </c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</row>
    <row r="3537">
      <c r="A3537" s="125" t="s">
        <v>461</v>
      </c>
      <c r="B3537" s="125" t="s">
        <v>511</v>
      </c>
      <c r="C3537" s="125" t="s">
        <v>506</v>
      </c>
      <c r="D3537" s="125" t="s">
        <v>457</v>
      </c>
      <c r="E3537" s="125" t="s">
        <v>189</v>
      </c>
      <c r="F3537" s="126">
        <v>41357.0</v>
      </c>
      <c r="G3537" s="127">
        <v>3.44E8</v>
      </c>
      <c r="H3537" s="126">
        <v>41403.0</v>
      </c>
      <c r="I3537" s="128">
        <v>8548.0</v>
      </c>
      <c r="J3537" s="128">
        <v>154.06</v>
      </c>
      <c r="K3537" s="128">
        <v>90.93</v>
      </c>
      <c r="L3537" s="128">
        <v>1316905.0</v>
      </c>
      <c r="M3537" s="128">
        <v>777269.6</v>
      </c>
      <c r="N3537" s="128">
        <v>539635.2</v>
      </c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</row>
    <row r="3538">
      <c r="A3538" s="125" t="s">
        <v>461</v>
      </c>
      <c r="B3538" s="125" t="s">
        <v>638</v>
      </c>
      <c r="C3538" s="125" t="s">
        <v>494</v>
      </c>
      <c r="D3538" s="125" t="s">
        <v>457</v>
      </c>
      <c r="E3538" s="125" t="s">
        <v>189</v>
      </c>
      <c r="F3538" s="126">
        <v>41942.0</v>
      </c>
      <c r="G3538" s="127">
        <v>5.41E8</v>
      </c>
      <c r="H3538" s="126">
        <v>41952.0</v>
      </c>
      <c r="I3538" s="128">
        <v>6969.0</v>
      </c>
      <c r="J3538" s="128">
        <v>9.33</v>
      </c>
      <c r="K3538" s="128">
        <v>6.92</v>
      </c>
      <c r="L3538" s="128">
        <v>65020.77</v>
      </c>
      <c r="M3538" s="128">
        <v>48225.48</v>
      </c>
      <c r="N3538" s="128">
        <v>16795.29</v>
      </c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</row>
    <row r="3539">
      <c r="A3539" s="125" t="s">
        <v>461</v>
      </c>
      <c r="B3539" s="125" t="s">
        <v>556</v>
      </c>
      <c r="C3539" s="125" t="s">
        <v>456</v>
      </c>
      <c r="D3539" s="125" t="s">
        <v>454</v>
      </c>
      <c r="E3539" s="125" t="s">
        <v>284</v>
      </c>
      <c r="F3539" s="126">
        <v>42855.0</v>
      </c>
      <c r="G3539" s="127">
        <v>6.58E8</v>
      </c>
      <c r="H3539" s="126">
        <v>42903.0</v>
      </c>
      <c r="I3539" s="128">
        <v>5201.0</v>
      </c>
      <c r="J3539" s="128">
        <v>152.58</v>
      </c>
      <c r="K3539" s="128">
        <v>97.44</v>
      </c>
      <c r="L3539" s="128">
        <v>793568.6</v>
      </c>
      <c r="M3539" s="128">
        <v>506785.4</v>
      </c>
      <c r="N3539" s="128">
        <v>286783.1</v>
      </c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</row>
    <row r="3540">
      <c r="A3540" s="125" t="s">
        <v>475</v>
      </c>
      <c r="B3540" s="125" t="s">
        <v>570</v>
      </c>
      <c r="C3540" s="125" t="s">
        <v>468</v>
      </c>
      <c r="D3540" s="125" t="s">
        <v>457</v>
      </c>
      <c r="E3540" s="125" t="s">
        <v>189</v>
      </c>
      <c r="F3540" s="126">
        <v>41000.0</v>
      </c>
      <c r="G3540" s="127">
        <v>5.65E8</v>
      </c>
      <c r="H3540" s="126">
        <v>41005.0</v>
      </c>
      <c r="I3540" s="128">
        <v>279.0</v>
      </c>
      <c r="J3540" s="128">
        <v>81.73</v>
      </c>
      <c r="K3540" s="128">
        <v>56.67</v>
      </c>
      <c r="L3540" s="128">
        <v>22802.67</v>
      </c>
      <c r="M3540" s="128">
        <v>15810.93</v>
      </c>
      <c r="N3540" s="128">
        <v>6991.74</v>
      </c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</row>
    <row r="3541">
      <c r="A3541" s="125" t="s">
        <v>475</v>
      </c>
      <c r="B3541" s="125" t="s">
        <v>528</v>
      </c>
      <c r="C3541" s="125" t="s">
        <v>463</v>
      </c>
      <c r="D3541" s="125" t="s">
        <v>457</v>
      </c>
      <c r="E3541" s="125" t="s">
        <v>284</v>
      </c>
      <c r="F3541" s="126">
        <v>40587.0</v>
      </c>
      <c r="G3541" s="127">
        <v>2.04E8</v>
      </c>
      <c r="H3541" s="126">
        <v>40605.0</v>
      </c>
      <c r="I3541" s="128">
        <v>6271.0</v>
      </c>
      <c r="J3541" s="128">
        <v>205.7</v>
      </c>
      <c r="K3541" s="128">
        <v>117.11</v>
      </c>
      <c r="L3541" s="128">
        <v>1289945.0</v>
      </c>
      <c r="M3541" s="128">
        <v>734396.8</v>
      </c>
      <c r="N3541" s="128">
        <v>555547.9</v>
      </c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</row>
    <row r="3542">
      <c r="A3542" s="125" t="s">
        <v>458</v>
      </c>
      <c r="B3542" s="125" t="s">
        <v>509</v>
      </c>
      <c r="C3542" s="125" t="s">
        <v>471</v>
      </c>
      <c r="D3542" s="125" t="s">
        <v>457</v>
      </c>
      <c r="E3542" s="125" t="s">
        <v>189</v>
      </c>
      <c r="F3542" s="126">
        <v>40684.0</v>
      </c>
      <c r="G3542" s="127">
        <v>9.34E8</v>
      </c>
      <c r="H3542" s="126">
        <v>40718.0</v>
      </c>
      <c r="I3542" s="128">
        <v>9275.0</v>
      </c>
      <c r="J3542" s="128">
        <v>109.28</v>
      </c>
      <c r="K3542" s="128">
        <v>35.84</v>
      </c>
      <c r="L3542" s="128">
        <v>1013572.0</v>
      </c>
      <c r="M3542" s="128">
        <v>332416.0</v>
      </c>
      <c r="N3542" s="128">
        <v>681156.0</v>
      </c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</row>
    <row r="3543">
      <c r="A3543" s="125" t="s">
        <v>458</v>
      </c>
      <c r="B3543" s="125" t="s">
        <v>614</v>
      </c>
      <c r="C3543" s="125" t="s">
        <v>463</v>
      </c>
      <c r="D3543" s="125" t="s">
        <v>454</v>
      </c>
      <c r="E3543" s="125" t="s">
        <v>472</v>
      </c>
      <c r="F3543" s="126">
        <v>42129.0</v>
      </c>
      <c r="G3543" s="127">
        <v>5.88E8</v>
      </c>
      <c r="H3543" s="126">
        <v>42168.0</v>
      </c>
      <c r="I3543" s="128">
        <v>2422.0</v>
      </c>
      <c r="J3543" s="128">
        <v>205.7</v>
      </c>
      <c r="K3543" s="128">
        <v>117.11</v>
      </c>
      <c r="L3543" s="128">
        <v>498205.4</v>
      </c>
      <c r="M3543" s="128">
        <v>283640.4</v>
      </c>
      <c r="N3543" s="128">
        <v>214565.0</v>
      </c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</row>
    <row r="3544">
      <c r="A3544" s="125" t="s">
        <v>461</v>
      </c>
      <c r="B3544" s="125" t="s">
        <v>644</v>
      </c>
      <c r="C3544" s="125" t="s">
        <v>494</v>
      </c>
      <c r="D3544" s="125" t="s">
        <v>454</v>
      </c>
      <c r="E3544" s="125" t="s">
        <v>284</v>
      </c>
      <c r="F3544" s="126">
        <v>40617.0</v>
      </c>
      <c r="G3544" s="127">
        <v>2.16E8</v>
      </c>
      <c r="H3544" s="126">
        <v>40651.0</v>
      </c>
      <c r="I3544" s="128">
        <v>873.0</v>
      </c>
      <c r="J3544" s="128">
        <v>9.33</v>
      </c>
      <c r="K3544" s="128">
        <v>6.92</v>
      </c>
      <c r="L3544" s="128">
        <v>8145.09</v>
      </c>
      <c r="M3544" s="128">
        <v>6041.16</v>
      </c>
      <c r="N3544" s="128">
        <v>2103.93</v>
      </c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</row>
    <row r="3545">
      <c r="A3545" s="125" t="s">
        <v>458</v>
      </c>
      <c r="B3545" s="125" t="s">
        <v>643</v>
      </c>
      <c r="C3545" s="125" t="s">
        <v>468</v>
      </c>
      <c r="D3545" s="125" t="s">
        <v>454</v>
      </c>
      <c r="E3545" s="125" t="s">
        <v>284</v>
      </c>
      <c r="F3545" s="126">
        <v>41915.0</v>
      </c>
      <c r="G3545" s="127">
        <v>9.42E8</v>
      </c>
      <c r="H3545" s="126">
        <v>41921.0</v>
      </c>
      <c r="I3545" s="128">
        <v>6819.0</v>
      </c>
      <c r="J3545" s="128">
        <v>81.73</v>
      </c>
      <c r="K3545" s="128">
        <v>56.67</v>
      </c>
      <c r="L3545" s="128">
        <v>557316.9</v>
      </c>
      <c r="M3545" s="128">
        <v>386432.7</v>
      </c>
      <c r="N3545" s="128">
        <v>170884.1</v>
      </c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</row>
    <row r="3546">
      <c r="A3546" s="125" t="s">
        <v>458</v>
      </c>
      <c r="B3546" s="125" t="s">
        <v>573</v>
      </c>
      <c r="C3546" s="125" t="s">
        <v>480</v>
      </c>
      <c r="D3546" s="125" t="s">
        <v>457</v>
      </c>
      <c r="E3546" s="125" t="s">
        <v>189</v>
      </c>
      <c r="F3546" s="126">
        <v>41112.0</v>
      </c>
      <c r="G3546" s="127">
        <v>8.06E8</v>
      </c>
      <c r="H3546" s="126">
        <v>41118.0</v>
      </c>
      <c r="I3546" s="128">
        <v>4484.0</v>
      </c>
      <c r="J3546" s="128">
        <v>437.2</v>
      </c>
      <c r="K3546" s="128">
        <v>263.33</v>
      </c>
      <c r="L3546" s="128">
        <v>1960405.0</v>
      </c>
      <c r="M3546" s="128">
        <v>1180772.0</v>
      </c>
      <c r="N3546" s="128">
        <v>779633.1</v>
      </c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</row>
    <row r="3547">
      <c r="A3547" s="125" t="s">
        <v>461</v>
      </c>
      <c r="B3547" s="125" t="s">
        <v>578</v>
      </c>
      <c r="C3547" s="125" t="s">
        <v>480</v>
      </c>
      <c r="D3547" s="125" t="s">
        <v>454</v>
      </c>
      <c r="E3547" s="125" t="s">
        <v>472</v>
      </c>
      <c r="F3547" s="126">
        <v>40604.0</v>
      </c>
      <c r="G3547" s="127">
        <v>6.22E8</v>
      </c>
      <c r="H3547" s="126">
        <v>40630.0</v>
      </c>
      <c r="I3547" s="128">
        <v>5124.0</v>
      </c>
      <c r="J3547" s="128">
        <v>437.2</v>
      </c>
      <c r="K3547" s="128">
        <v>263.33</v>
      </c>
      <c r="L3547" s="128">
        <v>2240213.0</v>
      </c>
      <c r="M3547" s="128">
        <v>1349303.0</v>
      </c>
      <c r="N3547" s="128">
        <v>890909.9</v>
      </c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</row>
    <row r="3548">
      <c r="A3548" s="125" t="s">
        <v>475</v>
      </c>
      <c r="B3548" s="125" t="s">
        <v>504</v>
      </c>
      <c r="C3548" s="125" t="s">
        <v>478</v>
      </c>
      <c r="D3548" s="125" t="s">
        <v>454</v>
      </c>
      <c r="E3548" s="125" t="s">
        <v>464</v>
      </c>
      <c r="F3548" s="126">
        <v>40408.0</v>
      </c>
      <c r="G3548" s="127">
        <v>8.23E8</v>
      </c>
      <c r="H3548" s="126">
        <v>40424.0</v>
      </c>
      <c r="I3548" s="128">
        <v>2025.0</v>
      </c>
      <c r="J3548" s="128">
        <v>651.21</v>
      </c>
      <c r="K3548" s="128">
        <v>524.96</v>
      </c>
      <c r="L3548" s="128">
        <v>1318700.0</v>
      </c>
      <c r="M3548" s="128">
        <v>1063044.0</v>
      </c>
      <c r="N3548" s="128">
        <v>255656.3</v>
      </c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</row>
    <row r="3549">
      <c r="A3549" s="125" t="s">
        <v>469</v>
      </c>
      <c r="B3549" s="125" t="s">
        <v>630</v>
      </c>
      <c r="C3549" s="125" t="s">
        <v>463</v>
      </c>
      <c r="D3549" s="125" t="s">
        <v>454</v>
      </c>
      <c r="E3549" s="125" t="s">
        <v>189</v>
      </c>
      <c r="F3549" s="126">
        <v>42314.0</v>
      </c>
      <c r="G3549" s="127">
        <v>1.11E8</v>
      </c>
      <c r="H3549" s="126">
        <v>42332.0</v>
      </c>
      <c r="I3549" s="128">
        <v>5504.0</v>
      </c>
      <c r="J3549" s="128">
        <v>205.7</v>
      </c>
      <c r="K3549" s="128">
        <v>117.11</v>
      </c>
      <c r="L3549" s="128">
        <v>1132173.0</v>
      </c>
      <c r="M3549" s="128">
        <v>644573.4</v>
      </c>
      <c r="N3549" s="128">
        <v>487599.4</v>
      </c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</row>
    <row r="3550">
      <c r="A3550" s="125" t="s">
        <v>469</v>
      </c>
      <c r="B3550" s="125" t="s">
        <v>647</v>
      </c>
      <c r="C3550" s="125" t="s">
        <v>471</v>
      </c>
      <c r="D3550" s="125" t="s">
        <v>457</v>
      </c>
      <c r="E3550" s="125" t="s">
        <v>472</v>
      </c>
      <c r="F3550" s="126">
        <v>40202.0</v>
      </c>
      <c r="G3550" s="127">
        <v>4.1E8</v>
      </c>
      <c r="H3550" s="126">
        <v>40239.0</v>
      </c>
      <c r="I3550" s="128">
        <v>7909.0</v>
      </c>
      <c r="J3550" s="128">
        <v>109.28</v>
      </c>
      <c r="K3550" s="128">
        <v>35.84</v>
      </c>
      <c r="L3550" s="128">
        <v>864295.5</v>
      </c>
      <c r="M3550" s="128">
        <v>283458.6</v>
      </c>
      <c r="N3550" s="128">
        <v>580837.0</v>
      </c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</row>
    <row r="3551">
      <c r="A3551" s="125" t="s">
        <v>451</v>
      </c>
      <c r="B3551" s="125" t="s">
        <v>593</v>
      </c>
      <c r="C3551" s="125" t="s">
        <v>506</v>
      </c>
      <c r="D3551" s="125" t="s">
        <v>457</v>
      </c>
      <c r="E3551" s="125" t="s">
        <v>464</v>
      </c>
      <c r="F3551" s="126">
        <v>40788.0</v>
      </c>
      <c r="G3551" s="127">
        <v>1.14E8</v>
      </c>
      <c r="H3551" s="126">
        <v>40803.0</v>
      </c>
      <c r="I3551" s="128">
        <v>8620.0</v>
      </c>
      <c r="J3551" s="128">
        <v>154.06</v>
      </c>
      <c r="K3551" s="128">
        <v>90.93</v>
      </c>
      <c r="L3551" s="128">
        <v>1327997.0</v>
      </c>
      <c r="M3551" s="128">
        <v>783816.6</v>
      </c>
      <c r="N3551" s="128">
        <v>544180.6</v>
      </c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</row>
    <row r="3552">
      <c r="A3552" s="125" t="s">
        <v>451</v>
      </c>
      <c r="B3552" s="125" t="s">
        <v>609</v>
      </c>
      <c r="C3552" s="125" t="s">
        <v>485</v>
      </c>
      <c r="D3552" s="125" t="s">
        <v>454</v>
      </c>
      <c r="E3552" s="125" t="s">
        <v>284</v>
      </c>
      <c r="F3552" s="126">
        <v>42880.0</v>
      </c>
      <c r="G3552" s="127">
        <v>8.38E8</v>
      </c>
      <c r="H3552" s="126">
        <v>42888.0</v>
      </c>
      <c r="I3552" s="128">
        <v>9049.0</v>
      </c>
      <c r="J3552" s="128">
        <v>421.89</v>
      </c>
      <c r="K3552" s="128">
        <v>364.69</v>
      </c>
      <c r="L3552" s="128">
        <v>3817683.0</v>
      </c>
      <c r="M3552" s="128">
        <v>3300080.0</v>
      </c>
      <c r="N3552" s="128">
        <v>517602.8</v>
      </c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</row>
    <row r="3553">
      <c r="A3553" s="125" t="s">
        <v>461</v>
      </c>
      <c r="B3553" s="125" t="s">
        <v>576</v>
      </c>
      <c r="C3553" s="125" t="s">
        <v>456</v>
      </c>
      <c r="D3553" s="125" t="s">
        <v>457</v>
      </c>
      <c r="E3553" s="125" t="s">
        <v>464</v>
      </c>
      <c r="F3553" s="126">
        <v>41525.0</v>
      </c>
      <c r="G3553" s="127">
        <v>6.65E8</v>
      </c>
      <c r="H3553" s="126">
        <v>41536.0</v>
      </c>
      <c r="I3553" s="128">
        <v>7638.0</v>
      </c>
      <c r="J3553" s="128">
        <v>152.58</v>
      </c>
      <c r="K3553" s="128">
        <v>97.44</v>
      </c>
      <c r="L3553" s="128">
        <v>1165406.0</v>
      </c>
      <c r="M3553" s="128">
        <v>744246.7</v>
      </c>
      <c r="N3553" s="128">
        <v>421159.3</v>
      </c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</row>
    <row r="3554">
      <c r="A3554" s="125" t="s">
        <v>475</v>
      </c>
      <c r="B3554" s="125" t="s">
        <v>570</v>
      </c>
      <c r="C3554" s="125" t="s">
        <v>471</v>
      </c>
      <c r="D3554" s="125" t="s">
        <v>454</v>
      </c>
      <c r="E3554" s="125" t="s">
        <v>284</v>
      </c>
      <c r="F3554" s="126">
        <v>40458.0</v>
      </c>
      <c r="G3554" s="127">
        <v>9.0E8</v>
      </c>
      <c r="H3554" s="126">
        <v>40490.0</v>
      </c>
      <c r="I3554" s="128">
        <v>4861.0</v>
      </c>
      <c r="J3554" s="128">
        <v>109.28</v>
      </c>
      <c r="K3554" s="128">
        <v>35.84</v>
      </c>
      <c r="L3554" s="128">
        <v>531210.1</v>
      </c>
      <c r="M3554" s="128">
        <v>174218.2</v>
      </c>
      <c r="N3554" s="128">
        <v>356991.8</v>
      </c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</row>
    <row r="3555">
      <c r="A3555" s="125" t="s">
        <v>458</v>
      </c>
      <c r="B3555" s="125" t="s">
        <v>493</v>
      </c>
      <c r="C3555" s="125" t="s">
        <v>460</v>
      </c>
      <c r="D3555" s="125" t="s">
        <v>457</v>
      </c>
      <c r="E3555" s="125" t="s">
        <v>464</v>
      </c>
      <c r="F3555" s="126">
        <v>42419.0</v>
      </c>
      <c r="G3555" s="127">
        <v>2.18E8</v>
      </c>
      <c r="H3555" s="126">
        <v>42434.0</v>
      </c>
      <c r="I3555" s="128">
        <v>8222.0</v>
      </c>
      <c r="J3555" s="128">
        <v>47.45</v>
      </c>
      <c r="K3555" s="128">
        <v>31.79</v>
      </c>
      <c r="L3555" s="128">
        <v>390133.9</v>
      </c>
      <c r="M3555" s="128">
        <v>261377.4</v>
      </c>
      <c r="N3555" s="128">
        <v>128756.5</v>
      </c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</row>
    <row r="3556">
      <c r="A3556" s="125" t="s">
        <v>475</v>
      </c>
      <c r="B3556" s="125" t="s">
        <v>604</v>
      </c>
      <c r="C3556" s="125" t="s">
        <v>485</v>
      </c>
      <c r="D3556" s="125" t="s">
        <v>454</v>
      </c>
      <c r="E3556" s="125" t="s">
        <v>464</v>
      </c>
      <c r="F3556" s="126">
        <v>42240.0</v>
      </c>
      <c r="G3556" s="127">
        <v>5.15E8</v>
      </c>
      <c r="H3556" s="126">
        <v>42260.0</v>
      </c>
      <c r="I3556" s="128">
        <v>7257.0</v>
      </c>
      <c r="J3556" s="128">
        <v>421.89</v>
      </c>
      <c r="K3556" s="128">
        <v>364.69</v>
      </c>
      <c r="L3556" s="128">
        <v>3061656.0</v>
      </c>
      <c r="M3556" s="128">
        <v>2646555.0</v>
      </c>
      <c r="N3556" s="128">
        <v>415100.4</v>
      </c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</row>
    <row r="3557">
      <c r="A3557" s="125" t="s">
        <v>469</v>
      </c>
      <c r="B3557" s="125" t="s">
        <v>569</v>
      </c>
      <c r="C3557" s="125" t="s">
        <v>460</v>
      </c>
      <c r="D3557" s="125" t="s">
        <v>454</v>
      </c>
      <c r="E3557" s="125" t="s">
        <v>189</v>
      </c>
      <c r="F3557" s="126">
        <v>42055.0</v>
      </c>
      <c r="G3557" s="127">
        <v>1.56E8</v>
      </c>
      <c r="H3557" s="126">
        <v>42100.0</v>
      </c>
      <c r="I3557" s="128">
        <v>8535.0</v>
      </c>
      <c r="J3557" s="128">
        <v>47.45</v>
      </c>
      <c r="K3557" s="128">
        <v>31.79</v>
      </c>
      <c r="L3557" s="128">
        <v>404985.8</v>
      </c>
      <c r="M3557" s="128">
        <v>271327.7</v>
      </c>
      <c r="N3557" s="128">
        <v>133658.1</v>
      </c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</row>
    <row r="3558">
      <c r="A3558" s="125" t="s">
        <v>458</v>
      </c>
      <c r="B3558" s="125" t="s">
        <v>626</v>
      </c>
      <c r="C3558" s="125" t="s">
        <v>506</v>
      </c>
      <c r="D3558" s="125" t="s">
        <v>457</v>
      </c>
      <c r="E3558" s="125" t="s">
        <v>464</v>
      </c>
      <c r="F3558" s="126">
        <v>41623.0</v>
      </c>
      <c r="G3558" s="127">
        <v>7.27E8</v>
      </c>
      <c r="H3558" s="126">
        <v>41673.0</v>
      </c>
      <c r="I3558" s="128">
        <v>653.0</v>
      </c>
      <c r="J3558" s="128">
        <v>154.06</v>
      </c>
      <c r="K3558" s="128">
        <v>90.93</v>
      </c>
      <c r="L3558" s="128">
        <v>100601.2</v>
      </c>
      <c r="M3558" s="128">
        <v>59377.29</v>
      </c>
      <c r="N3558" s="128">
        <v>41223.89</v>
      </c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</row>
    <row r="3559">
      <c r="A3559" s="125" t="s">
        <v>451</v>
      </c>
      <c r="B3559" s="125" t="s">
        <v>482</v>
      </c>
      <c r="C3559" s="125" t="s">
        <v>453</v>
      </c>
      <c r="D3559" s="125" t="s">
        <v>454</v>
      </c>
      <c r="E3559" s="125" t="s">
        <v>189</v>
      </c>
      <c r="F3559" s="126">
        <v>42474.0</v>
      </c>
      <c r="G3559" s="127">
        <v>2.85E8</v>
      </c>
      <c r="H3559" s="126">
        <v>42508.0</v>
      </c>
      <c r="I3559" s="128">
        <v>9242.0</v>
      </c>
      <c r="J3559" s="128">
        <v>255.28</v>
      </c>
      <c r="K3559" s="128">
        <v>159.42</v>
      </c>
      <c r="L3559" s="128">
        <v>2359298.0</v>
      </c>
      <c r="M3559" s="128">
        <v>1473360.0</v>
      </c>
      <c r="N3559" s="128">
        <v>885938.1</v>
      </c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</row>
    <row r="3560">
      <c r="A3560" s="125" t="s">
        <v>475</v>
      </c>
      <c r="B3560" s="125" t="s">
        <v>623</v>
      </c>
      <c r="C3560" s="125" t="s">
        <v>471</v>
      </c>
      <c r="D3560" s="125" t="s">
        <v>454</v>
      </c>
      <c r="E3560" s="125" t="s">
        <v>284</v>
      </c>
      <c r="F3560" s="126">
        <v>40996.0</v>
      </c>
      <c r="G3560" s="127">
        <v>1.07E8</v>
      </c>
      <c r="H3560" s="126">
        <v>41004.0</v>
      </c>
      <c r="I3560" s="128">
        <v>1962.0</v>
      </c>
      <c r="J3560" s="128">
        <v>109.28</v>
      </c>
      <c r="K3560" s="128">
        <v>35.84</v>
      </c>
      <c r="L3560" s="128">
        <v>214407.4</v>
      </c>
      <c r="M3560" s="128">
        <v>70318.08</v>
      </c>
      <c r="N3560" s="128">
        <v>144089.3</v>
      </c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</row>
    <row r="3561">
      <c r="A3561" s="125" t="s">
        <v>466</v>
      </c>
      <c r="B3561" s="125" t="s">
        <v>658</v>
      </c>
      <c r="C3561" s="125" t="s">
        <v>471</v>
      </c>
      <c r="D3561" s="125" t="s">
        <v>457</v>
      </c>
      <c r="E3561" s="125" t="s">
        <v>464</v>
      </c>
      <c r="F3561" s="126">
        <v>40879.0</v>
      </c>
      <c r="G3561" s="127">
        <v>6.38E8</v>
      </c>
      <c r="H3561" s="126">
        <v>40905.0</v>
      </c>
      <c r="I3561" s="128">
        <v>3506.0</v>
      </c>
      <c r="J3561" s="128">
        <v>109.28</v>
      </c>
      <c r="K3561" s="128">
        <v>35.84</v>
      </c>
      <c r="L3561" s="128">
        <v>383135.7</v>
      </c>
      <c r="M3561" s="128">
        <v>125655.0</v>
      </c>
      <c r="N3561" s="128">
        <v>257480.6</v>
      </c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</row>
    <row r="3562">
      <c r="A3562" s="125" t="s">
        <v>475</v>
      </c>
      <c r="B3562" s="125" t="s">
        <v>500</v>
      </c>
      <c r="C3562" s="125" t="s">
        <v>456</v>
      </c>
      <c r="D3562" s="125" t="s">
        <v>457</v>
      </c>
      <c r="E3562" s="125" t="s">
        <v>189</v>
      </c>
      <c r="F3562" s="126">
        <v>40671.0</v>
      </c>
      <c r="G3562" s="127">
        <v>1.47E8</v>
      </c>
      <c r="H3562" s="126">
        <v>40720.0</v>
      </c>
      <c r="I3562" s="128">
        <v>598.0</v>
      </c>
      <c r="J3562" s="128">
        <v>152.58</v>
      </c>
      <c r="K3562" s="128">
        <v>97.44</v>
      </c>
      <c r="L3562" s="128">
        <v>91242.84</v>
      </c>
      <c r="M3562" s="128">
        <v>58269.12</v>
      </c>
      <c r="N3562" s="128">
        <v>32973.72</v>
      </c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</row>
    <row r="3563">
      <c r="A3563" s="125" t="s">
        <v>469</v>
      </c>
      <c r="B3563" s="125" t="s">
        <v>617</v>
      </c>
      <c r="C3563" s="125" t="s">
        <v>456</v>
      </c>
      <c r="D3563" s="125" t="s">
        <v>457</v>
      </c>
      <c r="E3563" s="125" t="s">
        <v>464</v>
      </c>
      <c r="F3563" s="126">
        <v>40693.0</v>
      </c>
      <c r="G3563" s="127">
        <v>5.7E8</v>
      </c>
      <c r="H3563" s="126">
        <v>40722.0</v>
      </c>
      <c r="I3563" s="128">
        <v>6993.0</v>
      </c>
      <c r="J3563" s="128">
        <v>152.58</v>
      </c>
      <c r="K3563" s="128">
        <v>97.44</v>
      </c>
      <c r="L3563" s="128">
        <v>1066992.0</v>
      </c>
      <c r="M3563" s="128">
        <v>681397.9</v>
      </c>
      <c r="N3563" s="128">
        <v>385594.0</v>
      </c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</row>
    <row r="3564">
      <c r="A3564" s="125" t="s">
        <v>466</v>
      </c>
      <c r="B3564" s="125" t="s">
        <v>607</v>
      </c>
      <c r="C3564" s="125" t="s">
        <v>478</v>
      </c>
      <c r="D3564" s="125" t="s">
        <v>457</v>
      </c>
      <c r="E3564" s="125" t="s">
        <v>464</v>
      </c>
      <c r="F3564" s="126">
        <v>41654.0</v>
      </c>
      <c r="G3564" s="127">
        <v>7.67E8</v>
      </c>
      <c r="H3564" s="126">
        <v>41686.0</v>
      </c>
      <c r="I3564" s="128">
        <v>8476.0</v>
      </c>
      <c r="J3564" s="128">
        <v>651.21</v>
      </c>
      <c r="K3564" s="128">
        <v>524.96</v>
      </c>
      <c r="L3564" s="128">
        <v>5519656.0</v>
      </c>
      <c r="M3564" s="128">
        <v>4449561.0</v>
      </c>
      <c r="N3564" s="128">
        <v>1070095.0</v>
      </c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</row>
    <row r="3565">
      <c r="A3565" s="125" t="s">
        <v>466</v>
      </c>
      <c r="B3565" s="125" t="s">
        <v>479</v>
      </c>
      <c r="C3565" s="125" t="s">
        <v>478</v>
      </c>
      <c r="D3565" s="125" t="s">
        <v>454</v>
      </c>
      <c r="E3565" s="125" t="s">
        <v>464</v>
      </c>
      <c r="F3565" s="126">
        <v>40503.0</v>
      </c>
      <c r="G3565" s="127">
        <v>5.64E8</v>
      </c>
      <c r="H3565" s="126">
        <v>40514.0</v>
      </c>
      <c r="I3565" s="128">
        <v>7865.0</v>
      </c>
      <c r="J3565" s="128">
        <v>651.21</v>
      </c>
      <c r="K3565" s="128">
        <v>524.96</v>
      </c>
      <c r="L3565" s="128">
        <v>5121767.0</v>
      </c>
      <c r="M3565" s="128">
        <v>4128810.0</v>
      </c>
      <c r="N3565" s="128">
        <v>992956.3</v>
      </c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</row>
    <row r="3566">
      <c r="A3566" s="125" t="s">
        <v>475</v>
      </c>
      <c r="B3566" s="125" t="s">
        <v>521</v>
      </c>
      <c r="C3566" s="125" t="s">
        <v>506</v>
      </c>
      <c r="D3566" s="125" t="s">
        <v>454</v>
      </c>
      <c r="E3566" s="125" t="s">
        <v>472</v>
      </c>
      <c r="F3566" s="126">
        <v>42875.0</v>
      </c>
      <c r="G3566" s="127">
        <v>3.11E8</v>
      </c>
      <c r="H3566" s="126">
        <v>42910.0</v>
      </c>
      <c r="I3566" s="128">
        <v>9.0</v>
      </c>
      <c r="J3566" s="128">
        <v>154.06</v>
      </c>
      <c r="K3566" s="128">
        <v>90.93</v>
      </c>
      <c r="L3566" s="128">
        <v>1386.54</v>
      </c>
      <c r="M3566" s="128">
        <v>818.37</v>
      </c>
      <c r="N3566" s="128">
        <v>568.17</v>
      </c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</row>
    <row r="3567">
      <c r="A3567" s="125" t="s">
        <v>475</v>
      </c>
      <c r="B3567" s="125" t="s">
        <v>558</v>
      </c>
      <c r="C3567" s="125" t="s">
        <v>514</v>
      </c>
      <c r="D3567" s="125" t="s">
        <v>454</v>
      </c>
      <c r="E3567" s="125" t="s">
        <v>464</v>
      </c>
      <c r="F3567" s="126">
        <v>42349.0</v>
      </c>
      <c r="G3567" s="127">
        <v>4.26E8</v>
      </c>
      <c r="H3567" s="126">
        <v>42356.0</v>
      </c>
      <c r="I3567" s="128">
        <v>6787.0</v>
      </c>
      <c r="J3567" s="128">
        <v>668.27</v>
      </c>
      <c r="K3567" s="128">
        <v>502.54</v>
      </c>
      <c r="L3567" s="128">
        <v>4535548.0</v>
      </c>
      <c r="M3567" s="128">
        <v>3410739.0</v>
      </c>
      <c r="N3567" s="128">
        <v>1124810.0</v>
      </c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</row>
    <row r="3568">
      <c r="A3568" s="125" t="s">
        <v>461</v>
      </c>
      <c r="B3568" s="125" t="s">
        <v>465</v>
      </c>
      <c r="C3568" s="125" t="s">
        <v>456</v>
      </c>
      <c r="D3568" s="125" t="s">
        <v>457</v>
      </c>
      <c r="E3568" s="125" t="s">
        <v>472</v>
      </c>
      <c r="F3568" s="126">
        <v>41189.0</v>
      </c>
      <c r="G3568" s="127">
        <v>9.48E8</v>
      </c>
      <c r="H3568" s="126">
        <v>41236.0</v>
      </c>
      <c r="I3568" s="128">
        <v>2111.0</v>
      </c>
      <c r="J3568" s="128">
        <v>152.58</v>
      </c>
      <c r="K3568" s="128">
        <v>97.44</v>
      </c>
      <c r="L3568" s="128">
        <v>322096.4</v>
      </c>
      <c r="M3568" s="128">
        <v>205695.8</v>
      </c>
      <c r="N3568" s="128">
        <v>116400.5</v>
      </c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</row>
    <row r="3569">
      <c r="A3569" s="125" t="s">
        <v>458</v>
      </c>
      <c r="B3569" s="125" t="s">
        <v>517</v>
      </c>
      <c r="C3569" s="125" t="s">
        <v>494</v>
      </c>
      <c r="D3569" s="125" t="s">
        <v>457</v>
      </c>
      <c r="E3569" s="125" t="s">
        <v>189</v>
      </c>
      <c r="F3569" s="126">
        <v>40667.0</v>
      </c>
      <c r="G3569" s="127">
        <v>1.87E8</v>
      </c>
      <c r="H3569" s="126">
        <v>40677.0</v>
      </c>
      <c r="I3569" s="128">
        <v>6924.0</v>
      </c>
      <c r="J3569" s="128">
        <v>9.33</v>
      </c>
      <c r="K3569" s="128">
        <v>6.92</v>
      </c>
      <c r="L3569" s="128">
        <v>64600.92</v>
      </c>
      <c r="M3569" s="128">
        <v>47914.08</v>
      </c>
      <c r="N3569" s="128">
        <v>16686.84</v>
      </c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</row>
    <row r="3570">
      <c r="A3570" s="125" t="s">
        <v>458</v>
      </c>
      <c r="B3570" s="125" t="s">
        <v>652</v>
      </c>
      <c r="C3570" s="125" t="s">
        <v>463</v>
      </c>
      <c r="D3570" s="125" t="s">
        <v>454</v>
      </c>
      <c r="E3570" s="125" t="s">
        <v>472</v>
      </c>
      <c r="F3570" s="126">
        <v>42443.0</v>
      </c>
      <c r="G3570" s="127">
        <v>5.73E8</v>
      </c>
      <c r="H3570" s="126">
        <v>42461.0</v>
      </c>
      <c r="I3570" s="128">
        <v>4197.0</v>
      </c>
      <c r="J3570" s="128">
        <v>205.7</v>
      </c>
      <c r="K3570" s="128">
        <v>117.11</v>
      </c>
      <c r="L3570" s="128">
        <v>863322.9</v>
      </c>
      <c r="M3570" s="128">
        <v>491510.7</v>
      </c>
      <c r="N3570" s="128">
        <v>371812.2</v>
      </c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</row>
    <row r="3571">
      <c r="A3571" s="125" t="s">
        <v>466</v>
      </c>
      <c r="B3571" s="125" t="s">
        <v>524</v>
      </c>
      <c r="C3571" s="125" t="s">
        <v>514</v>
      </c>
      <c r="D3571" s="125" t="s">
        <v>454</v>
      </c>
      <c r="E3571" s="125" t="s">
        <v>472</v>
      </c>
      <c r="F3571" s="126">
        <v>41649.0</v>
      </c>
      <c r="G3571" s="127">
        <v>1.05E8</v>
      </c>
      <c r="H3571" s="126">
        <v>41677.0</v>
      </c>
      <c r="I3571" s="128">
        <v>3938.0</v>
      </c>
      <c r="J3571" s="128">
        <v>668.27</v>
      </c>
      <c r="K3571" s="128">
        <v>502.54</v>
      </c>
      <c r="L3571" s="128">
        <v>2631647.0</v>
      </c>
      <c r="M3571" s="128">
        <v>1979003.0</v>
      </c>
      <c r="N3571" s="128">
        <v>652644.7</v>
      </c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</row>
    <row r="3572">
      <c r="A3572" s="125" t="s">
        <v>461</v>
      </c>
      <c r="B3572" s="125" t="s">
        <v>639</v>
      </c>
      <c r="C3572" s="125" t="s">
        <v>453</v>
      </c>
      <c r="D3572" s="125" t="s">
        <v>454</v>
      </c>
      <c r="E3572" s="125" t="s">
        <v>284</v>
      </c>
      <c r="F3572" s="126">
        <v>42108.0</v>
      </c>
      <c r="G3572" s="127">
        <v>9.04E8</v>
      </c>
      <c r="H3572" s="126">
        <v>42120.0</v>
      </c>
      <c r="I3572" s="128">
        <v>8181.0</v>
      </c>
      <c r="J3572" s="128">
        <v>255.28</v>
      </c>
      <c r="K3572" s="128">
        <v>159.42</v>
      </c>
      <c r="L3572" s="128">
        <v>2088446.0</v>
      </c>
      <c r="M3572" s="128">
        <v>1304215.0</v>
      </c>
      <c r="N3572" s="128">
        <v>784230.7</v>
      </c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</row>
    <row r="3573">
      <c r="A3573" s="125" t="s">
        <v>475</v>
      </c>
      <c r="B3573" s="125" t="s">
        <v>565</v>
      </c>
      <c r="C3573" s="125" t="s">
        <v>506</v>
      </c>
      <c r="D3573" s="125" t="s">
        <v>454</v>
      </c>
      <c r="E3573" s="125" t="s">
        <v>464</v>
      </c>
      <c r="F3573" s="126">
        <v>41114.0</v>
      </c>
      <c r="G3573" s="127">
        <v>6.6E8</v>
      </c>
      <c r="H3573" s="126">
        <v>41144.0</v>
      </c>
      <c r="I3573" s="128">
        <v>5994.0</v>
      </c>
      <c r="J3573" s="128">
        <v>154.06</v>
      </c>
      <c r="K3573" s="128">
        <v>90.93</v>
      </c>
      <c r="L3573" s="128">
        <v>923435.6</v>
      </c>
      <c r="M3573" s="128">
        <v>545034.4</v>
      </c>
      <c r="N3573" s="128">
        <v>378401.2</v>
      </c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</row>
    <row r="3574">
      <c r="A3574" s="125" t="s">
        <v>458</v>
      </c>
      <c r="B3574" s="125" t="s">
        <v>541</v>
      </c>
      <c r="C3574" s="125" t="s">
        <v>506</v>
      </c>
      <c r="D3574" s="125" t="s">
        <v>454</v>
      </c>
      <c r="E3574" s="125" t="s">
        <v>284</v>
      </c>
      <c r="F3574" s="126">
        <v>41882.0</v>
      </c>
      <c r="G3574" s="127">
        <v>2.85E8</v>
      </c>
      <c r="H3574" s="126">
        <v>41887.0</v>
      </c>
      <c r="I3574" s="128">
        <v>8476.0</v>
      </c>
      <c r="J3574" s="128">
        <v>154.06</v>
      </c>
      <c r="K3574" s="128">
        <v>90.93</v>
      </c>
      <c r="L3574" s="128">
        <v>1305813.0</v>
      </c>
      <c r="M3574" s="128">
        <v>770722.7</v>
      </c>
      <c r="N3574" s="128">
        <v>535089.9</v>
      </c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</row>
    <row r="3575">
      <c r="A3575" s="125" t="s">
        <v>469</v>
      </c>
      <c r="B3575" s="125" t="s">
        <v>501</v>
      </c>
      <c r="C3575" s="125" t="s">
        <v>463</v>
      </c>
      <c r="D3575" s="125" t="s">
        <v>454</v>
      </c>
      <c r="E3575" s="125" t="s">
        <v>464</v>
      </c>
      <c r="F3575" s="126">
        <v>41102.0</v>
      </c>
      <c r="G3575" s="127">
        <v>7.6E8</v>
      </c>
      <c r="H3575" s="126">
        <v>41151.0</v>
      </c>
      <c r="I3575" s="128">
        <v>3757.0</v>
      </c>
      <c r="J3575" s="128">
        <v>205.7</v>
      </c>
      <c r="K3575" s="128">
        <v>117.11</v>
      </c>
      <c r="L3575" s="128">
        <v>772814.9</v>
      </c>
      <c r="M3575" s="128">
        <v>439982.3</v>
      </c>
      <c r="N3575" s="128">
        <v>332832.6</v>
      </c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</row>
    <row r="3576">
      <c r="A3576" s="125" t="s">
        <v>458</v>
      </c>
      <c r="B3576" s="125" t="s">
        <v>554</v>
      </c>
      <c r="C3576" s="125" t="s">
        <v>506</v>
      </c>
      <c r="D3576" s="125" t="s">
        <v>457</v>
      </c>
      <c r="E3576" s="125" t="s">
        <v>189</v>
      </c>
      <c r="F3576" s="126">
        <v>41385.0</v>
      </c>
      <c r="G3576" s="127">
        <v>8.87E8</v>
      </c>
      <c r="H3576" s="126">
        <v>41421.0</v>
      </c>
      <c r="I3576" s="128">
        <v>1997.0</v>
      </c>
      <c r="J3576" s="128">
        <v>154.06</v>
      </c>
      <c r="K3576" s="128">
        <v>90.93</v>
      </c>
      <c r="L3576" s="128">
        <v>307657.8</v>
      </c>
      <c r="M3576" s="128">
        <v>181587.2</v>
      </c>
      <c r="N3576" s="128">
        <v>126070.6</v>
      </c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</row>
    <row r="3577">
      <c r="A3577" s="125" t="s">
        <v>458</v>
      </c>
      <c r="B3577" s="125" t="s">
        <v>597</v>
      </c>
      <c r="C3577" s="125" t="s">
        <v>460</v>
      </c>
      <c r="D3577" s="125" t="s">
        <v>457</v>
      </c>
      <c r="E3577" s="125" t="s">
        <v>284</v>
      </c>
      <c r="F3577" s="126">
        <v>41582.0</v>
      </c>
      <c r="G3577" s="127">
        <v>4.37E8</v>
      </c>
      <c r="H3577" s="126">
        <v>41611.0</v>
      </c>
      <c r="I3577" s="128">
        <v>389.0</v>
      </c>
      <c r="J3577" s="128">
        <v>47.45</v>
      </c>
      <c r="K3577" s="128">
        <v>31.79</v>
      </c>
      <c r="L3577" s="128">
        <v>18458.05</v>
      </c>
      <c r="M3577" s="128">
        <v>12366.31</v>
      </c>
      <c r="N3577" s="128">
        <v>6091.74</v>
      </c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</row>
    <row r="3578">
      <c r="A3578" s="125" t="s">
        <v>466</v>
      </c>
      <c r="B3578" s="125" t="s">
        <v>492</v>
      </c>
      <c r="C3578" s="125" t="s">
        <v>494</v>
      </c>
      <c r="D3578" s="125" t="s">
        <v>454</v>
      </c>
      <c r="E3578" s="125" t="s">
        <v>472</v>
      </c>
      <c r="F3578" s="126">
        <v>40932.0</v>
      </c>
      <c r="G3578" s="127">
        <v>6.02E8</v>
      </c>
      <c r="H3578" s="126">
        <v>40936.0</v>
      </c>
      <c r="I3578" s="128">
        <v>8158.0</v>
      </c>
      <c r="J3578" s="128">
        <v>9.33</v>
      </c>
      <c r="K3578" s="128">
        <v>6.92</v>
      </c>
      <c r="L3578" s="128">
        <v>76114.14</v>
      </c>
      <c r="M3578" s="128">
        <v>56453.36</v>
      </c>
      <c r="N3578" s="128">
        <v>19660.78</v>
      </c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</row>
    <row r="3579">
      <c r="A3579" s="125" t="s">
        <v>458</v>
      </c>
      <c r="B3579" s="125" t="s">
        <v>582</v>
      </c>
      <c r="C3579" s="125" t="s">
        <v>480</v>
      </c>
      <c r="D3579" s="125" t="s">
        <v>454</v>
      </c>
      <c r="E3579" s="125" t="s">
        <v>464</v>
      </c>
      <c r="F3579" s="126">
        <v>40447.0</v>
      </c>
      <c r="G3579" s="127">
        <v>8.46E8</v>
      </c>
      <c r="H3579" s="126">
        <v>40474.0</v>
      </c>
      <c r="I3579" s="128">
        <v>1557.0</v>
      </c>
      <c r="J3579" s="128">
        <v>437.2</v>
      </c>
      <c r="K3579" s="128">
        <v>263.33</v>
      </c>
      <c r="L3579" s="128">
        <v>680720.4</v>
      </c>
      <c r="M3579" s="128">
        <v>410004.8</v>
      </c>
      <c r="N3579" s="128">
        <v>270715.6</v>
      </c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</row>
    <row r="3580">
      <c r="A3580" s="125" t="s">
        <v>475</v>
      </c>
      <c r="B3580" s="125" t="s">
        <v>635</v>
      </c>
      <c r="C3580" s="125" t="s">
        <v>453</v>
      </c>
      <c r="D3580" s="125" t="s">
        <v>454</v>
      </c>
      <c r="E3580" s="125" t="s">
        <v>464</v>
      </c>
      <c r="F3580" s="126">
        <v>41528.0</v>
      </c>
      <c r="G3580" s="127">
        <v>2.5E8</v>
      </c>
      <c r="H3580" s="126">
        <v>41552.0</v>
      </c>
      <c r="I3580" s="128">
        <v>8872.0</v>
      </c>
      <c r="J3580" s="128">
        <v>255.28</v>
      </c>
      <c r="K3580" s="128">
        <v>159.42</v>
      </c>
      <c r="L3580" s="128">
        <v>2264844.0</v>
      </c>
      <c r="M3580" s="128">
        <v>1414374.0</v>
      </c>
      <c r="N3580" s="128">
        <v>850469.9</v>
      </c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</row>
    <row r="3581">
      <c r="A3581" s="125" t="s">
        <v>458</v>
      </c>
      <c r="B3581" s="125" t="s">
        <v>642</v>
      </c>
      <c r="C3581" s="125" t="s">
        <v>494</v>
      </c>
      <c r="D3581" s="125" t="s">
        <v>454</v>
      </c>
      <c r="E3581" s="125" t="s">
        <v>284</v>
      </c>
      <c r="F3581" s="126">
        <v>41814.0</v>
      </c>
      <c r="G3581" s="127">
        <v>6.69E8</v>
      </c>
      <c r="H3581" s="126">
        <v>41827.0</v>
      </c>
      <c r="I3581" s="128">
        <v>5422.0</v>
      </c>
      <c r="J3581" s="128">
        <v>9.33</v>
      </c>
      <c r="K3581" s="128">
        <v>6.92</v>
      </c>
      <c r="L3581" s="128">
        <v>50587.26</v>
      </c>
      <c r="M3581" s="128">
        <v>37520.24</v>
      </c>
      <c r="N3581" s="128">
        <v>13067.02</v>
      </c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</row>
    <row r="3582">
      <c r="A3582" s="125" t="s">
        <v>475</v>
      </c>
      <c r="B3582" s="125" t="s">
        <v>579</v>
      </c>
      <c r="C3582" s="125" t="s">
        <v>480</v>
      </c>
      <c r="D3582" s="125" t="s">
        <v>457</v>
      </c>
      <c r="E3582" s="125" t="s">
        <v>189</v>
      </c>
      <c r="F3582" s="126">
        <v>42101.0</v>
      </c>
      <c r="G3582" s="127">
        <v>8.76E8</v>
      </c>
      <c r="H3582" s="126">
        <v>42123.0</v>
      </c>
      <c r="I3582" s="128">
        <v>8555.0</v>
      </c>
      <c r="J3582" s="128">
        <v>437.2</v>
      </c>
      <c r="K3582" s="128">
        <v>263.33</v>
      </c>
      <c r="L3582" s="128">
        <v>3740246.0</v>
      </c>
      <c r="M3582" s="128">
        <v>2252788.0</v>
      </c>
      <c r="N3582" s="128">
        <v>1487458.0</v>
      </c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</row>
    <row r="3583">
      <c r="A3583" s="125" t="s">
        <v>475</v>
      </c>
      <c r="B3583" s="125" t="s">
        <v>536</v>
      </c>
      <c r="C3583" s="125" t="s">
        <v>480</v>
      </c>
      <c r="D3583" s="125" t="s">
        <v>457</v>
      </c>
      <c r="E3583" s="125" t="s">
        <v>464</v>
      </c>
      <c r="F3583" s="126">
        <v>42192.0</v>
      </c>
      <c r="G3583" s="127">
        <v>6.14E8</v>
      </c>
      <c r="H3583" s="126">
        <v>42212.0</v>
      </c>
      <c r="I3583" s="128">
        <v>2650.0</v>
      </c>
      <c r="J3583" s="128">
        <v>437.2</v>
      </c>
      <c r="K3583" s="128">
        <v>263.33</v>
      </c>
      <c r="L3583" s="128">
        <v>1158580.0</v>
      </c>
      <c r="M3583" s="128">
        <v>697824.5</v>
      </c>
      <c r="N3583" s="128">
        <v>460755.5</v>
      </c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</row>
    <row r="3584">
      <c r="A3584" s="125" t="s">
        <v>458</v>
      </c>
      <c r="B3584" s="125" t="s">
        <v>517</v>
      </c>
      <c r="C3584" s="125" t="s">
        <v>480</v>
      </c>
      <c r="D3584" s="125" t="s">
        <v>454</v>
      </c>
      <c r="E3584" s="125" t="s">
        <v>189</v>
      </c>
      <c r="F3584" s="126">
        <v>42276.0</v>
      </c>
      <c r="G3584" s="127">
        <v>1.48E8</v>
      </c>
      <c r="H3584" s="126">
        <v>42313.0</v>
      </c>
      <c r="I3584" s="128">
        <v>4119.0</v>
      </c>
      <c r="J3584" s="128">
        <v>437.2</v>
      </c>
      <c r="K3584" s="128">
        <v>263.33</v>
      </c>
      <c r="L3584" s="128">
        <v>1800827.0</v>
      </c>
      <c r="M3584" s="128">
        <v>1084656.0</v>
      </c>
      <c r="N3584" s="128">
        <v>716170.5</v>
      </c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</row>
    <row r="3585">
      <c r="A3585" s="125" t="s">
        <v>475</v>
      </c>
      <c r="B3585" s="125" t="s">
        <v>571</v>
      </c>
      <c r="C3585" s="125" t="s">
        <v>468</v>
      </c>
      <c r="D3585" s="125" t="s">
        <v>457</v>
      </c>
      <c r="E3585" s="125" t="s">
        <v>189</v>
      </c>
      <c r="F3585" s="126">
        <v>41549.0</v>
      </c>
      <c r="G3585" s="127">
        <v>7.12E8</v>
      </c>
      <c r="H3585" s="126">
        <v>41592.0</v>
      </c>
      <c r="I3585" s="128">
        <v>6404.0</v>
      </c>
      <c r="J3585" s="128">
        <v>81.73</v>
      </c>
      <c r="K3585" s="128">
        <v>56.67</v>
      </c>
      <c r="L3585" s="128">
        <v>523398.9</v>
      </c>
      <c r="M3585" s="128">
        <v>362914.7</v>
      </c>
      <c r="N3585" s="128">
        <v>160484.2</v>
      </c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</row>
    <row r="3586">
      <c r="A3586" s="125" t="s">
        <v>461</v>
      </c>
      <c r="B3586" s="125" t="s">
        <v>481</v>
      </c>
      <c r="C3586" s="125" t="s">
        <v>480</v>
      </c>
      <c r="D3586" s="125" t="s">
        <v>454</v>
      </c>
      <c r="E3586" s="125" t="s">
        <v>464</v>
      </c>
      <c r="F3586" s="126">
        <v>42363.0</v>
      </c>
      <c r="G3586" s="127">
        <v>4.6E8</v>
      </c>
      <c r="H3586" s="126">
        <v>42381.0</v>
      </c>
      <c r="I3586" s="128">
        <v>4979.0</v>
      </c>
      <c r="J3586" s="128">
        <v>437.2</v>
      </c>
      <c r="K3586" s="128">
        <v>263.33</v>
      </c>
      <c r="L3586" s="128">
        <v>2176819.0</v>
      </c>
      <c r="M3586" s="128">
        <v>1311120.0</v>
      </c>
      <c r="N3586" s="128">
        <v>865698.7</v>
      </c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</row>
    <row r="3587">
      <c r="A3587" s="125" t="s">
        <v>475</v>
      </c>
      <c r="B3587" s="125" t="s">
        <v>558</v>
      </c>
      <c r="C3587" s="125" t="s">
        <v>480</v>
      </c>
      <c r="D3587" s="125" t="s">
        <v>454</v>
      </c>
      <c r="E3587" s="125" t="s">
        <v>189</v>
      </c>
      <c r="F3587" s="126">
        <v>40544.0</v>
      </c>
      <c r="G3587" s="127">
        <v>3.19E8</v>
      </c>
      <c r="H3587" s="126">
        <v>40581.0</v>
      </c>
      <c r="I3587" s="128">
        <v>2349.0</v>
      </c>
      <c r="J3587" s="128">
        <v>437.2</v>
      </c>
      <c r="K3587" s="128">
        <v>263.33</v>
      </c>
      <c r="L3587" s="128">
        <v>1026983.0</v>
      </c>
      <c r="M3587" s="128">
        <v>618562.2</v>
      </c>
      <c r="N3587" s="128">
        <v>408420.6</v>
      </c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</row>
    <row r="3588">
      <c r="A3588" s="125" t="s">
        <v>458</v>
      </c>
      <c r="B3588" s="125" t="s">
        <v>606</v>
      </c>
      <c r="C3588" s="125" t="s">
        <v>480</v>
      </c>
      <c r="D3588" s="125" t="s">
        <v>454</v>
      </c>
      <c r="E3588" s="125" t="s">
        <v>284</v>
      </c>
      <c r="F3588" s="126">
        <v>40604.0</v>
      </c>
      <c r="G3588" s="127">
        <v>8.32E8</v>
      </c>
      <c r="H3588" s="126">
        <v>40635.0</v>
      </c>
      <c r="I3588" s="128">
        <v>3050.0</v>
      </c>
      <c r="J3588" s="128">
        <v>437.2</v>
      </c>
      <c r="K3588" s="128">
        <v>263.33</v>
      </c>
      <c r="L3588" s="128">
        <v>1333460.0</v>
      </c>
      <c r="M3588" s="128">
        <v>803156.5</v>
      </c>
      <c r="N3588" s="128">
        <v>530303.5</v>
      </c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</row>
    <row r="3589">
      <c r="A3589" s="125" t="s">
        <v>451</v>
      </c>
      <c r="B3589" s="125" t="s">
        <v>455</v>
      </c>
      <c r="C3589" s="125" t="s">
        <v>463</v>
      </c>
      <c r="D3589" s="125" t="s">
        <v>454</v>
      </c>
      <c r="E3589" s="125" t="s">
        <v>472</v>
      </c>
      <c r="F3589" s="126">
        <v>40529.0</v>
      </c>
      <c r="G3589" s="127">
        <v>8.16E8</v>
      </c>
      <c r="H3589" s="126">
        <v>40552.0</v>
      </c>
      <c r="I3589" s="128">
        <v>8649.0</v>
      </c>
      <c r="J3589" s="128">
        <v>205.7</v>
      </c>
      <c r="K3589" s="128">
        <v>117.11</v>
      </c>
      <c r="L3589" s="128">
        <v>1779099.0</v>
      </c>
      <c r="M3589" s="128">
        <v>1012884.0</v>
      </c>
      <c r="N3589" s="128">
        <v>766214.9</v>
      </c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</row>
    <row r="3590">
      <c r="A3590" s="125" t="s">
        <v>461</v>
      </c>
      <c r="B3590" s="125" t="s">
        <v>581</v>
      </c>
      <c r="C3590" s="125" t="s">
        <v>468</v>
      </c>
      <c r="D3590" s="125" t="s">
        <v>454</v>
      </c>
      <c r="E3590" s="125" t="s">
        <v>189</v>
      </c>
      <c r="F3590" s="126">
        <v>41459.0</v>
      </c>
      <c r="G3590" s="127">
        <v>5.08E8</v>
      </c>
      <c r="H3590" s="126">
        <v>41509.0</v>
      </c>
      <c r="I3590" s="128">
        <v>2744.0</v>
      </c>
      <c r="J3590" s="128">
        <v>81.73</v>
      </c>
      <c r="K3590" s="128">
        <v>56.67</v>
      </c>
      <c r="L3590" s="128">
        <v>224267.1</v>
      </c>
      <c r="M3590" s="128">
        <v>155502.5</v>
      </c>
      <c r="N3590" s="128">
        <v>68764.64</v>
      </c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</row>
    <row r="3591">
      <c r="A3591" s="125" t="s">
        <v>458</v>
      </c>
      <c r="B3591" s="125" t="s">
        <v>590</v>
      </c>
      <c r="C3591" s="125" t="s">
        <v>478</v>
      </c>
      <c r="D3591" s="125" t="s">
        <v>454</v>
      </c>
      <c r="E3591" s="125" t="s">
        <v>472</v>
      </c>
      <c r="F3591" s="126">
        <v>40778.0</v>
      </c>
      <c r="G3591" s="127">
        <v>2.12E8</v>
      </c>
      <c r="H3591" s="126">
        <v>40812.0</v>
      </c>
      <c r="I3591" s="128">
        <v>5967.0</v>
      </c>
      <c r="J3591" s="128">
        <v>651.21</v>
      </c>
      <c r="K3591" s="128">
        <v>524.96</v>
      </c>
      <c r="L3591" s="128">
        <v>3885770.0</v>
      </c>
      <c r="M3591" s="128">
        <v>3132436.0</v>
      </c>
      <c r="N3591" s="128">
        <v>753333.8</v>
      </c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</row>
    <row r="3592">
      <c r="A3592" s="125" t="s">
        <v>475</v>
      </c>
      <c r="B3592" s="125" t="s">
        <v>640</v>
      </c>
      <c r="C3592" s="125" t="s">
        <v>453</v>
      </c>
      <c r="D3592" s="125" t="s">
        <v>454</v>
      </c>
      <c r="E3592" s="125" t="s">
        <v>472</v>
      </c>
      <c r="F3592" s="126">
        <v>41785.0</v>
      </c>
      <c r="G3592" s="127">
        <v>7.56E8</v>
      </c>
      <c r="H3592" s="126">
        <v>41799.0</v>
      </c>
      <c r="I3592" s="128">
        <v>977.0</v>
      </c>
      <c r="J3592" s="128">
        <v>255.28</v>
      </c>
      <c r="K3592" s="128">
        <v>159.42</v>
      </c>
      <c r="L3592" s="128">
        <v>249408.6</v>
      </c>
      <c r="M3592" s="128">
        <v>155753.3</v>
      </c>
      <c r="N3592" s="128">
        <v>93655.22</v>
      </c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</row>
    <row r="3593">
      <c r="A3593" s="125" t="s">
        <v>469</v>
      </c>
      <c r="B3593" s="125" t="s">
        <v>650</v>
      </c>
      <c r="C3593" s="125" t="s">
        <v>453</v>
      </c>
      <c r="D3593" s="125" t="s">
        <v>457</v>
      </c>
      <c r="E3593" s="125" t="s">
        <v>189</v>
      </c>
      <c r="F3593" s="126">
        <v>41259.0</v>
      </c>
      <c r="G3593" s="127">
        <v>3.37E8</v>
      </c>
      <c r="H3593" s="126">
        <v>41273.0</v>
      </c>
      <c r="I3593" s="128">
        <v>7468.0</v>
      </c>
      <c r="J3593" s="128">
        <v>255.28</v>
      </c>
      <c r="K3593" s="128">
        <v>159.42</v>
      </c>
      <c r="L3593" s="128">
        <v>1906431.0</v>
      </c>
      <c r="M3593" s="128">
        <v>1190549.0</v>
      </c>
      <c r="N3593" s="128">
        <v>715882.5</v>
      </c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</row>
    <row r="3594">
      <c r="A3594" s="125" t="s">
        <v>458</v>
      </c>
      <c r="B3594" s="125" t="s">
        <v>533</v>
      </c>
      <c r="C3594" s="125" t="s">
        <v>468</v>
      </c>
      <c r="D3594" s="125" t="s">
        <v>454</v>
      </c>
      <c r="E3594" s="125" t="s">
        <v>189</v>
      </c>
      <c r="F3594" s="126">
        <v>41896.0</v>
      </c>
      <c r="G3594" s="127">
        <v>3.72E8</v>
      </c>
      <c r="H3594" s="126">
        <v>41920.0</v>
      </c>
      <c r="I3594" s="128">
        <v>7162.0</v>
      </c>
      <c r="J3594" s="128">
        <v>81.73</v>
      </c>
      <c r="K3594" s="128">
        <v>56.67</v>
      </c>
      <c r="L3594" s="128">
        <v>585350.3</v>
      </c>
      <c r="M3594" s="128">
        <v>405870.5</v>
      </c>
      <c r="N3594" s="128">
        <v>179479.7</v>
      </c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</row>
    <row r="3595">
      <c r="A3595" s="125" t="s">
        <v>458</v>
      </c>
      <c r="B3595" s="125" t="s">
        <v>643</v>
      </c>
      <c r="C3595" s="125" t="s">
        <v>494</v>
      </c>
      <c r="D3595" s="125" t="s">
        <v>454</v>
      </c>
      <c r="E3595" s="125" t="s">
        <v>464</v>
      </c>
      <c r="F3595" s="126">
        <v>42632.0</v>
      </c>
      <c r="G3595" s="127">
        <v>5.48E8</v>
      </c>
      <c r="H3595" s="126">
        <v>42652.0</v>
      </c>
      <c r="I3595" s="128">
        <v>8815.0</v>
      </c>
      <c r="J3595" s="128">
        <v>9.33</v>
      </c>
      <c r="K3595" s="128">
        <v>6.92</v>
      </c>
      <c r="L3595" s="128">
        <v>82243.95</v>
      </c>
      <c r="M3595" s="128">
        <v>60999.8</v>
      </c>
      <c r="N3595" s="128">
        <v>21244.15</v>
      </c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</row>
    <row r="3596">
      <c r="A3596" s="125" t="s">
        <v>488</v>
      </c>
      <c r="B3596" s="125" t="s">
        <v>654</v>
      </c>
      <c r="C3596" s="125" t="s">
        <v>480</v>
      </c>
      <c r="D3596" s="125" t="s">
        <v>457</v>
      </c>
      <c r="E3596" s="125" t="s">
        <v>189</v>
      </c>
      <c r="F3596" s="126">
        <v>42795.0</v>
      </c>
      <c r="G3596" s="127">
        <v>1.74E8</v>
      </c>
      <c r="H3596" s="126">
        <v>42839.0</v>
      </c>
      <c r="I3596" s="128">
        <v>3214.0</v>
      </c>
      <c r="J3596" s="128">
        <v>437.2</v>
      </c>
      <c r="K3596" s="128">
        <v>263.33</v>
      </c>
      <c r="L3596" s="128">
        <v>1405161.0</v>
      </c>
      <c r="M3596" s="128">
        <v>846342.6</v>
      </c>
      <c r="N3596" s="128">
        <v>558818.2</v>
      </c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</row>
    <row r="3597">
      <c r="A3597" s="125" t="s">
        <v>466</v>
      </c>
      <c r="B3597" s="125" t="s">
        <v>607</v>
      </c>
      <c r="C3597" s="125" t="s">
        <v>485</v>
      </c>
      <c r="D3597" s="125" t="s">
        <v>457</v>
      </c>
      <c r="E3597" s="125" t="s">
        <v>284</v>
      </c>
      <c r="F3597" s="126">
        <v>40715.0</v>
      </c>
      <c r="G3597" s="127">
        <v>4.27E8</v>
      </c>
      <c r="H3597" s="126">
        <v>40738.0</v>
      </c>
      <c r="I3597" s="128">
        <v>8174.0</v>
      </c>
      <c r="J3597" s="128">
        <v>421.89</v>
      </c>
      <c r="K3597" s="128">
        <v>364.69</v>
      </c>
      <c r="L3597" s="128">
        <v>3448529.0</v>
      </c>
      <c r="M3597" s="128">
        <v>2980976.0</v>
      </c>
      <c r="N3597" s="128">
        <v>467552.8</v>
      </c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</row>
    <row r="3598">
      <c r="A3598" s="125" t="s">
        <v>458</v>
      </c>
      <c r="B3598" s="125" t="s">
        <v>606</v>
      </c>
      <c r="C3598" s="125" t="s">
        <v>506</v>
      </c>
      <c r="D3598" s="125" t="s">
        <v>457</v>
      </c>
      <c r="E3598" s="125" t="s">
        <v>189</v>
      </c>
      <c r="F3598" s="126">
        <v>40647.0</v>
      </c>
      <c r="G3598" s="127">
        <v>3.06E8</v>
      </c>
      <c r="H3598" s="126">
        <v>40697.0</v>
      </c>
      <c r="I3598" s="128">
        <v>3545.0</v>
      </c>
      <c r="J3598" s="128">
        <v>154.06</v>
      </c>
      <c r="K3598" s="128">
        <v>90.93</v>
      </c>
      <c r="L3598" s="128">
        <v>546142.7</v>
      </c>
      <c r="M3598" s="128">
        <v>322346.9</v>
      </c>
      <c r="N3598" s="128">
        <v>223795.9</v>
      </c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</row>
    <row r="3599">
      <c r="A3599" s="125" t="s">
        <v>461</v>
      </c>
      <c r="B3599" s="125" t="s">
        <v>615</v>
      </c>
      <c r="C3599" s="125" t="s">
        <v>456</v>
      </c>
      <c r="D3599" s="125" t="s">
        <v>454</v>
      </c>
      <c r="E3599" s="125" t="s">
        <v>284</v>
      </c>
      <c r="F3599" s="126">
        <v>40317.0</v>
      </c>
      <c r="G3599" s="127">
        <v>6.79E8</v>
      </c>
      <c r="H3599" s="126">
        <v>40320.0</v>
      </c>
      <c r="I3599" s="128">
        <v>6208.0</v>
      </c>
      <c r="J3599" s="128">
        <v>152.58</v>
      </c>
      <c r="K3599" s="128">
        <v>97.44</v>
      </c>
      <c r="L3599" s="128">
        <v>947216.6</v>
      </c>
      <c r="M3599" s="128">
        <v>604907.5</v>
      </c>
      <c r="N3599" s="128">
        <v>342309.1</v>
      </c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</row>
    <row r="3600">
      <c r="A3600" s="125" t="s">
        <v>466</v>
      </c>
      <c r="B3600" s="125" t="s">
        <v>531</v>
      </c>
      <c r="C3600" s="125" t="s">
        <v>514</v>
      </c>
      <c r="D3600" s="125" t="s">
        <v>454</v>
      </c>
      <c r="E3600" s="125" t="s">
        <v>472</v>
      </c>
      <c r="F3600" s="126">
        <v>40607.0</v>
      </c>
      <c r="G3600" s="127">
        <v>2.37E8</v>
      </c>
      <c r="H3600" s="126">
        <v>40636.0</v>
      </c>
      <c r="I3600" s="128">
        <v>5072.0</v>
      </c>
      <c r="J3600" s="128">
        <v>668.27</v>
      </c>
      <c r="K3600" s="128">
        <v>502.54</v>
      </c>
      <c r="L3600" s="128">
        <v>3389465.0</v>
      </c>
      <c r="M3600" s="128">
        <v>2548883.0</v>
      </c>
      <c r="N3600" s="128">
        <v>840582.6</v>
      </c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</row>
    <row r="3601">
      <c r="A3601" s="125" t="s">
        <v>475</v>
      </c>
      <c r="B3601" s="125" t="s">
        <v>504</v>
      </c>
      <c r="C3601" s="125" t="s">
        <v>460</v>
      </c>
      <c r="D3601" s="125" t="s">
        <v>457</v>
      </c>
      <c r="E3601" s="125" t="s">
        <v>472</v>
      </c>
      <c r="F3601" s="126">
        <v>41404.0</v>
      </c>
      <c r="G3601" s="127">
        <v>4.38E8</v>
      </c>
      <c r="H3601" s="126">
        <v>41411.0</v>
      </c>
      <c r="I3601" s="128">
        <v>6080.0</v>
      </c>
      <c r="J3601" s="128">
        <v>47.45</v>
      </c>
      <c r="K3601" s="128">
        <v>31.79</v>
      </c>
      <c r="L3601" s="128">
        <v>288496.0</v>
      </c>
      <c r="M3601" s="128">
        <v>193283.2</v>
      </c>
      <c r="N3601" s="128">
        <v>95212.8</v>
      </c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</row>
    <row r="3602">
      <c r="A3602" s="125" t="s">
        <v>451</v>
      </c>
      <c r="B3602" s="125" t="s">
        <v>550</v>
      </c>
      <c r="C3602" s="125" t="s">
        <v>480</v>
      </c>
      <c r="D3602" s="125" t="s">
        <v>454</v>
      </c>
      <c r="E3602" s="125" t="s">
        <v>284</v>
      </c>
      <c r="F3602" s="126">
        <v>40221.0</v>
      </c>
      <c r="G3602" s="127">
        <v>5.62E8</v>
      </c>
      <c r="H3602" s="126">
        <v>40254.0</v>
      </c>
      <c r="I3602" s="128">
        <v>7207.0</v>
      </c>
      <c r="J3602" s="128">
        <v>437.2</v>
      </c>
      <c r="K3602" s="128">
        <v>263.33</v>
      </c>
      <c r="L3602" s="128">
        <v>3150900.0</v>
      </c>
      <c r="M3602" s="128">
        <v>1897819.0</v>
      </c>
      <c r="N3602" s="128">
        <v>1253081.0</v>
      </c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</row>
    <row r="3603">
      <c r="A3603" s="125" t="s">
        <v>475</v>
      </c>
      <c r="B3603" s="125" t="s">
        <v>601</v>
      </c>
      <c r="C3603" s="125" t="s">
        <v>506</v>
      </c>
      <c r="D3603" s="125" t="s">
        <v>457</v>
      </c>
      <c r="E3603" s="125" t="s">
        <v>189</v>
      </c>
      <c r="F3603" s="126">
        <v>41870.0</v>
      </c>
      <c r="G3603" s="127">
        <v>8.59E8</v>
      </c>
      <c r="H3603" s="126">
        <v>41911.0</v>
      </c>
      <c r="I3603" s="128">
        <v>3456.0</v>
      </c>
      <c r="J3603" s="128">
        <v>154.06</v>
      </c>
      <c r="K3603" s="128">
        <v>90.93</v>
      </c>
      <c r="L3603" s="128">
        <v>532431.4</v>
      </c>
      <c r="M3603" s="128">
        <v>314254.1</v>
      </c>
      <c r="N3603" s="128">
        <v>218177.3</v>
      </c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</row>
    <row r="3604">
      <c r="A3604" s="125" t="s">
        <v>461</v>
      </c>
      <c r="B3604" s="125" t="s">
        <v>465</v>
      </c>
      <c r="C3604" s="125" t="s">
        <v>456</v>
      </c>
      <c r="D3604" s="125" t="s">
        <v>457</v>
      </c>
      <c r="E3604" s="125" t="s">
        <v>284</v>
      </c>
      <c r="F3604" s="126">
        <v>40494.0</v>
      </c>
      <c r="G3604" s="127">
        <v>3.0E8</v>
      </c>
      <c r="H3604" s="126">
        <v>40520.0</v>
      </c>
      <c r="I3604" s="128">
        <v>1864.0</v>
      </c>
      <c r="J3604" s="128">
        <v>152.58</v>
      </c>
      <c r="K3604" s="128">
        <v>97.44</v>
      </c>
      <c r="L3604" s="128">
        <v>284409.1</v>
      </c>
      <c r="M3604" s="128">
        <v>181628.2</v>
      </c>
      <c r="N3604" s="128">
        <v>102781.0</v>
      </c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</row>
    <row r="3605">
      <c r="A3605" s="125" t="s">
        <v>466</v>
      </c>
      <c r="B3605" s="125" t="s">
        <v>607</v>
      </c>
      <c r="C3605" s="125" t="s">
        <v>506</v>
      </c>
      <c r="D3605" s="125" t="s">
        <v>457</v>
      </c>
      <c r="E3605" s="125" t="s">
        <v>189</v>
      </c>
      <c r="F3605" s="126">
        <v>40300.0</v>
      </c>
      <c r="G3605" s="127">
        <v>6.25E8</v>
      </c>
      <c r="H3605" s="126">
        <v>40324.0</v>
      </c>
      <c r="I3605" s="128">
        <v>6498.0</v>
      </c>
      <c r="J3605" s="128">
        <v>154.06</v>
      </c>
      <c r="K3605" s="128">
        <v>90.93</v>
      </c>
      <c r="L3605" s="128">
        <v>1001082.0</v>
      </c>
      <c r="M3605" s="128">
        <v>590863.1</v>
      </c>
      <c r="N3605" s="128">
        <v>410218.7</v>
      </c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</row>
    <row r="3606">
      <c r="A3606" s="125" t="s">
        <v>466</v>
      </c>
      <c r="B3606" s="125" t="s">
        <v>584</v>
      </c>
      <c r="C3606" s="125" t="s">
        <v>494</v>
      </c>
      <c r="D3606" s="125" t="s">
        <v>454</v>
      </c>
      <c r="E3606" s="125" t="s">
        <v>284</v>
      </c>
      <c r="F3606" s="126">
        <v>40356.0</v>
      </c>
      <c r="G3606" s="127">
        <v>4.95E8</v>
      </c>
      <c r="H3606" s="126">
        <v>40390.0</v>
      </c>
      <c r="I3606" s="128">
        <v>3458.0</v>
      </c>
      <c r="J3606" s="128">
        <v>9.33</v>
      </c>
      <c r="K3606" s="128">
        <v>6.92</v>
      </c>
      <c r="L3606" s="128">
        <v>32263.14</v>
      </c>
      <c r="M3606" s="128">
        <v>23929.36</v>
      </c>
      <c r="N3606" s="128">
        <v>8333.78</v>
      </c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</row>
    <row r="3607">
      <c r="A3607" s="125" t="s">
        <v>475</v>
      </c>
      <c r="B3607" s="125" t="s">
        <v>572</v>
      </c>
      <c r="C3607" s="125" t="s">
        <v>453</v>
      </c>
      <c r="D3607" s="125" t="s">
        <v>454</v>
      </c>
      <c r="E3607" s="125" t="s">
        <v>464</v>
      </c>
      <c r="F3607" s="126">
        <v>41501.0</v>
      </c>
      <c r="G3607" s="127">
        <v>4.41E8</v>
      </c>
      <c r="H3607" s="126">
        <v>41541.0</v>
      </c>
      <c r="I3607" s="128">
        <v>5872.0</v>
      </c>
      <c r="J3607" s="128">
        <v>255.28</v>
      </c>
      <c r="K3607" s="128">
        <v>159.42</v>
      </c>
      <c r="L3607" s="128">
        <v>1499004.0</v>
      </c>
      <c r="M3607" s="128">
        <v>936114.2</v>
      </c>
      <c r="N3607" s="128">
        <v>562889.9</v>
      </c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</row>
    <row r="3608">
      <c r="A3608" s="125" t="s">
        <v>475</v>
      </c>
      <c r="B3608" s="125" t="s">
        <v>476</v>
      </c>
      <c r="C3608" s="125" t="s">
        <v>456</v>
      </c>
      <c r="D3608" s="125" t="s">
        <v>457</v>
      </c>
      <c r="E3608" s="125" t="s">
        <v>189</v>
      </c>
      <c r="F3608" s="126">
        <v>42196.0</v>
      </c>
      <c r="G3608" s="127">
        <v>6.15E8</v>
      </c>
      <c r="H3608" s="126">
        <v>42240.0</v>
      </c>
      <c r="I3608" s="128">
        <v>8903.0</v>
      </c>
      <c r="J3608" s="128">
        <v>152.58</v>
      </c>
      <c r="K3608" s="128">
        <v>97.44</v>
      </c>
      <c r="L3608" s="128">
        <v>1358420.0</v>
      </c>
      <c r="M3608" s="128">
        <v>867508.3</v>
      </c>
      <c r="N3608" s="128">
        <v>490911.4</v>
      </c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</row>
    <row r="3609">
      <c r="A3609" s="125" t="s">
        <v>475</v>
      </c>
      <c r="B3609" s="125" t="s">
        <v>476</v>
      </c>
      <c r="C3609" s="125" t="s">
        <v>453</v>
      </c>
      <c r="D3609" s="125" t="s">
        <v>457</v>
      </c>
      <c r="E3609" s="125" t="s">
        <v>464</v>
      </c>
      <c r="F3609" s="126">
        <v>42676.0</v>
      </c>
      <c r="G3609" s="127">
        <v>3.4E8</v>
      </c>
      <c r="H3609" s="126">
        <v>42709.0</v>
      </c>
      <c r="I3609" s="128">
        <v>4741.0</v>
      </c>
      <c r="J3609" s="128">
        <v>255.28</v>
      </c>
      <c r="K3609" s="128">
        <v>159.42</v>
      </c>
      <c r="L3609" s="128">
        <v>1210282.0</v>
      </c>
      <c r="M3609" s="128">
        <v>755810.2</v>
      </c>
      <c r="N3609" s="128">
        <v>454472.3</v>
      </c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</row>
    <row r="3610">
      <c r="A3610" s="125" t="s">
        <v>475</v>
      </c>
      <c r="B3610" s="125" t="s">
        <v>532</v>
      </c>
      <c r="C3610" s="125" t="s">
        <v>471</v>
      </c>
      <c r="D3610" s="125" t="s">
        <v>454</v>
      </c>
      <c r="E3610" s="125" t="s">
        <v>472</v>
      </c>
      <c r="F3610" s="126">
        <v>40795.0</v>
      </c>
      <c r="G3610" s="127">
        <v>3.56E8</v>
      </c>
      <c r="H3610" s="126">
        <v>40803.0</v>
      </c>
      <c r="I3610" s="128">
        <v>7612.0</v>
      </c>
      <c r="J3610" s="128">
        <v>109.28</v>
      </c>
      <c r="K3610" s="128">
        <v>35.84</v>
      </c>
      <c r="L3610" s="128">
        <v>831839.4</v>
      </c>
      <c r="M3610" s="128">
        <v>272814.1</v>
      </c>
      <c r="N3610" s="128">
        <v>559025.3</v>
      </c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</row>
    <row r="3611">
      <c r="A3611" s="125" t="s">
        <v>469</v>
      </c>
      <c r="B3611" s="125" t="s">
        <v>632</v>
      </c>
      <c r="C3611" s="125" t="s">
        <v>453</v>
      </c>
      <c r="D3611" s="125" t="s">
        <v>454</v>
      </c>
      <c r="E3611" s="125" t="s">
        <v>472</v>
      </c>
      <c r="F3611" s="126">
        <v>41716.0</v>
      </c>
      <c r="G3611" s="127">
        <v>5.77E8</v>
      </c>
      <c r="H3611" s="126">
        <v>41725.0</v>
      </c>
      <c r="I3611" s="128">
        <v>8770.0</v>
      </c>
      <c r="J3611" s="128">
        <v>255.28</v>
      </c>
      <c r="K3611" s="128">
        <v>159.42</v>
      </c>
      <c r="L3611" s="128">
        <v>2238806.0</v>
      </c>
      <c r="M3611" s="128">
        <v>1398113.0</v>
      </c>
      <c r="N3611" s="128">
        <v>840692.2</v>
      </c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</row>
    <row r="3612">
      <c r="A3612" s="125" t="s">
        <v>458</v>
      </c>
      <c r="B3612" s="125" t="s">
        <v>633</v>
      </c>
      <c r="C3612" s="125" t="s">
        <v>456</v>
      </c>
      <c r="D3612" s="125" t="s">
        <v>457</v>
      </c>
      <c r="E3612" s="125" t="s">
        <v>284</v>
      </c>
      <c r="F3612" s="126">
        <v>42690.0</v>
      </c>
      <c r="G3612" s="127">
        <v>5.36E8</v>
      </c>
      <c r="H3612" s="126">
        <v>42730.0</v>
      </c>
      <c r="I3612" s="128">
        <v>1500.0</v>
      </c>
      <c r="J3612" s="128">
        <v>152.58</v>
      </c>
      <c r="K3612" s="128">
        <v>97.44</v>
      </c>
      <c r="L3612" s="128">
        <v>228870.0</v>
      </c>
      <c r="M3612" s="128">
        <v>146160.0</v>
      </c>
      <c r="N3612" s="128">
        <v>82710.0</v>
      </c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</row>
    <row r="3613">
      <c r="A3613" s="125" t="s">
        <v>475</v>
      </c>
      <c r="B3613" s="125" t="s">
        <v>571</v>
      </c>
      <c r="C3613" s="125" t="s">
        <v>494</v>
      </c>
      <c r="D3613" s="125" t="s">
        <v>457</v>
      </c>
      <c r="E3613" s="125" t="s">
        <v>284</v>
      </c>
      <c r="F3613" s="126">
        <v>42740.0</v>
      </c>
      <c r="G3613" s="127">
        <v>7.36E8</v>
      </c>
      <c r="H3613" s="126">
        <v>42781.0</v>
      </c>
      <c r="I3613" s="128">
        <v>6122.0</v>
      </c>
      <c r="J3613" s="128">
        <v>9.33</v>
      </c>
      <c r="K3613" s="128">
        <v>6.92</v>
      </c>
      <c r="L3613" s="128">
        <v>57118.26</v>
      </c>
      <c r="M3613" s="128">
        <v>42364.24</v>
      </c>
      <c r="N3613" s="128">
        <v>14754.02</v>
      </c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</row>
    <row r="3614">
      <c r="A3614" s="125" t="s">
        <v>451</v>
      </c>
      <c r="B3614" s="125" t="s">
        <v>596</v>
      </c>
      <c r="C3614" s="125" t="s">
        <v>460</v>
      </c>
      <c r="D3614" s="125" t="s">
        <v>454</v>
      </c>
      <c r="E3614" s="125" t="s">
        <v>464</v>
      </c>
      <c r="F3614" s="126">
        <v>41278.0</v>
      </c>
      <c r="G3614" s="127">
        <v>4.0E8</v>
      </c>
      <c r="H3614" s="126">
        <v>41293.0</v>
      </c>
      <c r="I3614" s="128">
        <v>4982.0</v>
      </c>
      <c r="J3614" s="128">
        <v>47.45</v>
      </c>
      <c r="K3614" s="128">
        <v>31.79</v>
      </c>
      <c r="L3614" s="128">
        <v>236395.9</v>
      </c>
      <c r="M3614" s="128">
        <v>158377.8</v>
      </c>
      <c r="N3614" s="128">
        <v>78018.12</v>
      </c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</row>
    <row r="3615">
      <c r="A3615" s="125" t="s">
        <v>458</v>
      </c>
      <c r="B3615" s="125" t="s">
        <v>567</v>
      </c>
      <c r="C3615" s="125" t="s">
        <v>514</v>
      </c>
      <c r="D3615" s="125" t="s">
        <v>457</v>
      </c>
      <c r="E3615" s="125" t="s">
        <v>464</v>
      </c>
      <c r="F3615" s="126">
        <v>42256.0</v>
      </c>
      <c r="G3615" s="127">
        <v>6.22E8</v>
      </c>
      <c r="H3615" s="126">
        <v>42263.0</v>
      </c>
      <c r="I3615" s="128">
        <v>7461.0</v>
      </c>
      <c r="J3615" s="128">
        <v>668.27</v>
      </c>
      <c r="K3615" s="128">
        <v>502.54</v>
      </c>
      <c r="L3615" s="128">
        <v>4985962.0</v>
      </c>
      <c r="M3615" s="128">
        <v>3749451.0</v>
      </c>
      <c r="N3615" s="128">
        <v>1236512.0</v>
      </c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</row>
    <row r="3616">
      <c r="A3616" s="125" t="s">
        <v>475</v>
      </c>
      <c r="B3616" s="125" t="s">
        <v>537</v>
      </c>
      <c r="C3616" s="125" t="s">
        <v>480</v>
      </c>
      <c r="D3616" s="125" t="s">
        <v>454</v>
      </c>
      <c r="E3616" s="125" t="s">
        <v>472</v>
      </c>
      <c r="F3616" s="126">
        <v>41715.0</v>
      </c>
      <c r="G3616" s="127">
        <v>3.16E8</v>
      </c>
      <c r="H3616" s="126">
        <v>41737.0</v>
      </c>
      <c r="I3616" s="128">
        <v>4970.0</v>
      </c>
      <c r="J3616" s="128">
        <v>437.2</v>
      </c>
      <c r="K3616" s="128">
        <v>263.33</v>
      </c>
      <c r="L3616" s="128">
        <v>2172884.0</v>
      </c>
      <c r="M3616" s="128">
        <v>1308750.0</v>
      </c>
      <c r="N3616" s="128">
        <v>864133.9</v>
      </c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</row>
    <row r="3617">
      <c r="A3617" s="125" t="s">
        <v>461</v>
      </c>
      <c r="B3617" s="125" t="s">
        <v>599</v>
      </c>
      <c r="C3617" s="125" t="s">
        <v>480</v>
      </c>
      <c r="D3617" s="125" t="s">
        <v>454</v>
      </c>
      <c r="E3617" s="125" t="s">
        <v>472</v>
      </c>
      <c r="F3617" s="126">
        <v>40233.0</v>
      </c>
      <c r="G3617" s="127">
        <v>2.66E8</v>
      </c>
      <c r="H3617" s="126">
        <v>40237.0</v>
      </c>
      <c r="I3617" s="128">
        <v>5951.0</v>
      </c>
      <c r="J3617" s="128">
        <v>437.2</v>
      </c>
      <c r="K3617" s="128">
        <v>263.33</v>
      </c>
      <c r="L3617" s="128">
        <v>2601777.0</v>
      </c>
      <c r="M3617" s="128">
        <v>1567077.0</v>
      </c>
      <c r="N3617" s="128">
        <v>1034700.0</v>
      </c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</row>
    <row r="3618">
      <c r="A3618" s="125" t="s">
        <v>461</v>
      </c>
      <c r="B3618" s="125" t="s">
        <v>578</v>
      </c>
      <c r="C3618" s="125" t="s">
        <v>460</v>
      </c>
      <c r="D3618" s="125" t="s">
        <v>457</v>
      </c>
      <c r="E3618" s="125" t="s">
        <v>284</v>
      </c>
      <c r="F3618" s="126">
        <v>41546.0</v>
      </c>
      <c r="G3618" s="127">
        <v>8.79E8</v>
      </c>
      <c r="H3618" s="126">
        <v>41558.0</v>
      </c>
      <c r="I3618" s="128">
        <v>879.0</v>
      </c>
      <c r="J3618" s="128">
        <v>47.45</v>
      </c>
      <c r="K3618" s="128">
        <v>31.79</v>
      </c>
      <c r="L3618" s="128">
        <v>41708.55</v>
      </c>
      <c r="M3618" s="128">
        <v>27943.41</v>
      </c>
      <c r="N3618" s="128">
        <v>13765.14</v>
      </c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</row>
    <row r="3619">
      <c r="A3619" s="125" t="s">
        <v>458</v>
      </c>
      <c r="B3619" s="125" t="s">
        <v>487</v>
      </c>
      <c r="C3619" s="125" t="s">
        <v>480</v>
      </c>
      <c r="D3619" s="125" t="s">
        <v>457</v>
      </c>
      <c r="E3619" s="125" t="s">
        <v>472</v>
      </c>
      <c r="F3619" s="126">
        <v>42861.0</v>
      </c>
      <c r="G3619" s="127">
        <v>8.27E8</v>
      </c>
      <c r="H3619" s="126">
        <v>42901.0</v>
      </c>
      <c r="I3619" s="128">
        <v>7258.0</v>
      </c>
      <c r="J3619" s="128">
        <v>437.2</v>
      </c>
      <c r="K3619" s="128">
        <v>263.33</v>
      </c>
      <c r="L3619" s="128">
        <v>3173198.0</v>
      </c>
      <c r="M3619" s="128">
        <v>1911249.0</v>
      </c>
      <c r="N3619" s="128">
        <v>1261948.0</v>
      </c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</row>
    <row r="3620">
      <c r="A3620" s="125" t="s">
        <v>475</v>
      </c>
      <c r="B3620" s="125" t="s">
        <v>651</v>
      </c>
      <c r="C3620" s="125" t="s">
        <v>463</v>
      </c>
      <c r="D3620" s="125" t="s">
        <v>457</v>
      </c>
      <c r="E3620" s="125" t="s">
        <v>464</v>
      </c>
      <c r="F3620" s="126">
        <v>41777.0</v>
      </c>
      <c r="G3620" s="127">
        <v>2.07E8</v>
      </c>
      <c r="H3620" s="126">
        <v>41826.0</v>
      </c>
      <c r="I3620" s="128">
        <v>4623.0</v>
      </c>
      <c r="J3620" s="128">
        <v>205.7</v>
      </c>
      <c r="K3620" s="128">
        <v>117.11</v>
      </c>
      <c r="L3620" s="128">
        <v>950951.1</v>
      </c>
      <c r="M3620" s="128">
        <v>541399.5</v>
      </c>
      <c r="N3620" s="128">
        <v>409551.6</v>
      </c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</row>
    <row r="3621">
      <c r="A3621" s="125" t="s">
        <v>451</v>
      </c>
      <c r="B3621" s="125" t="s">
        <v>452</v>
      </c>
      <c r="C3621" s="125" t="s">
        <v>453</v>
      </c>
      <c r="D3621" s="125" t="s">
        <v>454</v>
      </c>
      <c r="E3621" s="125" t="s">
        <v>464</v>
      </c>
      <c r="F3621" s="126">
        <v>40428.0</v>
      </c>
      <c r="G3621" s="127">
        <v>9.85E8</v>
      </c>
      <c r="H3621" s="126">
        <v>40462.0</v>
      </c>
      <c r="I3621" s="128">
        <v>9544.0</v>
      </c>
      <c r="J3621" s="128">
        <v>255.28</v>
      </c>
      <c r="K3621" s="128">
        <v>159.42</v>
      </c>
      <c r="L3621" s="128">
        <v>2436392.0</v>
      </c>
      <c r="M3621" s="128">
        <v>1521504.0</v>
      </c>
      <c r="N3621" s="128">
        <v>914887.8</v>
      </c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</row>
    <row r="3622">
      <c r="A3622" s="125" t="s">
        <v>475</v>
      </c>
      <c r="B3622" s="125" t="s">
        <v>561</v>
      </c>
      <c r="C3622" s="125" t="s">
        <v>480</v>
      </c>
      <c r="D3622" s="125" t="s">
        <v>457</v>
      </c>
      <c r="E3622" s="125" t="s">
        <v>189</v>
      </c>
      <c r="F3622" s="126">
        <v>41339.0</v>
      </c>
      <c r="G3622" s="127">
        <v>2.46E8</v>
      </c>
      <c r="H3622" s="126">
        <v>41345.0</v>
      </c>
      <c r="I3622" s="128">
        <v>617.0</v>
      </c>
      <c r="J3622" s="128">
        <v>437.2</v>
      </c>
      <c r="K3622" s="128">
        <v>263.33</v>
      </c>
      <c r="L3622" s="128">
        <v>269752.4</v>
      </c>
      <c r="M3622" s="128">
        <v>162474.6</v>
      </c>
      <c r="N3622" s="128">
        <v>107277.8</v>
      </c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</row>
    <row r="3623">
      <c r="A3623" s="125" t="s">
        <v>458</v>
      </c>
      <c r="B3623" s="125" t="s">
        <v>498</v>
      </c>
      <c r="C3623" s="125" t="s">
        <v>514</v>
      </c>
      <c r="D3623" s="125" t="s">
        <v>457</v>
      </c>
      <c r="E3623" s="125" t="s">
        <v>464</v>
      </c>
      <c r="F3623" s="126">
        <v>40507.0</v>
      </c>
      <c r="G3623" s="127">
        <v>5.47E8</v>
      </c>
      <c r="H3623" s="126">
        <v>40524.0</v>
      </c>
      <c r="I3623" s="128">
        <v>3473.0</v>
      </c>
      <c r="J3623" s="128">
        <v>668.27</v>
      </c>
      <c r="K3623" s="128">
        <v>502.54</v>
      </c>
      <c r="L3623" s="128">
        <v>2320902.0</v>
      </c>
      <c r="M3623" s="128">
        <v>1745321.0</v>
      </c>
      <c r="N3623" s="128">
        <v>575580.3</v>
      </c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</row>
    <row r="3624">
      <c r="A3624" s="125" t="s">
        <v>458</v>
      </c>
      <c r="B3624" s="125" t="s">
        <v>505</v>
      </c>
      <c r="C3624" s="125" t="s">
        <v>514</v>
      </c>
      <c r="D3624" s="125" t="s">
        <v>457</v>
      </c>
      <c r="E3624" s="125" t="s">
        <v>284</v>
      </c>
      <c r="F3624" s="126">
        <v>42618.0</v>
      </c>
      <c r="G3624" s="127">
        <v>4.64E8</v>
      </c>
      <c r="H3624" s="126">
        <v>42644.0</v>
      </c>
      <c r="I3624" s="128">
        <v>5773.0</v>
      </c>
      <c r="J3624" s="128">
        <v>668.27</v>
      </c>
      <c r="K3624" s="128">
        <v>502.54</v>
      </c>
      <c r="L3624" s="128">
        <v>3857923.0</v>
      </c>
      <c r="M3624" s="128">
        <v>2901163.0</v>
      </c>
      <c r="N3624" s="128">
        <v>956759.3</v>
      </c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</row>
    <row r="3625">
      <c r="A3625" s="125" t="s">
        <v>475</v>
      </c>
      <c r="B3625" s="125" t="s">
        <v>528</v>
      </c>
      <c r="C3625" s="125" t="s">
        <v>453</v>
      </c>
      <c r="D3625" s="125" t="s">
        <v>457</v>
      </c>
      <c r="E3625" s="125" t="s">
        <v>472</v>
      </c>
      <c r="F3625" s="126">
        <v>40300.0</v>
      </c>
      <c r="G3625" s="127">
        <v>4.44E8</v>
      </c>
      <c r="H3625" s="126">
        <v>40335.0</v>
      </c>
      <c r="I3625" s="128">
        <v>2210.0</v>
      </c>
      <c r="J3625" s="128">
        <v>255.28</v>
      </c>
      <c r="K3625" s="128">
        <v>159.42</v>
      </c>
      <c r="L3625" s="128">
        <v>564168.8</v>
      </c>
      <c r="M3625" s="128">
        <v>352318.2</v>
      </c>
      <c r="N3625" s="128">
        <v>211850.6</v>
      </c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</row>
    <row r="3626">
      <c r="A3626" s="125" t="s">
        <v>469</v>
      </c>
      <c r="B3626" s="125" t="s">
        <v>632</v>
      </c>
      <c r="C3626" s="125" t="s">
        <v>514</v>
      </c>
      <c r="D3626" s="125" t="s">
        <v>454</v>
      </c>
      <c r="E3626" s="125" t="s">
        <v>189</v>
      </c>
      <c r="F3626" s="126">
        <v>40397.0</v>
      </c>
      <c r="G3626" s="127">
        <v>5.55E8</v>
      </c>
      <c r="H3626" s="126">
        <v>40403.0</v>
      </c>
      <c r="I3626" s="128">
        <v>9507.0</v>
      </c>
      <c r="J3626" s="128">
        <v>668.27</v>
      </c>
      <c r="K3626" s="128">
        <v>502.54</v>
      </c>
      <c r="L3626" s="128">
        <v>6353243.0</v>
      </c>
      <c r="M3626" s="128">
        <v>4777648.0</v>
      </c>
      <c r="N3626" s="128">
        <v>1575595.0</v>
      </c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</row>
    <row r="3627">
      <c r="A3627" s="125" t="s">
        <v>461</v>
      </c>
      <c r="B3627" s="125" t="s">
        <v>481</v>
      </c>
      <c r="C3627" s="125" t="s">
        <v>485</v>
      </c>
      <c r="D3627" s="125" t="s">
        <v>457</v>
      </c>
      <c r="E3627" s="125" t="s">
        <v>189</v>
      </c>
      <c r="F3627" s="126">
        <v>40465.0</v>
      </c>
      <c r="G3627" s="127">
        <v>9.33E8</v>
      </c>
      <c r="H3627" s="126">
        <v>40510.0</v>
      </c>
      <c r="I3627" s="128">
        <v>1419.0</v>
      </c>
      <c r="J3627" s="128">
        <v>421.89</v>
      </c>
      <c r="K3627" s="128">
        <v>364.69</v>
      </c>
      <c r="L3627" s="128">
        <v>598661.9</v>
      </c>
      <c r="M3627" s="128">
        <v>517495.1</v>
      </c>
      <c r="N3627" s="128">
        <v>81166.8</v>
      </c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</row>
    <row r="3628">
      <c r="A3628" s="125" t="s">
        <v>451</v>
      </c>
      <c r="B3628" s="125" t="s">
        <v>592</v>
      </c>
      <c r="C3628" s="125" t="s">
        <v>480</v>
      </c>
      <c r="D3628" s="125" t="s">
        <v>457</v>
      </c>
      <c r="E3628" s="125" t="s">
        <v>472</v>
      </c>
      <c r="F3628" s="126">
        <v>41213.0</v>
      </c>
      <c r="G3628" s="127">
        <v>4.38E8</v>
      </c>
      <c r="H3628" s="126">
        <v>41226.0</v>
      </c>
      <c r="I3628" s="128">
        <v>3733.0</v>
      </c>
      <c r="J3628" s="128">
        <v>437.2</v>
      </c>
      <c r="K3628" s="128">
        <v>263.33</v>
      </c>
      <c r="L3628" s="128">
        <v>1632068.0</v>
      </c>
      <c r="M3628" s="128">
        <v>983010.9</v>
      </c>
      <c r="N3628" s="128">
        <v>649056.7</v>
      </c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</row>
    <row r="3629">
      <c r="A3629" s="125" t="s">
        <v>458</v>
      </c>
      <c r="B3629" s="125" t="s">
        <v>613</v>
      </c>
      <c r="C3629" s="125" t="s">
        <v>478</v>
      </c>
      <c r="D3629" s="125" t="s">
        <v>457</v>
      </c>
      <c r="E3629" s="125" t="s">
        <v>284</v>
      </c>
      <c r="F3629" s="126">
        <v>42355.0</v>
      </c>
      <c r="G3629" s="127">
        <v>6.97E8</v>
      </c>
      <c r="H3629" s="126">
        <v>42371.0</v>
      </c>
      <c r="I3629" s="128">
        <v>9264.0</v>
      </c>
      <c r="J3629" s="128">
        <v>651.21</v>
      </c>
      <c r="K3629" s="128">
        <v>524.96</v>
      </c>
      <c r="L3629" s="128">
        <v>6032809.0</v>
      </c>
      <c r="M3629" s="128">
        <v>4863229.0</v>
      </c>
      <c r="N3629" s="128">
        <v>1169580.0</v>
      </c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</row>
    <row r="3630">
      <c r="A3630" s="125" t="s">
        <v>461</v>
      </c>
      <c r="B3630" s="125" t="s">
        <v>511</v>
      </c>
      <c r="C3630" s="125" t="s">
        <v>471</v>
      </c>
      <c r="D3630" s="125" t="s">
        <v>457</v>
      </c>
      <c r="E3630" s="125" t="s">
        <v>472</v>
      </c>
      <c r="F3630" s="126">
        <v>41229.0</v>
      </c>
      <c r="G3630" s="127">
        <v>2.58E8</v>
      </c>
      <c r="H3630" s="126">
        <v>41249.0</v>
      </c>
      <c r="I3630" s="128">
        <v>2863.0</v>
      </c>
      <c r="J3630" s="128">
        <v>109.28</v>
      </c>
      <c r="K3630" s="128">
        <v>35.84</v>
      </c>
      <c r="L3630" s="128">
        <v>312868.6</v>
      </c>
      <c r="M3630" s="128">
        <v>102609.9</v>
      </c>
      <c r="N3630" s="128">
        <v>210258.7</v>
      </c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</row>
    <row r="3631">
      <c r="A3631" s="125" t="s">
        <v>451</v>
      </c>
      <c r="B3631" s="125" t="s">
        <v>550</v>
      </c>
      <c r="C3631" s="125" t="s">
        <v>471</v>
      </c>
      <c r="D3631" s="125" t="s">
        <v>454</v>
      </c>
      <c r="E3631" s="125" t="s">
        <v>189</v>
      </c>
      <c r="F3631" s="126">
        <v>42477.0</v>
      </c>
      <c r="G3631" s="127">
        <v>4.41E8</v>
      </c>
      <c r="H3631" s="126">
        <v>42509.0</v>
      </c>
      <c r="I3631" s="128">
        <v>6409.0</v>
      </c>
      <c r="J3631" s="128">
        <v>109.28</v>
      </c>
      <c r="K3631" s="128">
        <v>35.84</v>
      </c>
      <c r="L3631" s="128">
        <v>700375.5</v>
      </c>
      <c r="M3631" s="128">
        <v>229698.6</v>
      </c>
      <c r="N3631" s="128">
        <v>470677.0</v>
      </c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</row>
    <row r="3632">
      <c r="A3632" s="125" t="s">
        <v>461</v>
      </c>
      <c r="B3632" s="125" t="s">
        <v>556</v>
      </c>
      <c r="C3632" s="125" t="s">
        <v>456</v>
      </c>
      <c r="D3632" s="125" t="s">
        <v>457</v>
      </c>
      <c r="E3632" s="125" t="s">
        <v>464</v>
      </c>
      <c r="F3632" s="126">
        <v>42833.0</v>
      </c>
      <c r="G3632" s="127">
        <v>3.84E8</v>
      </c>
      <c r="H3632" s="126">
        <v>42850.0</v>
      </c>
      <c r="I3632" s="128">
        <v>3813.0</v>
      </c>
      <c r="J3632" s="128">
        <v>152.58</v>
      </c>
      <c r="K3632" s="128">
        <v>97.44</v>
      </c>
      <c r="L3632" s="128">
        <v>581787.5</v>
      </c>
      <c r="M3632" s="128">
        <v>371538.7</v>
      </c>
      <c r="N3632" s="128">
        <v>210248.8</v>
      </c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</row>
    <row r="3633">
      <c r="A3633" s="125" t="s">
        <v>451</v>
      </c>
      <c r="B3633" s="125" t="s">
        <v>655</v>
      </c>
      <c r="C3633" s="125" t="s">
        <v>506</v>
      </c>
      <c r="D3633" s="125" t="s">
        <v>454</v>
      </c>
      <c r="E3633" s="125" t="s">
        <v>464</v>
      </c>
      <c r="F3633" s="126">
        <v>40801.0</v>
      </c>
      <c r="G3633" s="127">
        <v>1.97E8</v>
      </c>
      <c r="H3633" s="126">
        <v>40837.0</v>
      </c>
      <c r="I3633" s="128">
        <v>6018.0</v>
      </c>
      <c r="J3633" s="128">
        <v>154.06</v>
      </c>
      <c r="K3633" s="128">
        <v>90.93</v>
      </c>
      <c r="L3633" s="128">
        <v>927133.1</v>
      </c>
      <c r="M3633" s="128">
        <v>547216.7</v>
      </c>
      <c r="N3633" s="128">
        <v>379916.3</v>
      </c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</row>
    <row r="3634">
      <c r="A3634" s="125" t="s">
        <v>458</v>
      </c>
      <c r="B3634" s="125" t="s">
        <v>553</v>
      </c>
      <c r="C3634" s="125" t="s">
        <v>468</v>
      </c>
      <c r="D3634" s="125" t="s">
        <v>457</v>
      </c>
      <c r="E3634" s="125" t="s">
        <v>189</v>
      </c>
      <c r="F3634" s="126">
        <v>40808.0</v>
      </c>
      <c r="G3634" s="127">
        <v>5.09E8</v>
      </c>
      <c r="H3634" s="126">
        <v>40813.0</v>
      </c>
      <c r="I3634" s="128">
        <v>5997.0</v>
      </c>
      <c r="J3634" s="128">
        <v>81.73</v>
      </c>
      <c r="K3634" s="128">
        <v>56.67</v>
      </c>
      <c r="L3634" s="128">
        <v>490134.8</v>
      </c>
      <c r="M3634" s="128">
        <v>339850.0</v>
      </c>
      <c r="N3634" s="128">
        <v>150284.8</v>
      </c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</row>
    <row r="3635">
      <c r="A3635" s="125" t="s">
        <v>458</v>
      </c>
      <c r="B3635" s="125" t="s">
        <v>533</v>
      </c>
      <c r="C3635" s="125" t="s">
        <v>471</v>
      </c>
      <c r="D3635" s="125" t="s">
        <v>457</v>
      </c>
      <c r="E3635" s="125" t="s">
        <v>189</v>
      </c>
      <c r="F3635" s="126">
        <v>40752.0</v>
      </c>
      <c r="G3635" s="127">
        <v>2.22E8</v>
      </c>
      <c r="H3635" s="126">
        <v>40787.0</v>
      </c>
      <c r="I3635" s="128">
        <v>3755.0</v>
      </c>
      <c r="J3635" s="128">
        <v>109.28</v>
      </c>
      <c r="K3635" s="128">
        <v>35.84</v>
      </c>
      <c r="L3635" s="128">
        <v>410346.4</v>
      </c>
      <c r="M3635" s="128">
        <v>134579.2</v>
      </c>
      <c r="N3635" s="128">
        <v>275767.2</v>
      </c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</row>
    <row r="3636">
      <c r="A3636" s="125" t="s">
        <v>475</v>
      </c>
      <c r="B3636" s="125" t="s">
        <v>651</v>
      </c>
      <c r="C3636" s="125" t="s">
        <v>460</v>
      </c>
      <c r="D3636" s="125" t="s">
        <v>457</v>
      </c>
      <c r="E3636" s="125" t="s">
        <v>472</v>
      </c>
      <c r="F3636" s="126">
        <v>41688.0</v>
      </c>
      <c r="G3636" s="127">
        <v>5.54E8</v>
      </c>
      <c r="H3636" s="126">
        <v>41735.0</v>
      </c>
      <c r="I3636" s="128">
        <v>1328.0</v>
      </c>
      <c r="J3636" s="128">
        <v>47.45</v>
      </c>
      <c r="K3636" s="128">
        <v>31.79</v>
      </c>
      <c r="L3636" s="128">
        <v>63013.6</v>
      </c>
      <c r="M3636" s="128">
        <v>42217.12</v>
      </c>
      <c r="N3636" s="128">
        <v>20796.48</v>
      </c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</row>
    <row r="3637">
      <c r="A3637" s="125" t="s">
        <v>475</v>
      </c>
      <c r="B3637" s="125" t="s">
        <v>532</v>
      </c>
      <c r="C3637" s="125" t="s">
        <v>480</v>
      </c>
      <c r="D3637" s="125" t="s">
        <v>457</v>
      </c>
      <c r="E3637" s="125" t="s">
        <v>284</v>
      </c>
      <c r="F3637" s="126">
        <v>40913.0</v>
      </c>
      <c r="G3637" s="127">
        <v>9.97E8</v>
      </c>
      <c r="H3637" s="126">
        <v>40913.0</v>
      </c>
      <c r="I3637" s="128">
        <v>7784.0</v>
      </c>
      <c r="J3637" s="128">
        <v>437.2</v>
      </c>
      <c r="K3637" s="128">
        <v>263.33</v>
      </c>
      <c r="L3637" s="128">
        <v>3403165.0</v>
      </c>
      <c r="M3637" s="128">
        <v>2049761.0</v>
      </c>
      <c r="N3637" s="128">
        <v>1353404.0</v>
      </c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</row>
    <row r="3638">
      <c r="A3638" s="125" t="s">
        <v>475</v>
      </c>
      <c r="B3638" s="125" t="s">
        <v>605</v>
      </c>
      <c r="C3638" s="125" t="s">
        <v>478</v>
      </c>
      <c r="D3638" s="125" t="s">
        <v>457</v>
      </c>
      <c r="E3638" s="125" t="s">
        <v>472</v>
      </c>
      <c r="F3638" s="126">
        <v>41640.0</v>
      </c>
      <c r="G3638" s="127">
        <v>6.62E8</v>
      </c>
      <c r="H3638" s="126">
        <v>41659.0</v>
      </c>
      <c r="I3638" s="128">
        <v>4221.0</v>
      </c>
      <c r="J3638" s="128">
        <v>651.21</v>
      </c>
      <c r="K3638" s="128">
        <v>524.96</v>
      </c>
      <c r="L3638" s="128">
        <v>2748757.0</v>
      </c>
      <c r="M3638" s="128">
        <v>2215856.0</v>
      </c>
      <c r="N3638" s="128">
        <v>532901.3</v>
      </c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</row>
    <row r="3639">
      <c r="A3639" s="125" t="s">
        <v>461</v>
      </c>
      <c r="B3639" s="125" t="s">
        <v>462</v>
      </c>
      <c r="C3639" s="125" t="s">
        <v>514</v>
      </c>
      <c r="D3639" s="125" t="s">
        <v>457</v>
      </c>
      <c r="E3639" s="125" t="s">
        <v>464</v>
      </c>
      <c r="F3639" s="126">
        <v>40561.0</v>
      </c>
      <c r="G3639" s="127">
        <v>5.29E8</v>
      </c>
      <c r="H3639" s="126">
        <v>40575.0</v>
      </c>
      <c r="I3639" s="128">
        <v>8769.0</v>
      </c>
      <c r="J3639" s="128">
        <v>668.27</v>
      </c>
      <c r="K3639" s="128">
        <v>502.54</v>
      </c>
      <c r="L3639" s="128">
        <v>5860060.0</v>
      </c>
      <c r="M3639" s="128">
        <v>4406773.0</v>
      </c>
      <c r="N3639" s="128">
        <v>1453286.0</v>
      </c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</row>
    <row r="3640">
      <c r="A3640" s="125" t="s">
        <v>475</v>
      </c>
      <c r="B3640" s="125" t="s">
        <v>500</v>
      </c>
      <c r="C3640" s="125" t="s">
        <v>485</v>
      </c>
      <c r="D3640" s="125" t="s">
        <v>454</v>
      </c>
      <c r="E3640" s="125" t="s">
        <v>464</v>
      </c>
      <c r="F3640" s="126">
        <v>40285.0</v>
      </c>
      <c r="G3640" s="127">
        <v>3.01E8</v>
      </c>
      <c r="H3640" s="126">
        <v>40294.0</v>
      </c>
      <c r="I3640" s="128">
        <v>1590.0</v>
      </c>
      <c r="J3640" s="128">
        <v>421.89</v>
      </c>
      <c r="K3640" s="128">
        <v>364.69</v>
      </c>
      <c r="L3640" s="128">
        <v>670805.1</v>
      </c>
      <c r="M3640" s="128">
        <v>579857.1</v>
      </c>
      <c r="N3640" s="128">
        <v>90948.0</v>
      </c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</row>
    <row r="3641">
      <c r="A3641" s="125" t="s">
        <v>458</v>
      </c>
      <c r="B3641" s="125" t="s">
        <v>493</v>
      </c>
      <c r="C3641" s="125" t="s">
        <v>460</v>
      </c>
      <c r="D3641" s="125" t="s">
        <v>454</v>
      </c>
      <c r="E3641" s="125" t="s">
        <v>472</v>
      </c>
      <c r="F3641" s="126">
        <v>42429.0</v>
      </c>
      <c r="G3641" s="127">
        <v>6.5E8</v>
      </c>
      <c r="H3641" s="126">
        <v>42448.0</v>
      </c>
      <c r="I3641" s="128">
        <v>9875.0</v>
      </c>
      <c r="J3641" s="128">
        <v>47.45</v>
      </c>
      <c r="K3641" s="128">
        <v>31.79</v>
      </c>
      <c r="L3641" s="128">
        <v>468568.8</v>
      </c>
      <c r="M3641" s="128">
        <v>313926.3</v>
      </c>
      <c r="N3641" s="128">
        <v>154642.5</v>
      </c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</row>
    <row r="3642">
      <c r="A3642" s="125" t="s">
        <v>461</v>
      </c>
      <c r="B3642" s="125" t="s">
        <v>539</v>
      </c>
      <c r="C3642" s="125" t="s">
        <v>478</v>
      </c>
      <c r="D3642" s="125" t="s">
        <v>457</v>
      </c>
      <c r="E3642" s="125" t="s">
        <v>189</v>
      </c>
      <c r="F3642" s="126">
        <v>40702.0</v>
      </c>
      <c r="G3642" s="127">
        <v>9.68E8</v>
      </c>
      <c r="H3642" s="126">
        <v>40722.0</v>
      </c>
      <c r="I3642" s="128">
        <v>2848.0</v>
      </c>
      <c r="J3642" s="128">
        <v>651.21</v>
      </c>
      <c r="K3642" s="128">
        <v>524.96</v>
      </c>
      <c r="L3642" s="128">
        <v>1854646.0</v>
      </c>
      <c r="M3642" s="128">
        <v>1495086.0</v>
      </c>
      <c r="N3642" s="128">
        <v>359560.0</v>
      </c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</row>
    <row r="3643">
      <c r="A3643" s="125" t="s">
        <v>475</v>
      </c>
      <c r="B3643" s="125" t="s">
        <v>635</v>
      </c>
      <c r="C3643" s="125" t="s">
        <v>514</v>
      </c>
      <c r="D3643" s="125" t="s">
        <v>454</v>
      </c>
      <c r="E3643" s="125" t="s">
        <v>189</v>
      </c>
      <c r="F3643" s="126">
        <v>41646.0</v>
      </c>
      <c r="G3643" s="127">
        <v>7.17E8</v>
      </c>
      <c r="H3643" s="126">
        <v>41671.0</v>
      </c>
      <c r="I3643" s="128">
        <v>6764.0</v>
      </c>
      <c r="J3643" s="128">
        <v>668.27</v>
      </c>
      <c r="K3643" s="128">
        <v>502.54</v>
      </c>
      <c r="L3643" s="128">
        <v>4520178.0</v>
      </c>
      <c r="M3643" s="128">
        <v>3399181.0</v>
      </c>
      <c r="N3643" s="128">
        <v>1120998.0</v>
      </c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</row>
    <row r="3644">
      <c r="A3644" s="125" t="s">
        <v>469</v>
      </c>
      <c r="B3644" s="125" t="s">
        <v>530</v>
      </c>
      <c r="C3644" s="125" t="s">
        <v>453</v>
      </c>
      <c r="D3644" s="125" t="s">
        <v>454</v>
      </c>
      <c r="E3644" s="125" t="s">
        <v>189</v>
      </c>
      <c r="F3644" s="126">
        <v>41130.0</v>
      </c>
      <c r="G3644" s="127">
        <v>7.8E8</v>
      </c>
      <c r="H3644" s="126">
        <v>41143.0</v>
      </c>
      <c r="I3644" s="128">
        <v>9910.0</v>
      </c>
      <c r="J3644" s="128">
        <v>255.28</v>
      </c>
      <c r="K3644" s="128">
        <v>159.42</v>
      </c>
      <c r="L3644" s="128">
        <v>2529825.0</v>
      </c>
      <c r="M3644" s="128">
        <v>1579852.0</v>
      </c>
      <c r="N3644" s="128">
        <v>949972.6</v>
      </c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</row>
    <row r="3645">
      <c r="A3645" s="125" t="s">
        <v>475</v>
      </c>
      <c r="B3645" s="125" t="s">
        <v>635</v>
      </c>
      <c r="C3645" s="125" t="s">
        <v>453</v>
      </c>
      <c r="D3645" s="125" t="s">
        <v>457</v>
      </c>
      <c r="E3645" s="125" t="s">
        <v>284</v>
      </c>
      <c r="F3645" s="126">
        <v>42326.0</v>
      </c>
      <c r="G3645" s="127">
        <v>3.1E8</v>
      </c>
      <c r="H3645" s="126">
        <v>42376.0</v>
      </c>
      <c r="I3645" s="128">
        <v>7602.0</v>
      </c>
      <c r="J3645" s="128">
        <v>255.28</v>
      </c>
      <c r="K3645" s="128">
        <v>159.42</v>
      </c>
      <c r="L3645" s="128">
        <v>1940639.0</v>
      </c>
      <c r="M3645" s="128">
        <v>1211911.0</v>
      </c>
      <c r="N3645" s="128">
        <v>728727.7</v>
      </c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</row>
    <row r="3646">
      <c r="A3646" s="125" t="s">
        <v>461</v>
      </c>
      <c r="B3646" s="125" t="s">
        <v>556</v>
      </c>
      <c r="C3646" s="125" t="s">
        <v>460</v>
      </c>
      <c r="D3646" s="125" t="s">
        <v>454</v>
      </c>
      <c r="E3646" s="125" t="s">
        <v>464</v>
      </c>
      <c r="F3646" s="126">
        <v>40499.0</v>
      </c>
      <c r="G3646" s="127">
        <v>7.81E8</v>
      </c>
      <c r="H3646" s="126">
        <v>40514.0</v>
      </c>
      <c r="I3646" s="128">
        <v>7190.0</v>
      </c>
      <c r="J3646" s="128">
        <v>47.45</v>
      </c>
      <c r="K3646" s="128">
        <v>31.79</v>
      </c>
      <c r="L3646" s="128">
        <v>341165.5</v>
      </c>
      <c r="M3646" s="128">
        <v>228570.1</v>
      </c>
      <c r="N3646" s="128">
        <v>112595.4</v>
      </c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</row>
    <row r="3647">
      <c r="A3647" s="125" t="s">
        <v>461</v>
      </c>
      <c r="B3647" s="125" t="s">
        <v>556</v>
      </c>
      <c r="C3647" s="125" t="s">
        <v>463</v>
      </c>
      <c r="D3647" s="125" t="s">
        <v>457</v>
      </c>
      <c r="E3647" s="125" t="s">
        <v>472</v>
      </c>
      <c r="F3647" s="126">
        <v>40981.0</v>
      </c>
      <c r="G3647" s="127">
        <v>1.37E8</v>
      </c>
      <c r="H3647" s="126">
        <v>41007.0</v>
      </c>
      <c r="I3647" s="128">
        <v>3053.0</v>
      </c>
      <c r="J3647" s="128">
        <v>205.7</v>
      </c>
      <c r="K3647" s="128">
        <v>117.11</v>
      </c>
      <c r="L3647" s="128">
        <v>628002.1</v>
      </c>
      <c r="M3647" s="128">
        <v>357536.8</v>
      </c>
      <c r="N3647" s="128">
        <v>270465.3</v>
      </c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</row>
    <row r="3648">
      <c r="A3648" s="125" t="s">
        <v>469</v>
      </c>
      <c r="B3648" s="125" t="s">
        <v>617</v>
      </c>
      <c r="C3648" s="125" t="s">
        <v>485</v>
      </c>
      <c r="D3648" s="125" t="s">
        <v>454</v>
      </c>
      <c r="E3648" s="125" t="s">
        <v>189</v>
      </c>
      <c r="F3648" s="126">
        <v>41197.0</v>
      </c>
      <c r="G3648" s="127">
        <v>4.41E8</v>
      </c>
      <c r="H3648" s="126">
        <v>41211.0</v>
      </c>
      <c r="I3648" s="128">
        <v>1602.0</v>
      </c>
      <c r="J3648" s="128">
        <v>421.89</v>
      </c>
      <c r="K3648" s="128">
        <v>364.69</v>
      </c>
      <c r="L3648" s="128">
        <v>675867.8</v>
      </c>
      <c r="M3648" s="128">
        <v>584233.4</v>
      </c>
      <c r="N3648" s="128">
        <v>91634.4</v>
      </c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</row>
    <row r="3649">
      <c r="A3649" s="125" t="s">
        <v>458</v>
      </c>
      <c r="B3649" s="125" t="s">
        <v>597</v>
      </c>
      <c r="C3649" s="125" t="s">
        <v>485</v>
      </c>
      <c r="D3649" s="125" t="s">
        <v>457</v>
      </c>
      <c r="E3649" s="125" t="s">
        <v>464</v>
      </c>
      <c r="F3649" s="126">
        <v>40343.0</v>
      </c>
      <c r="G3649" s="127">
        <v>2.29E8</v>
      </c>
      <c r="H3649" s="126">
        <v>40393.0</v>
      </c>
      <c r="I3649" s="128">
        <v>6280.0</v>
      </c>
      <c r="J3649" s="128">
        <v>421.89</v>
      </c>
      <c r="K3649" s="128">
        <v>364.69</v>
      </c>
      <c r="L3649" s="128">
        <v>2649469.0</v>
      </c>
      <c r="M3649" s="128">
        <v>2290253.0</v>
      </c>
      <c r="N3649" s="128">
        <v>359216.0</v>
      </c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</row>
    <row r="3650">
      <c r="A3650" s="125" t="s">
        <v>475</v>
      </c>
      <c r="B3650" s="125" t="s">
        <v>572</v>
      </c>
      <c r="C3650" s="125" t="s">
        <v>453</v>
      </c>
      <c r="D3650" s="125" t="s">
        <v>457</v>
      </c>
      <c r="E3650" s="125" t="s">
        <v>189</v>
      </c>
      <c r="F3650" s="126">
        <v>40772.0</v>
      </c>
      <c r="G3650" s="127">
        <v>3.55E8</v>
      </c>
      <c r="H3650" s="126">
        <v>40784.0</v>
      </c>
      <c r="I3650" s="128">
        <v>2560.0</v>
      </c>
      <c r="J3650" s="128">
        <v>255.28</v>
      </c>
      <c r="K3650" s="128">
        <v>159.42</v>
      </c>
      <c r="L3650" s="128">
        <v>653516.8</v>
      </c>
      <c r="M3650" s="128">
        <v>408115.2</v>
      </c>
      <c r="N3650" s="128">
        <v>245401.6</v>
      </c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</row>
    <row r="3651">
      <c r="A3651" s="125" t="s">
        <v>466</v>
      </c>
      <c r="B3651" s="125" t="s">
        <v>580</v>
      </c>
      <c r="C3651" s="125" t="s">
        <v>453</v>
      </c>
      <c r="D3651" s="125" t="s">
        <v>457</v>
      </c>
      <c r="E3651" s="125" t="s">
        <v>189</v>
      </c>
      <c r="F3651" s="126">
        <v>41073.0</v>
      </c>
      <c r="G3651" s="127">
        <v>8.43E8</v>
      </c>
      <c r="H3651" s="126">
        <v>41099.0</v>
      </c>
      <c r="I3651" s="128">
        <v>2948.0</v>
      </c>
      <c r="J3651" s="128">
        <v>255.28</v>
      </c>
      <c r="K3651" s="128">
        <v>159.42</v>
      </c>
      <c r="L3651" s="128">
        <v>752565.4</v>
      </c>
      <c r="M3651" s="128">
        <v>469970.2</v>
      </c>
      <c r="N3651" s="128">
        <v>282595.3</v>
      </c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</row>
    <row r="3652">
      <c r="A3652" s="125" t="s">
        <v>461</v>
      </c>
      <c r="B3652" s="125" t="s">
        <v>578</v>
      </c>
      <c r="C3652" s="125" t="s">
        <v>494</v>
      </c>
      <c r="D3652" s="125" t="s">
        <v>457</v>
      </c>
      <c r="E3652" s="125" t="s">
        <v>189</v>
      </c>
      <c r="F3652" s="126">
        <v>40228.0</v>
      </c>
      <c r="G3652" s="127">
        <v>4.4E8</v>
      </c>
      <c r="H3652" s="126">
        <v>40251.0</v>
      </c>
      <c r="I3652" s="128">
        <v>1978.0</v>
      </c>
      <c r="J3652" s="128">
        <v>9.33</v>
      </c>
      <c r="K3652" s="128">
        <v>6.92</v>
      </c>
      <c r="L3652" s="128">
        <v>18454.74</v>
      </c>
      <c r="M3652" s="128">
        <v>13687.76</v>
      </c>
      <c r="N3652" s="128">
        <v>4766.98</v>
      </c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</row>
    <row r="3653">
      <c r="A3653" s="125" t="s">
        <v>475</v>
      </c>
      <c r="B3653" s="125" t="s">
        <v>532</v>
      </c>
      <c r="C3653" s="125" t="s">
        <v>471</v>
      </c>
      <c r="D3653" s="125" t="s">
        <v>454</v>
      </c>
      <c r="E3653" s="125" t="s">
        <v>284</v>
      </c>
      <c r="F3653" s="126">
        <v>41754.0</v>
      </c>
      <c r="G3653" s="127">
        <v>6.61E8</v>
      </c>
      <c r="H3653" s="126">
        <v>41780.0</v>
      </c>
      <c r="I3653" s="128">
        <v>1220.0</v>
      </c>
      <c r="J3653" s="128">
        <v>109.28</v>
      </c>
      <c r="K3653" s="128">
        <v>35.84</v>
      </c>
      <c r="L3653" s="128">
        <v>133321.6</v>
      </c>
      <c r="M3653" s="128">
        <v>43724.8</v>
      </c>
      <c r="N3653" s="128">
        <v>89596.8</v>
      </c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</row>
    <row r="3654">
      <c r="A3654" s="125" t="s">
        <v>461</v>
      </c>
      <c r="B3654" s="125" t="s">
        <v>621</v>
      </c>
      <c r="C3654" s="125" t="s">
        <v>453</v>
      </c>
      <c r="D3654" s="125" t="s">
        <v>454</v>
      </c>
      <c r="E3654" s="125" t="s">
        <v>284</v>
      </c>
      <c r="F3654" s="126">
        <v>41261.0</v>
      </c>
      <c r="G3654" s="127">
        <v>8.42E8</v>
      </c>
      <c r="H3654" s="126">
        <v>41282.0</v>
      </c>
      <c r="I3654" s="128">
        <v>4271.0</v>
      </c>
      <c r="J3654" s="128">
        <v>255.28</v>
      </c>
      <c r="K3654" s="128">
        <v>159.42</v>
      </c>
      <c r="L3654" s="128">
        <v>1090301.0</v>
      </c>
      <c r="M3654" s="128">
        <v>680882.8</v>
      </c>
      <c r="N3654" s="128">
        <v>409418.1</v>
      </c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</row>
    <row r="3655">
      <c r="A3655" s="125" t="s">
        <v>475</v>
      </c>
      <c r="B3655" s="125" t="s">
        <v>562</v>
      </c>
      <c r="C3655" s="125" t="s">
        <v>471</v>
      </c>
      <c r="D3655" s="125" t="s">
        <v>454</v>
      </c>
      <c r="E3655" s="125" t="s">
        <v>472</v>
      </c>
      <c r="F3655" s="126">
        <v>41663.0</v>
      </c>
      <c r="G3655" s="127">
        <v>3.89E8</v>
      </c>
      <c r="H3655" s="126">
        <v>41694.0</v>
      </c>
      <c r="I3655" s="128">
        <v>1761.0</v>
      </c>
      <c r="J3655" s="128">
        <v>109.28</v>
      </c>
      <c r="K3655" s="128">
        <v>35.84</v>
      </c>
      <c r="L3655" s="128">
        <v>192442.1</v>
      </c>
      <c r="M3655" s="128">
        <v>63114.24</v>
      </c>
      <c r="N3655" s="128">
        <v>129327.8</v>
      </c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</row>
    <row r="3656">
      <c r="A3656" s="125" t="s">
        <v>475</v>
      </c>
      <c r="B3656" s="125" t="s">
        <v>536</v>
      </c>
      <c r="C3656" s="125" t="s">
        <v>485</v>
      </c>
      <c r="D3656" s="125" t="s">
        <v>457</v>
      </c>
      <c r="E3656" s="125" t="s">
        <v>284</v>
      </c>
      <c r="F3656" s="126">
        <v>40728.0</v>
      </c>
      <c r="G3656" s="127">
        <v>1.29E8</v>
      </c>
      <c r="H3656" s="126">
        <v>40773.0</v>
      </c>
      <c r="I3656" s="128">
        <v>6351.0</v>
      </c>
      <c r="J3656" s="128">
        <v>421.89</v>
      </c>
      <c r="K3656" s="128">
        <v>364.69</v>
      </c>
      <c r="L3656" s="128">
        <v>2679423.0</v>
      </c>
      <c r="M3656" s="128">
        <v>2316146.0</v>
      </c>
      <c r="N3656" s="128">
        <v>363277.2</v>
      </c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</row>
    <row r="3657">
      <c r="A3657" s="125" t="s">
        <v>461</v>
      </c>
      <c r="B3657" s="125" t="s">
        <v>578</v>
      </c>
      <c r="C3657" s="125" t="s">
        <v>456</v>
      </c>
      <c r="D3657" s="125" t="s">
        <v>457</v>
      </c>
      <c r="E3657" s="125" t="s">
        <v>464</v>
      </c>
      <c r="F3657" s="126">
        <v>40767.0</v>
      </c>
      <c r="G3657" s="127">
        <v>9.58E8</v>
      </c>
      <c r="H3657" s="126">
        <v>40804.0</v>
      </c>
      <c r="I3657" s="128">
        <v>7734.0</v>
      </c>
      <c r="J3657" s="128">
        <v>152.58</v>
      </c>
      <c r="K3657" s="128">
        <v>97.44</v>
      </c>
      <c r="L3657" s="128">
        <v>1180054.0</v>
      </c>
      <c r="M3657" s="128">
        <v>753601.0</v>
      </c>
      <c r="N3657" s="128">
        <v>426452.8</v>
      </c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</row>
    <row r="3658">
      <c r="A3658" s="125" t="s">
        <v>466</v>
      </c>
      <c r="B3658" s="125" t="s">
        <v>531</v>
      </c>
      <c r="C3658" s="125" t="s">
        <v>453</v>
      </c>
      <c r="D3658" s="125" t="s">
        <v>454</v>
      </c>
      <c r="E3658" s="125" t="s">
        <v>472</v>
      </c>
      <c r="F3658" s="126">
        <v>41708.0</v>
      </c>
      <c r="G3658" s="127">
        <v>6.95E8</v>
      </c>
      <c r="H3658" s="126">
        <v>41755.0</v>
      </c>
      <c r="I3658" s="128">
        <v>7634.0</v>
      </c>
      <c r="J3658" s="128">
        <v>255.28</v>
      </c>
      <c r="K3658" s="128">
        <v>159.42</v>
      </c>
      <c r="L3658" s="128">
        <v>1948808.0</v>
      </c>
      <c r="M3658" s="128">
        <v>1217012.0</v>
      </c>
      <c r="N3658" s="128">
        <v>731795.2</v>
      </c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</row>
    <row r="3659">
      <c r="A3659" s="125" t="s">
        <v>461</v>
      </c>
      <c r="B3659" s="125" t="s">
        <v>576</v>
      </c>
      <c r="C3659" s="125" t="s">
        <v>485</v>
      </c>
      <c r="D3659" s="125" t="s">
        <v>454</v>
      </c>
      <c r="E3659" s="125" t="s">
        <v>472</v>
      </c>
      <c r="F3659" s="126">
        <v>42491.0</v>
      </c>
      <c r="G3659" s="127">
        <v>8.27E8</v>
      </c>
      <c r="H3659" s="126">
        <v>42491.0</v>
      </c>
      <c r="I3659" s="128">
        <v>4805.0</v>
      </c>
      <c r="J3659" s="128">
        <v>421.89</v>
      </c>
      <c r="K3659" s="128">
        <v>364.69</v>
      </c>
      <c r="L3659" s="128">
        <v>2027181.0</v>
      </c>
      <c r="M3659" s="128">
        <v>1752335.0</v>
      </c>
      <c r="N3659" s="128">
        <v>274846.0</v>
      </c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</row>
    <row r="3660">
      <c r="A3660" s="125" t="s">
        <v>458</v>
      </c>
      <c r="B3660" s="125" t="s">
        <v>538</v>
      </c>
      <c r="C3660" s="125" t="s">
        <v>478</v>
      </c>
      <c r="D3660" s="125" t="s">
        <v>457</v>
      </c>
      <c r="E3660" s="125" t="s">
        <v>189</v>
      </c>
      <c r="F3660" s="126">
        <v>42440.0</v>
      </c>
      <c r="G3660" s="127">
        <v>6.6E8</v>
      </c>
      <c r="H3660" s="126">
        <v>42480.0</v>
      </c>
      <c r="I3660" s="128">
        <v>33.0</v>
      </c>
      <c r="J3660" s="128">
        <v>651.21</v>
      </c>
      <c r="K3660" s="128">
        <v>524.96</v>
      </c>
      <c r="L3660" s="128">
        <v>21489.93</v>
      </c>
      <c r="M3660" s="128">
        <v>17323.68</v>
      </c>
      <c r="N3660" s="128">
        <v>4166.25</v>
      </c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</row>
    <row r="3661">
      <c r="A3661" s="125" t="s">
        <v>469</v>
      </c>
      <c r="B3661" s="125" t="s">
        <v>503</v>
      </c>
      <c r="C3661" s="125" t="s">
        <v>463</v>
      </c>
      <c r="D3661" s="125" t="s">
        <v>457</v>
      </c>
      <c r="E3661" s="125" t="s">
        <v>464</v>
      </c>
      <c r="F3661" s="126">
        <v>42654.0</v>
      </c>
      <c r="G3661" s="127">
        <v>4.75E8</v>
      </c>
      <c r="H3661" s="126">
        <v>42696.0</v>
      </c>
      <c r="I3661" s="128">
        <v>1136.0</v>
      </c>
      <c r="J3661" s="128">
        <v>205.7</v>
      </c>
      <c r="K3661" s="128">
        <v>117.11</v>
      </c>
      <c r="L3661" s="128">
        <v>233675.2</v>
      </c>
      <c r="M3661" s="128">
        <v>133037.0</v>
      </c>
      <c r="N3661" s="128">
        <v>100638.2</v>
      </c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</row>
    <row r="3662">
      <c r="A3662" s="125" t="s">
        <v>458</v>
      </c>
      <c r="B3662" s="125" t="s">
        <v>582</v>
      </c>
      <c r="C3662" s="125" t="s">
        <v>478</v>
      </c>
      <c r="D3662" s="125" t="s">
        <v>457</v>
      </c>
      <c r="E3662" s="125" t="s">
        <v>472</v>
      </c>
      <c r="F3662" s="126">
        <v>41854.0</v>
      </c>
      <c r="G3662" s="127">
        <v>1.68E8</v>
      </c>
      <c r="H3662" s="126">
        <v>41903.0</v>
      </c>
      <c r="I3662" s="128">
        <v>7962.0</v>
      </c>
      <c r="J3662" s="128">
        <v>651.21</v>
      </c>
      <c r="K3662" s="128">
        <v>524.96</v>
      </c>
      <c r="L3662" s="128">
        <v>5184934.0</v>
      </c>
      <c r="M3662" s="128">
        <v>4179732.0</v>
      </c>
      <c r="N3662" s="128">
        <v>1005203.0</v>
      </c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</row>
    <row r="3663">
      <c r="A3663" s="125" t="s">
        <v>458</v>
      </c>
      <c r="B3663" s="125" t="s">
        <v>533</v>
      </c>
      <c r="C3663" s="125" t="s">
        <v>485</v>
      </c>
      <c r="D3663" s="125" t="s">
        <v>454</v>
      </c>
      <c r="E3663" s="125" t="s">
        <v>189</v>
      </c>
      <c r="F3663" s="126">
        <v>40532.0</v>
      </c>
      <c r="G3663" s="127">
        <v>6.1E8</v>
      </c>
      <c r="H3663" s="126">
        <v>40574.0</v>
      </c>
      <c r="I3663" s="128">
        <v>7392.0</v>
      </c>
      <c r="J3663" s="128">
        <v>421.89</v>
      </c>
      <c r="K3663" s="128">
        <v>364.69</v>
      </c>
      <c r="L3663" s="128">
        <v>3118611.0</v>
      </c>
      <c r="M3663" s="128">
        <v>2695788.0</v>
      </c>
      <c r="N3663" s="128">
        <v>422822.4</v>
      </c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</row>
    <row r="3664">
      <c r="A3664" s="125" t="s">
        <v>451</v>
      </c>
      <c r="B3664" s="125" t="s">
        <v>543</v>
      </c>
      <c r="C3664" s="125" t="s">
        <v>494</v>
      </c>
      <c r="D3664" s="125" t="s">
        <v>454</v>
      </c>
      <c r="E3664" s="125" t="s">
        <v>189</v>
      </c>
      <c r="F3664" s="126">
        <v>42337.0</v>
      </c>
      <c r="G3664" s="127">
        <v>4.88E8</v>
      </c>
      <c r="H3664" s="126">
        <v>42350.0</v>
      </c>
      <c r="I3664" s="128">
        <v>8336.0</v>
      </c>
      <c r="J3664" s="128">
        <v>9.33</v>
      </c>
      <c r="K3664" s="128">
        <v>6.92</v>
      </c>
      <c r="L3664" s="128">
        <v>77774.88</v>
      </c>
      <c r="M3664" s="128">
        <v>57685.12</v>
      </c>
      <c r="N3664" s="128">
        <v>20089.76</v>
      </c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</row>
    <row r="3665">
      <c r="A3665" s="125" t="s">
        <v>451</v>
      </c>
      <c r="B3665" s="125" t="s">
        <v>543</v>
      </c>
      <c r="C3665" s="125" t="s">
        <v>514</v>
      </c>
      <c r="D3665" s="125" t="s">
        <v>457</v>
      </c>
      <c r="E3665" s="125" t="s">
        <v>472</v>
      </c>
      <c r="F3665" s="126">
        <v>41625.0</v>
      </c>
      <c r="G3665" s="127">
        <v>3.63E8</v>
      </c>
      <c r="H3665" s="126">
        <v>41671.0</v>
      </c>
      <c r="I3665" s="128">
        <v>6737.0</v>
      </c>
      <c r="J3665" s="128">
        <v>668.27</v>
      </c>
      <c r="K3665" s="128">
        <v>502.54</v>
      </c>
      <c r="L3665" s="128">
        <v>4502135.0</v>
      </c>
      <c r="M3665" s="128">
        <v>3385612.0</v>
      </c>
      <c r="N3665" s="128">
        <v>1116523.0</v>
      </c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</row>
    <row r="3666">
      <c r="A3666" s="125" t="s">
        <v>466</v>
      </c>
      <c r="B3666" s="125" t="s">
        <v>580</v>
      </c>
      <c r="C3666" s="125" t="s">
        <v>494</v>
      </c>
      <c r="D3666" s="125" t="s">
        <v>457</v>
      </c>
      <c r="E3666" s="125" t="s">
        <v>284</v>
      </c>
      <c r="F3666" s="126">
        <v>41438.0</v>
      </c>
      <c r="G3666" s="127">
        <v>4.14E8</v>
      </c>
      <c r="H3666" s="126">
        <v>41472.0</v>
      </c>
      <c r="I3666" s="128">
        <v>569.0</v>
      </c>
      <c r="J3666" s="128">
        <v>9.33</v>
      </c>
      <c r="K3666" s="128">
        <v>6.92</v>
      </c>
      <c r="L3666" s="128">
        <v>5308.77</v>
      </c>
      <c r="M3666" s="128">
        <v>3937.48</v>
      </c>
      <c r="N3666" s="128">
        <v>1371.29</v>
      </c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</row>
    <row r="3667">
      <c r="A3667" s="125" t="s">
        <v>458</v>
      </c>
      <c r="B3667" s="125" t="s">
        <v>633</v>
      </c>
      <c r="C3667" s="125" t="s">
        <v>453</v>
      </c>
      <c r="D3667" s="125" t="s">
        <v>457</v>
      </c>
      <c r="E3667" s="125" t="s">
        <v>472</v>
      </c>
      <c r="F3667" s="126">
        <v>41059.0</v>
      </c>
      <c r="G3667" s="127">
        <v>8.92E8</v>
      </c>
      <c r="H3667" s="126">
        <v>41071.0</v>
      </c>
      <c r="I3667" s="128">
        <v>4835.0</v>
      </c>
      <c r="J3667" s="128">
        <v>255.28</v>
      </c>
      <c r="K3667" s="128">
        <v>159.42</v>
      </c>
      <c r="L3667" s="128">
        <v>1234279.0</v>
      </c>
      <c r="M3667" s="128">
        <v>770795.7</v>
      </c>
      <c r="N3667" s="128">
        <v>463483.1</v>
      </c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</row>
    <row r="3668">
      <c r="A3668" s="125" t="s">
        <v>458</v>
      </c>
      <c r="B3668" s="125" t="s">
        <v>518</v>
      </c>
      <c r="C3668" s="125" t="s">
        <v>494</v>
      </c>
      <c r="D3668" s="125" t="s">
        <v>454</v>
      </c>
      <c r="E3668" s="125" t="s">
        <v>464</v>
      </c>
      <c r="F3668" s="126">
        <v>42926.0</v>
      </c>
      <c r="G3668" s="127">
        <v>7.66E8</v>
      </c>
      <c r="H3668" s="126">
        <v>42951.0</v>
      </c>
      <c r="I3668" s="128">
        <v>6574.0</v>
      </c>
      <c r="J3668" s="128">
        <v>9.33</v>
      </c>
      <c r="K3668" s="128">
        <v>6.92</v>
      </c>
      <c r="L3668" s="128">
        <v>61335.42</v>
      </c>
      <c r="M3668" s="128">
        <v>45492.08</v>
      </c>
      <c r="N3668" s="128">
        <v>15843.34</v>
      </c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</row>
    <row r="3669">
      <c r="A3669" s="125" t="s">
        <v>451</v>
      </c>
      <c r="B3669" s="125" t="s">
        <v>596</v>
      </c>
      <c r="C3669" s="125" t="s">
        <v>471</v>
      </c>
      <c r="D3669" s="125" t="s">
        <v>454</v>
      </c>
      <c r="E3669" s="125" t="s">
        <v>472</v>
      </c>
      <c r="F3669" s="126">
        <v>40186.0</v>
      </c>
      <c r="G3669" s="127">
        <v>8.77E8</v>
      </c>
      <c r="H3669" s="126">
        <v>40195.0</v>
      </c>
      <c r="I3669" s="128">
        <v>9851.0</v>
      </c>
      <c r="J3669" s="128">
        <v>109.28</v>
      </c>
      <c r="K3669" s="128">
        <v>35.84</v>
      </c>
      <c r="L3669" s="128">
        <v>1076517.0</v>
      </c>
      <c r="M3669" s="128">
        <v>353059.8</v>
      </c>
      <c r="N3669" s="128">
        <v>723457.4</v>
      </c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</row>
    <row r="3670">
      <c r="A3670" s="125" t="s">
        <v>469</v>
      </c>
      <c r="B3670" s="125" t="s">
        <v>501</v>
      </c>
      <c r="C3670" s="125" t="s">
        <v>460</v>
      </c>
      <c r="D3670" s="125" t="s">
        <v>454</v>
      </c>
      <c r="E3670" s="125" t="s">
        <v>464</v>
      </c>
      <c r="F3670" s="126">
        <v>40201.0</v>
      </c>
      <c r="G3670" s="127">
        <v>7.86E8</v>
      </c>
      <c r="H3670" s="126">
        <v>40212.0</v>
      </c>
      <c r="I3670" s="128">
        <v>765.0</v>
      </c>
      <c r="J3670" s="128">
        <v>47.45</v>
      </c>
      <c r="K3670" s="128">
        <v>31.79</v>
      </c>
      <c r="L3670" s="128">
        <v>36299.25</v>
      </c>
      <c r="M3670" s="128">
        <v>24319.35</v>
      </c>
      <c r="N3670" s="128">
        <v>11979.9</v>
      </c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</row>
    <row r="3671">
      <c r="A3671" s="125" t="s">
        <v>458</v>
      </c>
      <c r="B3671" s="125" t="s">
        <v>518</v>
      </c>
      <c r="C3671" s="125" t="s">
        <v>463</v>
      </c>
      <c r="D3671" s="125" t="s">
        <v>457</v>
      </c>
      <c r="E3671" s="125" t="s">
        <v>464</v>
      </c>
      <c r="F3671" s="126">
        <v>41047.0</v>
      </c>
      <c r="G3671" s="127">
        <v>1.25E8</v>
      </c>
      <c r="H3671" s="126">
        <v>41066.0</v>
      </c>
      <c r="I3671" s="128">
        <v>2447.0</v>
      </c>
      <c r="J3671" s="128">
        <v>205.7</v>
      </c>
      <c r="K3671" s="128">
        <v>117.11</v>
      </c>
      <c r="L3671" s="128">
        <v>503347.9</v>
      </c>
      <c r="M3671" s="128">
        <v>286568.2</v>
      </c>
      <c r="N3671" s="128">
        <v>216779.7</v>
      </c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</row>
    <row r="3672">
      <c r="A3672" s="125" t="s">
        <v>451</v>
      </c>
      <c r="B3672" s="125" t="s">
        <v>596</v>
      </c>
      <c r="C3672" s="125" t="s">
        <v>468</v>
      </c>
      <c r="D3672" s="125" t="s">
        <v>454</v>
      </c>
      <c r="E3672" s="125" t="s">
        <v>189</v>
      </c>
      <c r="F3672" s="126">
        <v>41183.0</v>
      </c>
      <c r="G3672" s="127">
        <v>8.45E8</v>
      </c>
      <c r="H3672" s="126">
        <v>41215.0</v>
      </c>
      <c r="I3672" s="128">
        <v>58.0</v>
      </c>
      <c r="J3672" s="128">
        <v>81.73</v>
      </c>
      <c r="K3672" s="128">
        <v>56.67</v>
      </c>
      <c r="L3672" s="128">
        <v>4740.34</v>
      </c>
      <c r="M3672" s="128">
        <v>3286.86</v>
      </c>
      <c r="N3672" s="128">
        <v>1453.48</v>
      </c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</row>
    <row r="3673">
      <c r="A3673" s="125" t="s">
        <v>466</v>
      </c>
      <c r="B3673" s="125" t="s">
        <v>607</v>
      </c>
      <c r="C3673" s="125" t="s">
        <v>514</v>
      </c>
      <c r="D3673" s="125" t="s">
        <v>457</v>
      </c>
      <c r="E3673" s="125" t="s">
        <v>464</v>
      </c>
      <c r="F3673" s="126">
        <v>40843.0</v>
      </c>
      <c r="G3673" s="127">
        <v>4.69E8</v>
      </c>
      <c r="H3673" s="126">
        <v>40881.0</v>
      </c>
      <c r="I3673" s="128">
        <v>5789.0</v>
      </c>
      <c r="J3673" s="128">
        <v>668.27</v>
      </c>
      <c r="K3673" s="128">
        <v>502.54</v>
      </c>
      <c r="L3673" s="128">
        <v>3868615.0</v>
      </c>
      <c r="M3673" s="128">
        <v>2909204.0</v>
      </c>
      <c r="N3673" s="128">
        <v>959411.0</v>
      </c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</row>
    <row r="3674">
      <c r="A3674" s="125" t="s">
        <v>466</v>
      </c>
      <c r="B3674" s="125" t="s">
        <v>484</v>
      </c>
      <c r="C3674" s="125" t="s">
        <v>478</v>
      </c>
      <c r="D3674" s="125" t="s">
        <v>457</v>
      </c>
      <c r="E3674" s="125" t="s">
        <v>472</v>
      </c>
      <c r="F3674" s="126">
        <v>40651.0</v>
      </c>
      <c r="G3674" s="127">
        <v>6.37E8</v>
      </c>
      <c r="H3674" s="126">
        <v>40689.0</v>
      </c>
      <c r="I3674" s="128">
        <v>3865.0</v>
      </c>
      <c r="J3674" s="128">
        <v>651.21</v>
      </c>
      <c r="K3674" s="128">
        <v>524.96</v>
      </c>
      <c r="L3674" s="128">
        <v>2516927.0</v>
      </c>
      <c r="M3674" s="128">
        <v>2028970.0</v>
      </c>
      <c r="N3674" s="128">
        <v>487956.3</v>
      </c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</row>
    <row r="3675">
      <c r="A3675" s="125" t="s">
        <v>475</v>
      </c>
      <c r="B3675" s="125" t="s">
        <v>628</v>
      </c>
      <c r="C3675" s="125" t="s">
        <v>463</v>
      </c>
      <c r="D3675" s="125" t="s">
        <v>454</v>
      </c>
      <c r="E3675" s="125" t="s">
        <v>189</v>
      </c>
      <c r="F3675" s="126">
        <v>40235.0</v>
      </c>
      <c r="G3675" s="127">
        <v>3.64E8</v>
      </c>
      <c r="H3675" s="126">
        <v>40257.0</v>
      </c>
      <c r="I3675" s="128">
        <v>5540.0</v>
      </c>
      <c r="J3675" s="128">
        <v>205.7</v>
      </c>
      <c r="K3675" s="128">
        <v>117.11</v>
      </c>
      <c r="L3675" s="128">
        <v>1139578.0</v>
      </c>
      <c r="M3675" s="128">
        <v>648789.4</v>
      </c>
      <c r="N3675" s="128">
        <v>490788.6</v>
      </c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</row>
    <row r="3676">
      <c r="A3676" s="125" t="s">
        <v>466</v>
      </c>
      <c r="B3676" s="125" t="s">
        <v>508</v>
      </c>
      <c r="C3676" s="125" t="s">
        <v>478</v>
      </c>
      <c r="D3676" s="125" t="s">
        <v>454</v>
      </c>
      <c r="E3676" s="125" t="s">
        <v>189</v>
      </c>
      <c r="F3676" s="126">
        <v>42378.0</v>
      </c>
      <c r="G3676" s="127">
        <v>9.81E8</v>
      </c>
      <c r="H3676" s="126">
        <v>42421.0</v>
      </c>
      <c r="I3676" s="128">
        <v>4101.0</v>
      </c>
      <c r="J3676" s="128">
        <v>651.21</v>
      </c>
      <c r="K3676" s="128">
        <v>524.96</v>
      </c>
      <c r="L3676" s="128">
        <v>2670612.0</v>
      </c>
      <c r="M3676" s="128">
        <v>2152861.0</v>
      </c>
      <c r="N3676" s="128">
        <v>517751.3</v>
      </c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</row>
    <row r="3677">
      <c r="A3677" s="125" t="s">
        <v>475</v>
      </c>
      <c r="B3677" s="125" t="s">
        <v>571</v>
      </c>
      <c r="C3677" s="125" t="s">
        <v>468</v>
      </c>
      <c r="D3677" s="125" t="s">
        <v>457</v>
      </c>
      <c r="E3677" s="125" t="s">
        <v>464</v>
      </c>
      <c r="F3677" s="126">
        <v>40572.0</v>
      </c>
      <c r="G3677" s="127">
        <v>2.92E8</v>
      </c>
      <c r="H3677" s="126">
        <v>40613.0</v>
      </c>
      <c r="I3677" s="128">
        <v>9865.0</v>
      </c>
      <c r="J3677" s="128">
        <v>81.73</v>
      </c>
      <c r="K3677" s="128">
        <v>56.67</v>
      </c>
      <c r="L3677" s="128">
        <v>806266.5</v>
      </c>
      <c r="M3677" s="128">
        <v>559049.6</v>
      </c>
      <c r="N3677" s="128">
        <v>247216.9</v>
      </c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</row>
    <row r="3678">
      <c r="A3678" s="125" t="s">
        <v>466</v>
      </c>
      <c r="B3678" s="125" t="s">
        <v>479</v>
      </c>
      <c r="C3678" s="125" t="s">
        <v>480</v>
      </c>
      <c r="D3678" s="125" t="s">
        <v>454</v>
      </c>
      <c r="E3678" s="125" t="s">
        <v>464</v>
      </c>
      <c r="F3678" s="126">
        <v>42528.0</v>
      </c>
      <c r="G3678" s="127">
        <v>2.2E8</v>
      </c>
      <c r="H3678" s="126">
        <v>42550.0</v>
      </c>
      <c r="I3678" s="128">
        <v>5180.0</v>
      </c>
      <c r="J3678" s="128">
        <v>437.2</v>
      </c>
      <c r="K3678" s="128">
        <v>263.33</v>
      </c>
      <c r="L3678" s="128">
        <v>2264696.0</v>
      </c>
      <c r="M3678" s="128">
        <v>1364049.0</v>
      </c>
      <c r="N3678" s="128">
        <v>900646.6</v>
      </c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</row>
    <row r="3679">
      <c r="A3679" s="125" t="s">
        <v>461</v>
      </c>
      <c r="B3679" s="125" t="s">
        <v>644</v>
      </c>
      <c r="C3679" s="125" t="s">
        <v>480</v>
      </c>
      <c r="D3679" s="125" t="s">
        <v>457</v>
      </c>
      <c r="E3679" s="125" t="s">
        <v>284</v>
      </c>
      <c r="F3679" s="126">
        <v>41132.0</v>
      </c>
      <c r="G3679" s="127">
        <v>9.6E8</v>
      </c>
      <c r="H3679" s="126">
        <v>41159.0</v>
      </c>
      <c r="I3679" s="128">
        <v>9426.0</v>
      </c>
      <c r="J3679" s="128">
        <v>437.2</v>
      </c>
      <c r="K3679" s="128">
        <v>263.33</v>
      </c>
      <c r="L3679" s="128">
        <v>4121047.0</v>
      </c>
      <c r="M3679" s="128">
        <v>2482149.0</v>
      </c>
      <c r="N3679" s="128">
        <v>1638899.0</v>
      </c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</row>
    <row r="3680">
      <c r="A3680" s="125" t="s">
        <v>469</v>
      </c>
      <c r="B3680" s="125" t="s">
        <v>519</v>
      </c>
      <c r="C3680" s="125" t="s">
        <v>463</v>
      </c>
      <c r="D3680" s="125" t="s">
        <v>454</v>
      </c>
      <c r="E3680" s="125" t="s">
        <v>284</v>
      </c>
      <c r="F3680" s="126">
        <v>40722.0</v>
      </c>
      <c r="G3680" s="127">
        <v>5.25E8</v>
      </c>
      <c r="H3680" s="126">
        <v>40736.0</v>
      </c>
      <c r="I3680" s="128">
        <v>4016.0</v>
      </c>
      <c r="J3680" s="128">
        <v>205.7</v>
      </c>
      <c r="K3680" s="128">
        <v>117.11</v>
      </c>
      <c r="L3680" s="128">
        <v>826091.2</v>
      </c>
      <c r="M3680" s="128">
        <v>470313.8</v>
      </c>
      <c r="N3680" s="128">
        <v>355777.4</v>
      </c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</row>
    <row r="3681">
      <c r="A3681" s="125" t="s">
        <v>461</v>
      </c>
      <c r="B3681" s="125" t="s">
        <v>638</v>
      </c>
      <c r="C3681" s="125" t="s">
        <v>514</v>
      </c>
      <c r="D3681" s="125" t="s">
        <v>457</v>
      </c>
      <c r="E3681" s="125" t="s">
        <v>472</v>
      </c>
      <c r="F3681" s="126">
        <v>41880.0</v>
      </c>
      <c r="G3681" s="127">
        <v>6.0E8</v>
      </c>
      <c r="H3681" s="126">
        <v>41906.0</v>
      </c>
      <c r="I3681" s="128">
        <v>7390.0</v>
      </c>
      <c r="J3681" s="128">
        <v>668.27</v>
      </c>
      <c r="K3681" s="128">
        <v>502.54</v>
      </c>
      <c r="L3681" s="128">
        <v>4938515.0</v>
      </c>
      <c r="M3681" s="128">
        <v>3713771.0</v>
      </c>
      <c r="N3681" s="128">
        <v>1224745.0</v>
      </c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</row>
    <row r="3682">
      <c r="A3682" s="125" t="s">
        <v>458</v>
      </c>
      <c r="B3682" s="125" t="s">
        <v>529</v>
      </c>
      <c r="C3682" s="125" t="s">
        <v>506</v>
      </c>
      <c r="D3682" s="125" t="s">
        <v>457</v>
      </c>
      <c r="E3682" s="125" t="s">
        <v>472</v>
      </c>
      <c r="F3682" s="126">
        <v>42806.0</v>
      </c>
      <c r="G3682" s="127">
        <v>6.89E8</v>
      </c>
      <c r="H3682" s="126">
        <v>42826.0</v>
      </c>
      <c r="I3682" s="128">
        <v>22.0</v>
      </c>
      <c r="J3682" s="128">
        <v>154.06</v>
      </c>
      <c r="K3682" s="128">
        <v>90.93</v>
      </c>
      <c r="L3682" s="128">
        <v>3389.32</v>
      </c>
      <c r="M3682" s="128">
        <v>2000.46</v>
      </c>
      <c r="N3682" s="128">
        <v>1388.86</v>
      </c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</row>
    <row r="3683">
      <c r="A3683" s="125" t="s">
        <v>458</v>
      </c>
      <c r="B3683" s="125" t="s">
        <v>603</v>
      </c>
      <c r="C3683" s="125" t="s">
        <v>514</v>
      </c>
      <c r="D3683" s="125" t="s">
        <v>454</v>
      </c>
      <c r="E3683" s="125" t="s">
        <v>464</v>
      </c>
      <c r="F3683" s="126">
        <v>40710.0</v>
      </c>
      <c r="G3683" s="127">
        <v>3.67E8</v>
      </c>
      <c r="H3683" s="126">
        <v>40754.0</v>
      </c>
      <c r="I3683" s="128">
        <v>9419.0</v>
      </c>
      <c r="J3683" s="128">
        <v>668.27</v>
      </c>
      <c r="K3683" s="128">
        <v>502.54</v>
      </c>
      <c r="L3683" s="128">
        <v>6294435.0</v>
      </c>
      <c r="M3683" s="128">
        <v>4733424.0</v>
      </c>
      <c r="N3683" s="128">
        <v>1561011.0</v>
      </c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</row>
    <row r="3684">
      <c r="A3684" s="125" t="s">
        <v>461</v>
      </c>
      <c r="B3684" s="125" t="s">
        <v>462</v>
      </c>
      <c r="C3684" s="125" t="s">
        <v>456</v>
      </c>
      <c r="D3684" s="125" t="s">
        <v>454</v>
      </c>
      <c r="E3684" s="125" t="s">
        <v>464</v>
      </c>
      <c r="F3684" s="126">
        <v>41487.0</v>
      </c>
      <c r="G3684" s="127">
        <v>6.31E8</v>
      </c>
      <c r="H3684" s="126">
        <v>41491.0</v>
      </c>
      <c r="I3684" s="128">
        <v>5114.0</v>
      </c>
      <c r="J3684" s="128">
        <v>152.58</v>
      </c>
      <c r="K3684" s="128">
        <v>97.44</v>
      </c>
      <c r="L3684" s="128">
        <v>780294.1</v>
      </c>
      <c r="M3684" s="128">
        <v>498308.2</v>
      </c>
      <c r="N3684" s="128">
        <v>281986.0</v>
      </c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</row>
    <row r="3685">
      <c r="A3685" s="125" t="s">
        <v>466</v>
      </c>
      <c r="B3685" s="125" t="s">
        <v>568</v>
      </c>
      <c r="C3685" s="125" t="s">
        <v>494</v>
      </c>
      <c r="D3685" s="125" t="s">
        <v>454</v>
      </c>
      <c r="E3685" s="125" t="s">
        <v>472</v>
      </c>
      <c r="F3685" s="126">
        <v>41740.0</v>
      </c>
      <c r="G3685" s="127">
        <v>7.45E8</v>
      </c>
      <c r="H3685" s="126">
        <v>41740.0</v>
      </c>
      <c r="I3685" s="128">
        <v>3677.0</v>
      </c>
      <c r="J3685" s="128">
        <v>9.33</v>
      </c>
      <c r="K3685" s="128">
        <v>6.92</v>
      </c>
      <c r="L3685" s="128">
        <v>34306.41</v>
      </c>
      <c r="M3685" s="128">
        <v>25444.84</v>
      </c>
      <c r="N3685" s="128">
        <v>8861.57</v>
      </c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</row>
    <row r="3686">
      <c r="A3686" s="125" t="s">
        <v>458</v>
      </c>
      <c r="B3686" s="125" t="s">
        <v>517</v>
      </c>
      <c r="C3686" s="125" t="s">
        <v>463</v>
      </c>
      <c r="D3686" s="125" t="s">
        <v>457</v>
      </c>
      <c r="E3686" s="125" t="s">
        <v>464</v>
      </c>
      <c r="F3686" s="126">
        <v>41227.0</v>
      </c>
      <c r="G3686" s="127">
        <v>4.95E8</v>
      </c>
      <c r="H3686" s="126">
        <v>41269.0</v>
      </c>
      <c r="I3686" s="128">
        <v>3705.0</v>
      </c>
      <c r="J3686" s="128">
        <v>205.7</v>
      </c>
      <c r="K3686" s="128">
        <v>117.11</v>
      </c>
      <c r="L3686" s="128">
        <v>762118.5</v>
      </c>
      <c r="M3686" s="128">
        <v>433892.6</v>
      </c>
      <c r="N3686" s="128">
        <v>328226.0</v>
      </c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</row>
    <row r="3687">
      <c r="A3687" s="125" t="s">
        <v>458</v>
      </c>
      <c r="B3687" s="125" t="s">
        <v>642</v>
      </c>
      <c r="C3687" s="125" t="s">
        <v>468</v>
      </c>
      <c r="D3687" s="125" t="s">
        <v>454</v>
      </c>
      <c r="E3687" s="125" t="s">
        <v>189</v>
      </c>
      <c r="F3687" s="126">
        <v>41479.0</v>
      </c>
      <c r="G3687" s="127">
        <v>6.39E8</v>
      </c>
      <c r="H3687" s="126">
        <v>41507.0</v>
      </c>
      <c r="I3687" s="128">
        <v>829.0</v>
      </c>
      <c r="J3687" s="128">
        <v>81.73</v>
      </c>
      <c r="K3687" s="128">
        <v>56.67</v>
      </c>
      <c r="L3687" s="128">
        <v>67754.17</v>
      </c>
      <c r="M3687" s="128">
        <v>46979.43</v>
      </c>
      <c r="N3687" s="128">
        <v>20774.74</v>
      </c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</row>
    <row r="3688">
      <c r="A3688" s="125" t="s">
        <v>469</v>
      </c>
      <c r="B3688" s="125" t="s">
        <v>569</v>
      </c>
      <c r="C3688" s="125" t="s">
        <v>514</v>
      </c>
      <c r="D3688" s="125" t="s">
        <v>454</v>
      </c>
      <c r="E3688" s="125" t="s">
        <v>472</v>
      </c>
      <c r="F3688" s="126">
        <v>41648.0</v>
      </c>
      <c r="G3688" s="127">
        <v>6.52E8</v>
      </c>
      <c r="H3688" s="126">
        <v>41669.0</v>
      </c>
      <c r="I3688" s="128">
        <v>2710.0</v>
      </c>
      <c r="J3688" s="128">
        <v>668.27</v>
      </c>
      <c r="K3688" s="128">
        <v>502.54</v>
      </c>
      <c r="L3688" s="128">
        <v>1811012.0</v>
      </c>
      <c r="M3688" s="128">
        <v>1361883.0</v>
      </c>
      <c r="N3688" s="128">
        <v>449128.3</v>
      </c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</row>
    <row r="3689">
      <c r="A3689" s="125" t="s">
        <v>451</v>
      </c>
      <c r="B3689" s="125" t="s">
        <v>523</v>
      </c>
      <c r="C3689" s="125" t="s">
        <v>485</v>
      </c>
      <c r="D3689" s="125" t="s">
        <v>457</v>
      </c>
      <c r="E3689" s="125" t="s">
        <v>284</v>
      </c>
      <c r="F3689" s="126">
        <v>42660.0</v>
      </c>
      <c r="G3689" s="127">
        <v>9.81E8</v>
      </c>
      <c r="H3689" s="126">
        <v>42682.0</v>
      </c>
      <c r="I3689" s="128">
        <v>4039.0</v>
      </c>
      <c r="J3689" s="128">
        <v>421.89</v>
      </c>
      <c r="K3689" s="128">
        <v>364.69</v>
      </c>
      <c r="L3689" s="128">
        <v>1704014.0</v>
      </c>
      <c r="M3689" s="128">
        <v>1472983.0</v>
      </c>
      <c r="N3689" s="128">
        <v>231030.8</v>
      </c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</row>
    <row r="3690">
      <c r="A3690" s="125" t="s">
        <v>466</v>
      </c>
      <c r="B3690" s="125" t="s">
        <v>531</v>
      </c>
      <c r="C3690" s="125" t="s">
        <v>514</v>
      </c>
      <c r="D3690" s="125" t="s">
        <v>457</v>
      </c>
      <c r="E3690" s="125" t="s">
        <v>284</v>
      </c>
      <c r="F3690" s="126">
        <v>40297.0</v>
      </c>
      <c r="G3690" s="127">
        <v>7.94E8</v>
      </c>
      <c r="H3690" s="126">
        <v>40341.0</v>
      </c>
      <c r="I3690" s="128">
        <v>1541.0</v>
      </c>
      <c r="J3690" s="128">
        <v>668.27</v>
      </c>
      <c r="K3690" s="128">
        <v>502.54</v>
      </c>
      <c r="L3690" s="128">
        <v>1029804.0</v>
      </c>
      <c r="M3690" s="128">
        <v>774414.1</v>
      </c>
      <c r="N3690" s="128">
        <v>255389.9</v>
      </c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</row>
    <row r="3691">
      <c r="A3691" s="125" t="s">
        <v>466</v>
      </c>
      <c r="B3691" s="125" t="s">
        <v>508</v>
      </c>
      <c r="C3691" s="125" t="s">
        <v>506</v>
      </c>
      <c r="D3691" s="125" t="s">
        <v>454</v>
      </c>
      <c r="E3691" s="125" t="s">
        <v>189</v>
      </c>
      <c r="F3691" s="126">
        <v>40410.0</v>
      </c>
      <c r="G3691" s="127">
        <v>2.28E8</v>
      </c>
      <c r="H3691" s="126">
        <v>40449.0</v>
      </c>
      <c r="I3691" s="128">
        <v>8971.0</v>
      </c>
      <c r="J3691" s="128">
        <v>154.06</v>
      </c>
      <c r="K3691" s="128">
        <v>90.93</v>
      </c>
      <c r="L3691" s="128">
        <v>1382072.0</v>
      </c>
      <c r="M3691" s="128">
        <v>815733.0</v>
      </c>
      <c r="N3691" s="128">
        <v>566339.2</v>
      </c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</row>
    <row r="3692">
      <c r="A3692" s="125" t="s">
        <v>466</v>
      </c>
      <c r="B3692" s="125" t="s">
        <v>534</v>
      </c>
      <c r="C3692" s="125" t="s">
        <v>453</v>
      </c>
      <c r="D3692" s="125" t="s">
        <v>457</v>
      </c>
      <c r="E3692" s="125" t="s">
        <v>284</v>
      </c>
      <c r="F3692" s="126">
        <v>40944.0</v>
      </c>
      <c r="G3692" s="127">
        <v>8.41E8</v>
      </c>
      <c r="H3692" s="126">
        <v>40966.0</v>
      </c>
      <c r="I3692" s="128">
        <v>2114.0</v>
      </c>
      <c r="J3692" s="128">
        <v>255.28</v>
      </c>
      <c r="K3692" s="128">
        <v>159.42</v>
      </c>
      <c r="L3692" s="128">
        <v>539661.9</v>
      </c>
      <c r="M3692" s="128">
        <v>337013.9</v>
      </c>
      <c r="N3692" s="128">
        <v>202648.0</v>
      </c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</row>
    <row r="3693">
      <c r="A3693" s="125" t="s">
        <v>475</v>
      </c>
      <c r="B3693" s="125" t="s">
        <v>558</v>
      </c>
      <c r="C3693" s="125" t="s">
        <v>468</v>
      </c>
      <c r="D3693" s="125" t="s">
        <v>454</v>
      </c>
      <c r="E3693" s="125" t="s">
        <v>189</v>
      </c>
      <c r="F3693" s="126">
        <v>41614.0</v>
      </c>
      <c r="G3693" s="127">
        <v>6.61E8</v>
      </c>
      <c r="H3693" s="126">
        <v>41663.0</v>
      </c>
      <c r="I3693" s="128">
        <v>3789.0</v>
      </c>
      <c r="J3693" s="128">
        <v>81.73</v>
      </c>
      <c r="K3693" s="128">
        <v>56.67</v>
      </c>
      <c r="L3693" s="128">
        <v>309675.0</v>
      </c>
      <c r="M3693" s="128">
        <v>214722.6</v>
      </c>
      <c r="N3693" s="128">
        <v>94952.34</v>
      </c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</row>
    <row r="3694">
      <c r="A3694" s="125" t="s">
        <v>458</v>
      </c>
      <c r="B3694" s="125" t="s">
        <v>633</v>
      </c>
      <c r="C3694" s="125" t="s">
        <v>506</v>
      </c>
      <c r="D3694" s="125" t="s">
        <v>457</v>
      </c>
      <c r="E3694" s="125" t="s">
        <v>189</v>
      </c>
      <c r="F3694" s="126">
        <v>42522.0</v>
      </c>
      <c r="G3694" s="127">
        <v>9.37E8</v>
      </c>
      <c r="H3694" s="126">
        <v>42556.0</v>
      </c>
      <c r="I3694" s="128">
        <v>8843.0</v>
      </c>
      <c r="J3694" s="128">
        <v>154.06</v>
      </c>
      <c r="K3694" s="128">
        <v>90.93</v>
      </c>
      <c r="L3694" s="128">
        <v>1362353.0</v>
      </c>
      <c r="M3694" s="128">
        <v>804094.0</v>
      </c>
      <c r="N3694" s="128">
        <v>558258.6</v>
      </c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</row>
    <row r="3695">
      <c r="A3695" s="125" t="s">
        <v>451</v>
      </c>
      <c r="B3695" s="125" t="s">
        <v>646</v>
      </c>
      <c r="C3695" s="125" t="s">
        <v>463</v>
      </c>
      <c r="D3695" s="125" t="s">
        <v>454</v>
      </c>
      <c r="E3695" s="125" t="s">
        <v>189</v>
      </c>
      <c r="F3695" s="126">
        <v>42779.0</v>
      </c>
      <c r="G3695" s="127">
        <v>2.87E8</v>
      </c>
      <c r="H3695" s="126">
        <v>42813.0</v>
      </c>
      <c r="I3695" s="128">
        <v>9156.0</v>
      </c>
      <c r="J3695" s="128">
        <v>205.7</v>
      </c>
      <c r="K3695" s="128">
        <v>117.11</v>
      </c>
      <c r="L3695" s="128">
        <v>1883389.0</v>
      </c>
      <c r="M3695" s="128">
        <v>1072259.0</v>
      </c>
      <c r="N3695" s="128">
        <v>811130.0</v>
      </c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</row>
    <row r="3696">
      <c r="A3696" s="125" t="s">
        <v>469</v>
      </c>
      <c r="B3696" s="125" t="s">
        <v>647</v>
      </c>
      <c r="C3696" s="125" t="s">
        <v>453</v>
      </c>
      <c r="D3696" s="125" t="s">
        <v>454</v>
      </c>
      <c r="E3696" s="125" t="s">
        <v>189</v>
      </c>
      <c r="F3696" s="126">
        <v>41884.0</v>
      </c>
      <c r="G3696" s="127">
        <v>5.51E8</v>
      </c>
      <c r="H3696" s="126">
        <v>41900.0</v>
      </c>
      <c r="I3696" s="128">
        <v>8640.0</v>
      </c>
      <c r="J3696" s="128">
        <v>255.28</v>
      </c>
      <c r="K3696" s="128">
        <v>159.42</v>
      </c>
      <c r="L3696" s="128">
        <v>2205619.0</v>
      </c>
      <c r="M3696" s="128">
        <v>1377389.0</v>
      </c>
      <c r="N3696" s="128">
        <v>828230.4</v>
      </c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</row>
    <row r="3697">
      <c r="A3697" s="125" t="s">
        <v>475</v>
      </c>
      <c r="B3697" s="125" t="s">
        <v>565</v>
      </c>
      <c r="C3697" s="125" t="s">
        <v>471</v>
      </c>
      <c r="D3697" s="125" t="s">
        <v>457</v>
      </c>
      <c r="E3697" s="125" t="s">
        <v>189</v>
      </c>
      <c r="F3697" s="126">
        <v>41108.0</v>
      </c>
      <c r="G3697" s="127">
        <v>9.38E8</v>
      </c>
      <c r="H3697" s="126">
        <v>41147.0</v>
      </c>
      <c r="I3697" s="128">
        <v>8238.0</v>
      </c>
      <c r="J3697" s="128">
        <v>109.28</v>
      </c>
      <c r="K3697" s="128">
        <v>35.84</v>
      </c>
      <c r="L3697" s="128">
        <v>900248.6</v>
      </c>
      <c r="M3697" s="128">
        <v>295249.9</v>
      </c>
      <c r="N3697" s="128">
        <v>604998.7</v>
      </c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</row>
    <row r="3698">
      <c r="A3698" s="125" t="s">
        <v>451</v>
      </c>
      <c r="B3698" s="125" t="s">
        <v>592</v>
      </c>
      <c r="C3698" s="125" t="s">
        <v>494</v>
      </c>
      <c r="D3698" s="125" t="s">
        <v>457</v>
      </c>
      <c r="E3698" s="125" t="s">
        <v>284</v>
      </c>
      <c r="F3698" s="126">
        <v>42111.0</v>
      </c>
      <c r="G3698" s="127">
        <v>2.77E8</v>
      </c>
      <c r="H3698" s="126">
        <v>42131.0</v>
      </c>
      <c r="I3698" s="128">
        <v>922.0</v>
      </c>
      <c r="J3698" s="128">
        <v>9.33</v>
      </c>
      <c r="K3698" s="128">
        <v>6.92</v>
      </c>
      <c r="L3698" s="128">
        <v>8602.26</v>
      </c>
      <c r="M3698" s="128">
        <v>6380.24</v>
      </c>
      <c r="N3698" s="128">
        <v>2222.02</v>
      </c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</row>
    <row r="3699">
      <c r="A3699" s="125" t="s">
        <v>475</v>
      </c>
      <c r="B3699" s="125" t="s">
        <v>640</v>
      </c>
      <c r="C3699" s="125" t="s">
        <v>453</v>
      </c>
      <c r="D3699" s="125" t="s">
        <v>454</v>
      </c>
      <c r="E3699" s="125" t="s">
        <v>284</v>
      </c>
      <c r="F3699" s="126">
        <v>42793.0</v>
      </c>
      <c r="G3699" s="127">
        <v>1.7E8</v>
      </c>
      <c r="H3699" s="126">
        <v>42813.0</v>
      </c>
      <c r="I3699" s="128">
        <v>6697.0</v>
      </c>
      <c r="J3699" s="128">
        <v>255.28</v>
      </c>
      <c r="K3699" s="128">
        <v>159.42</v>
      </c>
      <c r="L3699" s="128">
        <v>1709610.0</v>
      </c>
      <c r="M3699" s="128">
        <v>1067636.0</v>
      </c>
      <c r="N3699" s="128">
        <v>641974.4</v>
      </c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</row>
    <row r="3700">
      <c r="A3700" s="125" t="s">
        <v>475</v>
      </c>
      <c r="B3700" s="125" t="s">
        <v>513</v>
      </c>
      <c r="C3700" s="125" t="s">
        <v>460</v>
      </c>
      <c r="D3700" s="125" t="s">
        <v>454</v>
      </c>
      <c r="E3700" s="125" t="s">
        <v>464</v>
      </c>
      <c r="F3700" s="126">
        <v>41442.0</v>
      </c>
      <c r="G3700" s="127">
        <v>9.35E8</v>
      </c>
      <c r="H3700" s="126">
        <v>41452.0</v>
      </c>
      <c r="I3700" s="128">
        <v>7600.0</v>
      </c>
      <c r="J3700" s="128">
        <v>47.45</v>
      </c>
      <c r="K3700" s="128">
        <v>31.79</v>
      </c>
      <c r="L3700" s="128">
        <v>360620.0</v>
      </c>
      <c r="M3700" s="128">
        <v>241604.0</v>
      </c>
      <c r="N3700" s="128">
        <v>119016.0</v>
      </c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</row>
    <row r="3701">
      <c r="A3701" s="125" t="s">
        <v>451</v>
      </c>
      <c r="B3701" s="125" t="s">
        <v>592</v>
      </c>
      <c r="C3701" s="125" t="s">
        <v>480</v>
      </c>
      <c r="D3701" s="125" t="s">
        <v>457</v>
      </c>
      <c r="E3701" s="125" t="s">
        <v>472</v>
      </c>
      <c r="F3701" s="126">
        <v>40885.0</v>
      </c>
      <c r="G3701" s="127">
        <v>2.65E8</v>
      </c>
      <c r="H3701" s="126">
        <v>40935.0</v>
      </c>
      <c r="I3701" s="128">
        <v>2699.0</v>
      </c>
      <c r="J3701" s="128">
        <v>437.2</v>
      </c>
      <c r="K3701" s="128">
        <v>263.33</v>
      </c>
      <c r="L3701" s="128">
        <v>1180003.0</v>
      </c>
      <c r="M3701" s="128">
        <v>710727.7</v>
      </c>
      <c r="N3701" s="128">
        <v>469275.1</v>
      </c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</row>
    <row r="3702">
      <c r="A3702" s="125" t="s">
        <v>461</v>
      </c>
      <c r="B3702" s="125" t="s">
        <v>611</v>
      </c>
      <c r="C3702" s="125" t="s">
        <v>514</v>
      </c>
      <c r="D3702" s="125" t="s">
        <v>457</v>
      </c>
      <c r="E3702" s="125" t="s">
        <v>464</v>
      </c>
      <c r="F3702" s="126">
        <v>41572.0</v>
      </c>
      <c r="G3702" s="127">
        <v>8.69E8</v>
      </c>
      <c r="H3702" s="126">
        <v>41583.0</v>
      </c>
      <c r="I3702" s="128">
        <v>3091.0</v>
      </c>
      <c r="J3702" s="128">
        <v>668.27</v>
      </c>
      <c r="K3702" s="128">
        <v>502.54</v>
      </c>
      <c r="L3702" s="128">
        <v>2065623.0</v>
      </c>
      <c r="M3702" s="128">
        <v>1553351.0</v>
      </c>
      <c r="N3702" s="128">
        <v>512271.4</v>
      </c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</row>
    <row r="3703">
      <c r="A3703" s="125" t="s">
        <v>466</v>
      </c>
      <c r="B3703" s="125" t="s">
        <v>598</v>
      </c>
      <c r="C3703" s="125" t="s">
        <v>506</v>
      </c>
      <c r="D3703" s="125" t="s">
        <v>457</v>
      </c>
      <c r="E3703" s="125" t="s">
        <v>472</v>
      </c>
      <c r="F3703" s="126">
        <v>40193.0</v>
      </c>
      <c r="G3703" s="127">
        <v>1.29E8</v>
      </c>
      <c r="H3703" s="126">
        <v>40200.0</v>
      </c>
      <c r="I3703" s="128">
        <v>6907.0</v>
      </c>
      <c r="J3703" s="128">
        <v>154.06</v>
      </c>
      <c r="K3703" s="128">
        <v>90.93</v>
      </c>
      <c r="L3703" s="128">
        <v>1064092.0</v>
      </c>
      <c r="M3703" s="128">
        <v>628053.5</v>
      </c>
      <c r="N3703" s="128">
        <v>436038.9</v>
      </c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</row>
    <row r="3704">
      <c r="A3704" s="125" t="s">
        <v>461</v>
      </c>
      <c r="B3704" s="125" t="s">
        <v>465</v>
      </c>
      <c r="C3704" s="125" t="s">
        <v>460</v>
      </c>
      <c r="D3704" s="125" t="s">
        <v>454</v>
      </c>
      <c r="E3704" s="125" t="s">
        <v>472</v>
      </c>
      <c r="F3704" s="126">
        <v>42124.0</v>
      </c>
      <c r="G3704" s="127">
        <v>4.47E8</v>
      </c>
      <c r="H3704" s="126">
        <v>42136.0</v>
      </c>
      <c r="I3704" s="128">
        <v>4307.0</v>
      </c>
      <c r="J3704" s="128">
        <v>47.45</v>
      </c>
      <c r="K3704" s="128">
        <v>31.79</v>
      </c>
      <c r="L3704" s="128">
        <v>204367.2</v>
      </c>
      <c r="M3704" s="128">
        <v>136919.5</v>
      </c>
      <c r="N3704" s="128">
        <v>67447.62</v>
      </c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</row>
    <row r="3705">
      <c r="A3705" s="125" t="s">
        <v>458</v>
      </c>
      <c r="B3705" s="125" t="s">
        <v>517</v>
      </c>
      <c r="C3705" s="125" t="s">
        <v>480</v>
      </c>
      <c r="D3705" s="125" t="s">
        <v>457</v>
      </c>
      <c r="E3705" s="125" t="s">
        <v>284</v>
      </c>
      <c r="F3705" s="126">
        <v>40684.0</v>
      </c>
      <c r="G3705" s="127">
        <v>6.95E8</v>
      </c>
      <c r="H3705" s="126">
        <v>40723.0</v>
      </c>
      <c r="I3705" s="128">
        <v>2485.0</v>
      </c>
      <c r="J3705" s="128">
        <v>437.2</v>
      </c>
      <c r="K3705" s="128">
        <v>263.33</v>
      </c>
      <c r="L3705" s="128">
        <v>1086442.0</v>
      </c>
      <c r="M3705" s="128">
        <v>654375.1</v>
      </c>
      <c r="N3705" s="128">
        <v>432067.0</v>
      </c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</row>
    <row r="3706">
      <c r="A3706" s="125" t="s">
        <v>461</v>
      </c>
      <c r="B3706" s="125" t="s">
        <v>539</v>
      </c>
      <c r="C3706" s="125" t="s">
        <v>471</v>
      </c>
      <c r="D3706" s="125" t="s">
        <v>457</v>
      </c>
      <c r="E3706" s="125" t="s">
        <v>472</v>
      </c>
      <c r="F3706" s="126">
        <v>40644.0</v>
      </c>
      <c r="G3706" s="127">
        <v>2.65E8</v>
      </c>
      <c r="H3706" s="126">
        <v>40657.0</v>
      </c>
      <c r="I3706" s="128">
        <v>663.0</v>
      </c>
      <c r="J3706" s="128">
        <v>109.28</v>
      </c>
      <c r="K3706" s="128">
        <v>35.84</v>
      </c>
      <c r="L3706" s="128">
        <v>72452.64</v>
      </c>
      <c r="M3706" s="128">
        <v>23761.92</v>
      </c>
      <c r="N3706" s="128">
        <v>48690.72</v>
      </c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</row>
    <row r="3707">
      <c r="A3707" s="125" t="s">
        <v>466</v>
      </c>
      <c r="B3707" s="125" t="s">
        <v>484</v>
      </c>
      <c r="C3707" s="125" t="s">
        <v>506</v>
      </c>
      <c r="D3707" s="125" t="s">
        <v>454</v>
      </c>
      <c r="E3707" s="125" t="s">
        <v>189</v>
      </c>
      <c r="F3707" s="126">
        <v>40251.0</v>
      </c>
      <c r="G3707" s="127">
        <v>4.19E8</v>
      </c>
      <c r="H3707" s="126">
        <v>40252.0</v>
      </c>
      <c r="I3707" s="128">
        <v>5097.0</v>
      </c>
      <c r="J3707" s="128">
        <v>154.06</v>
      </c>
      <c r="K3707" s="128">
        <v>90.93</v>
      </c>
      <c r="L3707" s="128">
        <v>785243.8</v>
      </c>
      <c r="M3707" s="128">
        <v>463470.2</v>
      </c>
      <c r="N3707" s="128">
        <v>321773.6</v>
      </c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</row>
    <row r="3708">
      <c r="A3708" s="125" t="s">
        <v>466</v>
      </c>
      <c r="B3708" s="125" t="s">
        <v>612</v>
      </c>
      <c r="C3708" s="125" t="s">
        <v>480</v>
      </c>
      <c r="D3708" s="125" t="s">
        <v>457</v>
      </c>
      <c r="E3708" s="125" t="s">
        <v>464</v>
      </c>
      <c r="F3708" s="126">
        <v>40904.0</v>
      </c>
      <c r="G3708" s="127">
        <v>2.4E8</v>
      </c>
      <c r="H3708" s="126">
        <v>40933.0</v>
      </c>
      <c r="I3708" s="128">
        <v>4073.0</v>
      </c>
      <c r="J3708" s="128">
        <v>437.2</v>
      </c>
      <c r="K3708" s="128">
        <v>263.33</v>
      </c>
      <c r="L3708" s="128">
        <v>1780716.0</v>
      </c>
      <c r="M3708" s="128">
        <v>1072543.0</v>
      </c>
      <c r="N3708" s="128">
        <v>708172.5</v>
      </c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</row>
    <row r="3709">
      <c r="A3709" s="125" t="s">
        <v>458</v>
      </c>
      <c r="B3709" s="125" t="s">
        <v>642</v>
      </c>
      <c r="C3709" s="125" t="s">
        <v>460</v>
      </c>
      <c r="D3709" s="125" t="s">
        <v>454</v>
      </c>
      <c r="E3709" s="125" t="s">
        <v>472</v>
      </c>
      <c r="F3709" s="126">
        <v>40245.0</v>
      </c>
      <c r="G3709" s="127">
        <v>6.82E8</v>
      </c>
      <c r="H3709" s="126">
        <v>40259.0</v>
      </c>
      <c r="I3709" s="128">
        <v>2908.0</v>
      </c>
      <c r="J3709" s="128">
        <v>47.45</v>
      </c>
      <c r="K3709" s="128">
        <v>31.79</v>
      </c>
      <c r="L3709" s="128">
        <v>137984.6</v>
      </c>
      <c r="M3709" s="128">
        <v>92445.32</v>
      </c>
      <c r="N3709" s="128">
        <v>45539.28</v>
      </c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</row>
    <row r="3710">
      <c r="A3710" s="125" t="s">
        <v>466</v>
      </c>
      <c r="B3710" s="125" t="s">
        <v>580</v>
      </c>
      <c r="C3710" s="125" t="s">
        <v>456</v>
      </c>
      <c r="D3710" s="125" t="s">
        <v>457</v>
      </c>
      <c r="E3710" s="125" t="s">
        <v>472</v>
      </c>
      <c r="F3710" s="126">
        <v>41835.0</v>
      </c>
      <c r="G3710" s="127">
        <v>5.17E8</v>
      </c>
      <c r="H3710" s="126">
        <v>41871.0</v>
      </c>
      <c r="I3710" s="128">
        <v>8951.0</v>
      </c>
      <c r="J3710" s="128">
        <v>152.58</v>
      </c>
      <c r="K3710" s="128">
        <v>97.44</v>
      </c>
      <c r="L3710" s="128">
        <v>1365744.0</v>
      </c>
      <c r="M3710" s="128">
        <v>872185.4</v>
      </c>
      <c r="N3710" s="128">
        <v>493558.1</v>
      </c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</row>
    <row r="3711">
      <c r="A3711" s="125" t="s">
        <v>466</v>
      </c>
      <c r="B3711" s="125" t="s">
        <v>502</v>
      </c>
      <c r="C3711" s="125" t="s">
        <v>480</v>
      </c>
      <c r="D3711" s="125" t="s">
        <v>457</v>
      </c>
      <c r="E3711" s="125" t="s">
        <v>472</v>
      </c>
      <c r="F3711" s="126">
        <v>42709.0</v>
      </c>
      <c r="G3711" s="127">
        <v>3.91E8</v>
      </c>
      <c r="H3711" s="126">
        <v>42719.0</v>
      </c>
      <c r="I3711" s="128">
        <v>6581.0</v>
      </c>
      <c r="J3711" s="128">
        <v>437.2</v>
      </c>
      <c r="K3711" s="128">
        <v>263.33</v>
      </c>
      <c r="L3711" s="128">
        <v>2877213.0</v>
      </c>
      <c r="M3711" s="128">
        <v>1732975.0</v>
      </c>
      <c r="N3711" s="128">
        <v>1144238.0</v>
      </c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</row>
    <row r="3712">
      <c r="A3712" s="125" t="s">
        <v>475</v>
      </c>
      <c r="B3712" s="125" t="s">
        <v>657</v>
      </c>
      <c r="C3712" s="125" t="s">
        <v>453</v>
      </c>
      <c r="D3712" s="125" t="s">
        <v>457</v>
      </c>
      <c r="E3712" s="125" t="s">
        <v>464</v>
      </c>
      <c r="F3712" s="126">
        <v>40291.0</v>
      </c>
      <c r="G3712" s="127">
        <v>5.66E8</v>
      </c>
      <c r="H3712" s="126">
        <v>40311.0</v>
      </c>
      <c r="I3712" s="128">
        <v>2210.0</v>
      </c>
      <c r="J3712" s="128">
        <v>255.28</v>
      </c>
      <c r="K3712" s="128">
        <v>159.42</v>
      </c>
      <c r="L3712" s="128">
        <v>564168.8</v>
      </c>
      <c r="M3712" s="128">
        <v>352318.2</v>
      </c>
      <c r="N3712" s="128">
        <v>211850.6</v>
      </c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</row>
    <row r="3713">
      <c r="A3713" s="125" t="s">
        <v>461</v>
      </c>
      <c r="B3713" s="125" t="s">
        <v>599</v>
      </c>
      <c r="C3713" s="125" t="s">
        <v>514</v>
      </c>
      <c r="D3713" s="125" t="s">
        <v>454</v>
      </c>
      <c r="E3713" s="125" t="s">
        <v>189</v>
      </c>
      <c r="F3713" s="126">
        <v>42077.0</v>
      </c>
      <c r="G3713" s="127">
        <v>4.78E8</v>
      </c>
      <c r="H3713" s="126">
        <v>42111.0</v>
      </c>
      <c r="I3713" s="128">
        <v>9281.0</v>
      </c>
      <c r="J3713" s="128">
        <v>668.27</v>
      </c>
      <c r="K3713" s="128">
        <v>502.54</v>
      </c>
      <c r="L3713" s="128">
        <v>6202214.0</v>
      </c>
      <c r="M3713" s="128">
        <v>4664074.0</v>
      </c>
      <c r="N3713" s="128">
        <v>1538140.0</v>
      </c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</row>
    <row r="3714">
      <c r="A3714" s="125" t="s">
        <v>475</v>
      </c>
      <c r="B3714" s="125" t="s">
        <v>500</v>
      </c>
      <c r="C3714" s="125" t="s">
        <v>453</v>
      </c>
      <c r="D3714" s="125" t="s">
        <v>457</v>
      </c>
      <c r="E3714" s="125" t="s">
        <v>189</v>
      </c>
      <c r="F3714" s="126">
        <v>42118.0</v>
      </c>
      <c r="G3714" s="127">
        <v>9.81E8</v>
      </c>
      <c r="H3714" s="126">
        <v>42153.0</v>
      </c>
      <c r="I3714" s="128">
        <v>3266.0</v>
      </c>
      <c r="J3714" s="128">
        <v>255.28</v>
      </c>
      <c r="K3714" s="128">
        <v>159.42</v>
      </c>
      <c r="L3714" s="128">
        <v>833744.5</v>
      </c>
      <c r="M3714" s="128">
        <v>520665.7</v>
      </c>
      <c r="N3714" s="128">
        <v>313078.8</v>
      </c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</row>
    <row r="3715">
      <c r="A3715" s="125" t="s">
        <v>475</v>
      </c>
      <c r="B3715" s="125" t="s">
        <v>635</v>
      </c>
      <c r="C3715" s="125" t="s">
        <v>463</v>
      </c>
      <c r="D3715" s="125" t="s">
        <v>457</v>
      </c>
      <c r="E3715" s="125" t="s">
        <v>284</v>
      </c>
      <c r="F3715" s="126">
        <v>41774.0</v>
      </c>
      <c r="G3715" s="127">
        <v>2.99E8</v>
      </c>
      <c r="H3715" s="126">
        <v>41817.0</v>
      </c>
      <c r="I3715" s="128">
        <v>6671.0</v>
      </c>
      <c r="J3715" s="128">
        <v>205.7</v>
      </c>
      <c r="K3715" s="128">
        <v>117.11</v>
      </c>
      <c r="L3715" s="128">
        <v>1372225.0</v>
      </c>
      <c r="M3715" s="128">
        <v>781240.8</v>
      </c>
      <c r="N3715" s="128">
        <v>590983.9</v>
      </c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</row>
    <row r="3716">
      <c r="A3716" s="125" t="s">
        <v>475</v>
      </c>
      <c r="B3716" s="125" t="s">
        <v>635</v>
      </c>
      <c r="C3716" s="125" t="s">
        <v>468</v>
      </c>
      <c r="D3716" s="125" t="s">
        <v>457</v>
      </c>
      <c r="E3716" s="125" t="s">
        <v>472</v>
      </c>
      <c r="F3716" s="126">
        <v>42790.0</v>
      </c>
      <c r="G3716" s="127">
        <v>7.79E8</v>
      </c>
      <c r="H3716" s="126">
        <v>42833.0</v>
      </c>
      <c r="I3716" s="128">
        <v>4032.0</v>
      </c>
      <c r="J3716" s="128">
        <v>81.73</v>
      </c>
      <c r="K3716" s="128">
        <v>56.67</v>
      </c>
      <c r="L3716" s="128">
        <v>329535.4</v>
      </c>
      <c r="M3716" s="128">
        <v>228493.4</v>
      </c>
      <c r="N3716" s="128">
        <v>101041.9</v>
      </c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</row>
    <row r="3717">
      <c r="A3717" s="125" t="s">
        <v>475</v>
      </c>
      <c r="B3717" s="125" t="s">
        <v>565</v>
      </c>
      <c r="C3717" s="125" t="s">
        <v>468</v>
      </c>
      <c r="D3717" s="125" t="s">
        <v>457</v>
      </c>
      <c r="E3717" s="125" t="s">
        <v>472</v>
      </c>
      <c r="F3717" s="126">
        <v>40386.0</v>
      </c>
      <c r="G3717" s="127">
        <v>3.37E8</v>
      </c>
      <c r="H3717" s="126">
        <v>40392.0</v>
      </c>
      <c r="I3717" s="128">
        <v>6916.0</v>
      </c>
      <c r="J3717" s="128">
        <v>81.73</v>
      </c>
      <c r="K3717" s="128">
        <v>56.67</v>
      </c>
      <c r="L3717" s="128">
        <v>565244.7</v>
      </c>
      <c r="M3717" s="128">
        <v>391929.7</v>
      </c>
      <c r="N3717" s="128">
        <v>173315.0</v>
      </c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</row>
    <row r="3718">
      <c r="A3718" s="125" t="s">
        <v>466</v>
      </c>
      <c r="B3718" s="125" t="s">
        <v>479</v>
      </c>
      <c r="C3718" s="125" t="s">
        <v>485</v>
      </c>
      <c r="D3718" s="125" t="s">
        <v>454</v>
      </c>
      <c r="E3718" s="125" t="s">
        <v>464</v>
      </c>
      <c r="F3718" s="126">
        <v>41236.0</v>
      </c>
      <c r="G3718" s="127">
        <v>1.07E8</v>
      </c>
      <c r="H3718" s="126">
        <v>41256.0</v>
      </c>
      <c r="I3718" s="128">
        <v>8922.0</v>
      </c>
      <c r="J3718" s="128">
        <v>421.89</v>
      </c>
      <c r="K3718" s="128">
        <v>364.69</v>
      </c>
      <c r="L3718" s="128">
        <v>3764103.0</v>
      </c>
      <c r="M3718" s="128">
        <v>3253764.0</v>
      </c>
      <c r="N3718" s="128">
        <v>510338.4</v>
      </c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</row>
    <row r="3719">
      <c r="A3719" s="125" t="s">
        <v>461</v>
      </c>
      <c r="B3719" s="125" t="s">
        <v>618</v>
      </c>
      <c r="C3719" s="125" t="s">
        <v>494</v>
      </c>
      <c r="D3719" s="125" t="s">
        <v>457</v>
      </c>
      <c r="E3719" s="125" t="s">
        <v>189</v>
      </c>
      <c r="F3719" s="126">
        <v>42721.0</v>
      </c>
      <c r="G3719" s="127">
        <v>3.97E8</v>
      </c>
      <c r="H3719" s="126">
        <v>42727.0</v>
      </c>
      <c r="I3719" s="128">
        <v>679.0</v>
      </c>
      <c r="J3719" s="128">
        <v>9.33</v>
      </c>
      <c r="K3719" s="128">
        <v>6.92</v>
      </c>
      <c r="L3719" s="128">
        <v>6335.07</v>
      </c>
      <c r="M3719" s="128">
        <v>4698.68</v>
      </c>
      <c r="N3719" s="128">
        <v>1636.39</v>
      </c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</row>
    <row r="3720">
      <c r="A3720" s="125" t="s">
        <v>469</v>
      </c>
      <c r="B3720" s="125" t="s">
        <v>503</v>
      </c>
      <c r="C3720" s="125" t="s">
        <v>480</v>
      </c>
      <c r="D3720" s="125" t="s">
        <v>457</v>
      </c>
      <c r="E3720" s="125" t="s">
        <v>464</v>
      </c>
      <c r="F3720" s="126">
        <v>42610.0</v>
      </c>
      <c r="G3720" s="127">
        <v>2.32E8</v>
      </c>
      <c r="H3720" s="126">
        <v>42614.0</v>
      </c>
      <c r="I3720" s="128">
        <v>4850.0</v>
      </c>
      <c r="J3720" s="128">
        <v>437.2</v>
      </c>
      <c r="K3720" s="128">
        <v>263.33</v>
      </c>
      <c r="L3720" s="128">
        <v>2120420.0</v>
      </c>
      <c r="M3720" s="128">
        <v>1277151.0</v>
      </c>
      <c r="N3720" s="128">
        <v>843269.5</v>
      </c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</row>
    <row r="3721">
      <c r="A3721" s="125" t="s">
        <v>458</v>
      </c>
      <c r="B3721" s="125" t="s">
        <v>573</v>
      </c>
      <c r="C3721" s="125" t="s">
        <v>460</v>
      </c>
      <c r="D3721" s="125" t="s">
        <v>457</v>
      </c>
      <c r="E3721" s="125" t="s">
        <v>472</v>
      </c>
      <c r="F3721" s="126">
        <v>40447.0</v>
      </c>
      <c r="G3721" s="127">
        <v>5.11E8</v>
      </c>
      <c r="H3721" s="126">
        <v>40486.0</v>
      </c>
      <c r="I3721" s="128">
        <v>1126.0</v>
      </c>
      <c r="J3721" s="128">
        <v>47.45</v>
      </c>
      <c r="K3721" s="128">
        <v>31.79</v>
      </c>
      <c r="L3721" s="128">
        <v>53428.7</v>
      </c>
      <c r="M3721" s="128">
        <v>35795.54</v>
      </c>
      <c r="N3721" s="128">
        <v>17633.16</v>
      </c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</row>
    <row r="3722">
      <c r="A3722" s="125" t="s">
        <v>469</v>
      </c>
      <c r="B3722" s="125" t="s">
        <v>519</v>
      </c>
      <c r="C3722" s="125" t="s">
        <v>514</v>
      </c>
      <c r="D3722" s="125" t="s">
        <v>454</v>
      </c>
      <c r="E3722" s="125" t="s">
        <v>472</v>
      </c>
      <c r="F3722" s="126">
        <v>41694.0</v>
      </c>
      <c r="G3722" s="127">
        <v>8.5E8</v>
      </c>
      <c r="H3722" s="126">
        <v>41742.0</v>
      </c>
      <c r="I3722" s="128">
        <v>1230.0</v>
      </c>
      <c r="J3722" s="128">
        <v>668.27</v>
      </c>
      <c r="K3722" s="128">
        <v>502.54</v>
      </c>
      <c r="L3722" s="128">
        <v>821972.1</v>
      </c>
      <c r="M3722" s="128">
        <v>618124.2</v>
      </c>
      <c r="N3722" s="128">
        <v>203847.9</v>
      </c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</row>
    <row r="3723">
      <c r="A3723" s="125" t="s">
        <v>475</v>
      </c>
      <c r="B3723" s="125" t="s">
        <v>605</v>
      </c>
      <c r="C3723" s="125" t="s">
        <v>453</v>
      </c>
      <c r="D3723" s="125" t="s">
        <v>457</v>
      </c>
      <c r="E3723" s="125" t="s">
        <v>284</v>
      </c>
      <c r="F3723" s="126">
        <v>42522.0</v>
      </c>
      <c r="G3723" s="127">
        <v>9.37E8</v>
      </c>
      <c r="H3723" s="126">
        <v>42531.0</v>
      </c>
      <c r="I3723" s="128">
        <v>3919.0</v>
      </c>
      <c r="J3723" s="128">
        <v>255.28</v>
      </c>
      <c r="K3723" s="128">
        <v>159.42</v>
      </c>
      <c r="L3723" s="128">
        <v>1000442.0</v>
      </c>
      <c r="M3723" s="128">
        <v>624767.0</v>
      </c>
      <c r="N3723" s="128">
        <v>375675.3</v>
      </c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</row>
    <row r="3724">
      <c r="A3724" s="125" t="s">
        <v>451</v>
      </c>
      <c r="B3724" s="125" t="s">
        <v>546</v>
      </c>
      <c r="C3724" s="125" t="s">
        <v>460</v>
      </c>
      <c r="D3724" s="125" t="s">
        <v>454</v>
      </c>
      <c r="E3724" s="125" t="s">
        <v>284</v>
      </c>
      <c r="F3724" s="126">
        <v>42258.0</v>
      </c>
      <c r="G3724" s="127">
        <v>9.79E8</v>
      </c>
      <c r="H3724" s="126">
        <v>42271.0</v>
      </c>
      <c r="I3724" s="128">
        <v>9977.0</v>
      </c>
      <c r="J3724" s="128">
        <v>47.45</v>
      </c>
      <c r="K3724" s="128">
        <v>31.79</v>
      </c>
      <c r="L3724" s="128">
        <v>473408.7</v>
      </c>
      <c r="M3724" s="128">
        <v>317168.8</v>
      </c>
      <c r="N3724" s="128">
        <v>156239.8</v>
      </c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</row>
    <row r="3725">
      <c r="A3725" s="125" t="s">
        <v>475</v>
      </c>
      <c r="B3725" s="125" t="s">
        <v>600</v>
      </c>
      <c r="C3725" s="125" t="s">
        <v>456</v>
      </c>
      <c r="D3725" s="125" t="s">
        <v>457</v>
      </c>
      <c r="E3725" s="125" t="s">
        <v>284</v>
      </c>
      <c r="F3725" s="126">
        <v>41999.0</v>
      </c>
      <c r="G3725" s="127">
        <v>3.55E8</v>
      </c>
      <c r="H3725" s="126">
        <v>42037.0</v>
      </c>
      <c r="I3725" s="128">
        <v>7223.0</v>
      </c>
      <c r="J3725" s="128">
        <v>152.58</v>
      </c>
      <c r="K3725" s="128">
        <v>97.44</v>
      </c>
      <c r="L3725" s="128">
        <v>1102085.0</v>
      </c>
      <c r="M3725" s="128">
        <v>703809.1</v>
      </c>
      <c r="N3725" s="128">
        <v>398276.2</v>
      </c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</row>
    <row r="3726">
      <c r="A3726" s="125" t="s">
        <v>458</v>
      </c>
      <c r="B3726" s="125" t="s">
        <v>603</v>
      </c>
      <c r="C3726" s="125" t="s">
        <v>468</v>
      </c>
      <c r="D3726" s="125" t="s">
        <v>454</v>
      </c>
      <c r="E3726" s="125" t="s">
        <v>472</v>
      </c>
      <c r="F3726" s="126">
        <v>40467.0</v>
      </c>
      <c r="G3726" s="127">
        <v>7.63E8</v>
      </c>
      <c r="H3726" s="126">
        <v>40493.0</v>
      </c>
      <c r="I3726" s="128">
        <v>5504.0</v>
      </c>
      <c r="J3726" s="128">
        <v>81.73</v>
      </c>
      <c r="K3726" s="128">
        <v>56.67</v>
      </c>
      <c r="L3726" s="128">
        <v>449841.9</v>
      </c>
      <c r="M3726" s="128">
        <v>311911.7</v>
      </c>
      <c r="N3726" s="128">
        <v>137930.2</v>
      </c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</row>
    <row r="3727">
      <c r="A3727" s="125" t="s">
        <v>469</v>
      </c>
      <c r="B3727" s="125" t="s">
        <v>495</v>
      </c>
      <c r="C3727" s="125" t="s">
        <v>478</v>
      </c>
      <c r="D3727" s="125" t="s">
        <v>457</v>
      </c>
      <c r="E3727" s="125" t="s">
        <v>472</v>
      </c>
      <c r="F3727" s="126">
        <v>40920.0</v>
      </c>
      <c r="G3727" s="127">
        <v>3.72E8</v>
      </c>
      <c r="H3727" s="126">
        <v>40927.0</v>
      </c>
      <c r="I3727" s="128">
        <v>1701.0</v>
      </c>
      <c r="J3727" s="128">
        <v>651.21</v>
      </c>
      <c r="K3727" s="128">
        <v>524.96</v>
      </c>
      <c r="L3727" s="128">
        <v>1107708.0</v>
      </c>
      <c r="M3727" s="128">
        <v>892957.0</v>
      </c>
      <c r="N3727" s="128">
        <v>214751.3</v>
      </c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</row>
    <row r="3728">
      <c r="A3728" s="125" t="s">
        <v>461</v>
      </c>
      <c r="B3728" s="125" t="s">
        <v>539</v>
      </c>
      <c r="C3728" s="125" t="s">
        <v>463</v>
      </c>
      <c r="D3728" s="125" t="s">
        <v>457</v>
      </c>
      <c r="E3728" s="125" t="s">
        <v>284</v>
      </c>
      <c r="F3728" s="126">
        <v>41475.0</v>
      </c>
      <c r="G3728" s="127">
        <v>5.71E8</v>
      </c>
      <c r="H3728" s="126">
        <v>41501.0</v>
      </c>
      <c r="I3728" s="128">
        <v>4726.0</v>
      </c>
      <c r="J3728" s="128">
        <v>205.7</v>
      </c>
      <c r="K3728" s="128">
        <v>117.11</v>
      </c>
      <c r="L3728" s="128">
        <v>972138.2</v>
      </c>
      <c r="M3728" s="128">
        <v>553461.9</v>
      </c>
      <c r="N3728" s="128">
        <v>418676.3</v>
      </c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</row>
    <row r="3729">
      <c r="A3729" s="125" t="s">
        <v>458</v>
      </c>
      <c r="B3729" s="125" t="s">
        <v>652</v>
      </c>
      <c r="C3729" s="125" t="s">
        <v>468</v>
      </c>
      <c r="D3729" s="125" t="s">
        <v>457</v>
      </c>
      <c r="E3729" s="125" t="s">
        <v>464</v>
      </c>
      <c r="F3729" s="126">
        <v>42018.0</v>
      </c>
      <c r="G3729" s="127">
        <v>1.2E8</v>
      </c>
      <c r="H3729" s="126">
        <v>42031.0</v>
      </c>
      <c r="I3729" s="128">
        <v>519.0</v>
      </c>
      <c r="J3729" s="128">
        <v>81.73</v>
      </c>
      <c r="K3729" s="128">
        <v>56.67</v>
      </c>
      <c r="L3729" s="128">
        <v>42417.87</v>
      </c>
      <c r="M3729" s="128">
        <v>29411.73</v>
      </c>
      <c r="N3729" s="128">
        <v>13006.14</v>
      </c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</row>
    <row r="3730">
      <c r="A3730" s="125" t="s">
        <v>475</v>
      </c>
      <c r="B3730" s="125" t="s">
        <v>604</v>
      </c>
      <c r="C3730" s="125" t="s">
        <v>468</v>
      </c>
      <c r="D3730" s="125" t="s">
        <v>457</v>
      </c>
      <c r="E3730" s="125" t="s">
        <v>472</v>
      </c>
      <c r="F3730" s="126">
        <v>42828.0</v>
      </c>
      <c r="G3730" s="127">
        <v>9.98E8</v>
      </c>
      <c r="H3730" s="126">
        <v>42841.0</v>
      </c>
      <c r="I3730" s="128">
        <v>7056.0</v>
      </c>
      <c r="J3730" s="128">
        <v>81.73</v>
      </c>
      <c r="K3730" s="128">
        <v>56.67</v>
      </c>
      <c r="L3730" s="128">
        <v>576686.9</v>
      </c>
      <c r="M3730" s="128">
        <v>399863.5</v>
      </c>
      <c r="N3730" s="128">
        <v>176823.4</v>
      </c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</row>
    <row r="3731">
      <c r="A3731" s="125" t="s">
        <v>458</v>
      </c>
      <c r="B3731" s="125" t="s">
        <v>459</v>
      </c>
      <c r="C3731" s="125" t="s">
        <v>456</v>
      </c>
      <c r="D3731" s="125" t="s">
        <v>454</v>
      </c>
      <c r="E3731" s="125" t="s">
        <v>189</v>
      </c>
      <c r="F3731" s="126">
        <v>40421.0</v>
      </c>
      <c r="G3731" s="127">
        <v>7.56E8</v>
      </c>
      <c r="H3731" s="126">
        <v>40432.0</v>
      </c>
      <c r="I3731" s="128">
        <v>9340.0</v>
      </c>
      <c r="J3731" s="128">
        <v>152.58</v>
      </c>
      <c r="K3731" s="128">
        <v>97.44</v>
      </c>
      <c r="L3731" s="128">
        <v>1425097.0</v>
      </c>
      <c r="M3731" s="128">
        <v>910089.6</v>
      </c>
      <c r="N3731" s="128">
        <v>515007.6</v>
      </c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</row>
    <row r="3732">
      <c r="A3732" s="125" t="s">
        <v>475</v>
      </c>
      <c r="B3732" s="125" t="s">
        <v>552</v>
      </c>
      <c r="C3732" s="125" t="s">
        <v>460</v>
      </c>
      <c r="D3732" s="125" t="s">
        <v>457</v>
      </c>
      <c r="E3732" s="125" t="s">
        <v>284</v>
      </c>
      <c r="F3732" s="126">
        <v>42766.0</v>
      </c>
      <c r="G3732" s="127">
        <v>1.63E8</v>
      </c>
      <c r="H3732" s="126">
        <v>42768.0</v>
      </c>
      <c r="I3732" s="128">
        <v>4408.0</v>
      </c>
      <c r="J3732" s="128">
        <v>47.45</v>
      </c>
      <c r="K3732" s="128">
        <v>31.79</v>
      </c>
      <c r="L3732" s="128">
        <v>209159.6</v>
      </c>
      <c r="M3732" s="128">
        <v>140130.3</v>
      </c>
      <c r="N3732" s="128">
        <v>69029.28</v>
      </c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</row>
    <row r="3733">
      <c r="A3733" s="125" t="s">
        <v>469</v>
      </c>
      <c r="B3733" s="125" t="s">
        <v>569</v>
      </c>
      <c r="C3733" s="125" t="s">
        <v>478</v>
      </c>
      <c r="D3733" s="125" t="s">
        <v>457</v>
      </c>
      <c r="E3733" s="125" t="s">
        <v>472</v>
      </c>
      <c r="F3733" s="126">
        <v>40244.0</v>
      </c>
      <c r="G3733" s="127">
        <v>9.6E8</v>
      </c>
      <c r="H3733" s="126">
        <v>40265.0</v>
      </c>
      <c r="I3733" s="128">
        <v>6328.0</v>
      </c>
      <c r="J3733" s="128">
        <v>651.21</v>
      </c>
      <c r="K3733" s="128">
        <v>524.96</v>
      </c>
      <c r="L3733" s="128">
        <v>4120857.0</v>
      </c>
      <c r="M3733" s="128">
        <v>3321947.0</v>
      </c>
      <c r="N3733" s="128">
        <v>798910.0</v>
      </c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</row>
    <row r="3734">
      <c r="A3734" s="125" t="s">
        <v>475</v>
      </c>
      <c r="B3734" s="125" t="s">
        <v>526</v>
      </c>
      <c r="C3734" s="125" t="s">
        <v>471</v>
      </c>
      <c r="D3734" s="125" t="s">
        <v>457</v>
      </c>
      <c r="E3734" s="125" t="s">
        <v>464</v>
      </c>
      <c r="F3734" s="126">
        <v>40219.0</v>
      </c>
      <c r="G3734" s="127">
        <v>9.09E8</v>
      </c>
      <c r="H3734" s="126">
        <v>40236.0</v>
      </c>
      <c r="I3734" s="128">
        <v>1198.0</v>
      </c>
      <c r="J3734" s="128">
        <v>109.28</v>
      </c>
      <c r="K3734" s="128">
        <v>35.84</v>
      </c>
      <c r="L3734" s="128">
        <v>130917.4</v>
      </c>
      <c r="M3734" s="128">
        <v>42936.32</v>
      </c>
      <c r="N3734" s="128">
        <v>87981.12</v>
      </c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</row>
    <row r="3735">
      <c r="A3735" s="125" t="s">
        <v>461</v>
      </c>
      <c r="B3735" s="125" t="s">
        <v>581</v>
      </c>
      <c r="C3735" s="125" t="s">
        <v>478</v>
      </c>
      <c r="D3735" s="125" t="s">
        <v>454</v>
      </c>
      <c r="E3735" s="125" t="s">
        <v>464</v>
      </c>
      <c r="F3735" s="126">
        <v>40765.0</v>
      </c>
      <c r="G3735" s="127">
        <v>5.41E8</v>
      </c>
      <c r="H3735" s="126">
        <v>40792.0</v>
      </c>
      <c r="I3735" s="128">
        <v>2147.0</v>
      </c>
      <c r="J3735" s="128">
        <v>651.21</v>
      </c>
      <c r="K3735" s="128">
        <v>524.96</v>
      </c>
      <c r="L3735" s="128">
        <v>1398148.0</v>
      </c>
      <c r="M3735" s="128">
        <v>1127089.0</v>
      </c>
      <c r="N3735" s="128">
        <v>271058.8</v>
      </c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</row>
    <row r="3736">
      <c r="A3736" s="125" t="s">
        <v>458</v>
      </c>
      <c r="B3736" s="125" t="s">
        <v>597</v>
      </c>
      <c r="C3736" s="125" t="s">
        <v>485</v>
      </c>
      <c r="D3736" s="125" t="s">
        <v>454</v>
      </c>
      <c r="E3736" s="125" t="s">
        <v>189</v>
      </c>
      <c r="F3736" s="126">
        <v>40342.0</v>
      </c>
      <c r="G3736" s="127">
        <v>9.07E8</v>
      </c>
      <c r="H3736" s="126">
        <v>40391.0</v>
      </c>
      <c r="I3736" s="128">
        <v>4338.0</v>
      </c>
      <c r="J3736" s="128">
        <v>421.89</v>
      </c>
      <c r="K3736" s="128">
        <v>364.69</v>
      </c>
      <c r="L3736" s="128">
        <v>1830159.0</v>
      </c>
      <c r="M3736" s="128">
        <v>1582025.0</v>
      </c>
      <c r="N3736" s="128">
        <v>248133.6</v>
      </c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</row>
    <row r="3737">
      <c r="A3737" s="125" t="s">
        <v>475</v>
      </c>
      <c r="B3737" s="125" t="s">
        <v>549</v>
      </c>
      <c r="C3737" s="125" t="s">
        <v>485</v>
      </c>
      <c r="D3737" s="125" t="s">
        <v>454</v>
      </c>
      <c r="E3737" s="125" t="s">
        <v>284</v>
      </c>
      <c r="F3737" s="126">
        <v>41950.0</v>
      </c>
      <c r="G3737" s="127">
        <v>4.29E8</v>
      </c>
      <c r="H3737" s="126">
        <v>41971.0</v>
      </c>
      <c r="I3737" s="128">
        <v>9962.0</v>
      </c>
      <c r="J3737" s="128">
        <v>421.89</v>
      </c>
      <c r="K3737" s="128">
        <v>364.69</v>
      </c>
      <c r="L3737" s="128">
        <v>4202868.0</v>
      </c>
      <c r="M3737" s="128">
        <v>3633042.0</v>
      </c>
      <c r="N3737" s="128">
        <v>569826.4</v>
      </c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</row>
    <row r="3738">
      <c r="A3738" s="125" t="s">
        <v>475</v>
      </c>
      <c r="B3738" s="125" t="s">
        <v>562</v>
      </c>
      <c r="C3738" s="125" t="s">
        <v>478</v>
      </c>
      <c r="D3738" s="125" t="s">
        <v>457</v>
      </c>
      <c r="E3738" s="125" t="s">
        <v>464</v>
      </c>
      <c r="F3738" s="126">
        <v>40680.0</v>
      </c>
      <c r="G3738" s="127">
        <v>7.5E8</v>
      </c>
      <c r="H3738" s="126">
        <v>40726.0</v>
      </c>
      <c r="I3738" s="128">
        <v>3243.0</v>
      </c>
      <c r="J3738" s="128">
        <v>651.21</v>
      </c>
      <c r="K3738" s="128">
        <v>524.96</v>
      </c>
      <c r="L3738" s="128">
        <v>2111874.0</v>
      </c>
      <c r="M3738" s="128">
        <v>1702445.0</v>
      </c>
      <c r="N3738" s="128">
        <v>409428.8</v>
      </c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</row>
    <row r="3739">
      <c r="A3739" s="125" t="s">
        <v>475</v>
      </c>
      <c r="B3739" s="125" t="s">
        <v>536</v>
      </c>
      <c r="C3739" s="125" t="s">
        <v>506</v>
      </c>
      <c r="D3739" s="125" t="s">
        <v>454</v>
      </c>
      <c r="E3739" s="125" t="s">
        <v>284</v>
      </c>
      <c r="F3739" s="126">
        <v>41693.0</v>
      </c>
      <c r="G3739" s="127">
        <v>8.81E8</v>
      </c>
      <c r="H3739" s="126">
        <v>41705.0</v>
      </c>
      <c r="I3739" s="128">
        <v>5435.0</v>
      </c>
      <c r="J3739" s="128">
        <v>154.06</v>
      </c>
      <c r="K3739" s="128">
        <v>90.93</v>
      </c>
      <c r="L3739" s="128">
        <v>837316.1</v>
      </c>
      <c r="M3739" s="128">
        <v>494204.6</v>
      </c>
      <c r="N3739" s="128">
        <v>343111.6</v>
      </c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</row>
    <row r="3740">
      <c r="A3740" s="125" t="s">
        <v>461</v>
      </c>
      <c r="B3740" s="125" t="s">
        <v>525</v>
      </c>
      <c r="C3740" s="125" t="s">
        <v>494</v>
      </c>
      <c r="D3740" s="125" t="s">
        <v>457</v>
      </c>
      <c r="E3740" s="125" t="s">
        <v>472</v>
      </c>
      <c r="F3740" s="126">
        <v>42240.0</v>
      </c>
      <c r="G3740" s="127">
        <v>3.57E8</v>
      </c>
      <c r="H3740" s="126">
        <v>42263.0</v>
      </c>
      <c r="I3740" s="128">
        <v>9826.0</v>
      </c>
      <c r="J3740" s="128">
        <v>9.33</v>
      </c>
      <c r="K3740" s="128">
        <v>6.92</v>
      </c>
      <c r="L3740" s="128">
        <v>91676.58</v>
      </c>
      <c r="M3740" s="128">
        <v>67995.92</v>
      </c>
      <c r="N3740" s="128">
        <v>23680.66</v>
      </c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</row>
    <row r="3741">
      <c r="A3741" s="125" t="s">
        <v>469</v>
      </c>
      <c r="B3741" s="125" t="s">
        <v>617</v>
      </c>
      <c r="C3741" s="125" t="s">
        <v>463</v>
      </c>
      <c r="D3741" s="125" t="s">
        <v>454</v>
      </c>
      <c r="E3741" s="125" t="s">
        <v>464</v>
      </c>
      <c r="F3741" s="126">
        <v>41344.0</v>
      </c>
      <c r="G3741" s="127">
        <v>5.79E8</v>
      </c>
      <c r="H3741" s="126">
        <v>41363.0</v>
      </c>
      <c r="I3741" s="128">
        <v>6733.0</v>
      </c>
      <c r="J3741" s="128">
        <v>205.7</v>
      </c>
      <c r="K3741" s="128">
        <v>117.11</v>
      </c>
      <c r="L3741" s="128">
        <v>1384978.0</v>
      </c>
      <c r="M3741" s="128">
        <v>788501.6</v>
      </c>
      <c r="N3741" s="128">
        <v>596476.5</v>
      </c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</row>
    <row r="3742">
      <c r="A3742" s="125" t="s">
        <v>469</v>
      </c>
      <c r="B3742" s="125" t="s">
        <v>519</v>
      </c>
      <c r="C3742" s="125" t="s">
        <v>471</v>
      </c>
      <c r="D3742" s="125" t="s">
        <v>457</v>
      </c>
      <c r="E3742" s="125" t="s">
        <v>284</v>
      </c>
      <c r="F3742" s="126">
        <v>41185.0</v>
      </c>
      <c r="G3742" s="127">
        <v>7.72E8</v>
      </c>
      <c r="H3742" s="126">
        <v>41191.0</v>
      </c>
      <c r="I3742" s="128">
        <v>8503.0</v>
      </c>
      <c r="J3742" s="128">
        <v>109.28</v>
      </c>
      <c r="K3742" s="128">
        <v>35.84</v>
      </c>
      <c r="L3742" s="128">
        <v>929207.8</v>
      </c>
      <c r="M3742" s="128">
        <v>304747.5</v>
      </c>
      <c r="N3742" s="128">
        <v>624460.3</v>
      </c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</row>
    <row r="3743">
      <c r="A3743" s="125" t="s">
        <v>475</v>
      </c>
      <c r="B3743" s="125" t="s">
        <v>649</v>
      </c>
      <c r="C3743" s="125" t="s">
        <v>460</v>
      </c>
      <c r="D3743" s="125" t="s">
        <v>457</v>
      </c>
      <c r="E3743" s="125" t="s">
        <v>189</v>
      </c>
      <c r="F3743" s="126">
        <v>40180.0</v>
      </c>
      <c r="G3743" s="127">
        <v>2.3E8</v>
      </c>
      <c r="H3743" s="126">
        <v>40206.0</v>
      </c>
      <c r="I3743" s="128">
        <v>4517.0</v>
      </c>
      <c r="J3743" s="128">
        <v>47.45</v>
      </c>
      <c r="K3743" s="128">
        <v>31.79</v>
      </c>
      <c r="L3743" s="128">
        <v>214331.7</v>
      </c>
      <c r="M3743" s="128">
        <v>143595.4</v>
      </c>
      <c r="N3743" s="128">
        <v>70736.22</v>
      </c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</row>
    <row r="3744">
      <c r="A3744" s="125" t="s">
        <v>466</v>
      </c>
      <c r="B3744" s="125" t="s">
        <v>568</v>
      </c>
      <c r="C3744" s="125" t="s">
        <v>494</v>
      </c>
      <c r="D3744" s="125" t="s">
        <v>457</v>
      </c>
      <c r="E3744" s="125" t="s">
        <v>464</v>
      </c>
      <c r="F3744" s="126">
        <v>42669.0</v>
      </c>
      <c r="G3744" s="127">
        <v>5.65E8</v>
      </c>
      <c r="H3744" s="126">
        <v>42703.0</v>
      </c>
      <c r="I3744" s="128">
        <v>6186.0</v>
      </c>
      <c r="J3744" s="128">
        <v>9.33</v>
      </c>
      <c r="K3744" s="128">
        <v>6.92</v>
      </c>
      <c r="L3744" s="128">
        <v>57715.38</v>
      </c>
      <c r="M3744" s="128">
        <v>42807.12</v>
      </c>
      <c r="N3744" s="128">
        <v>14908.26</v>
      </c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</row>
    <row r="3745">
      <c r="A3745" s="125" t="s">
        <v>466</v>
      </c>
      <c r="B3745" s="125" t="s">
        <v>584</v>
      </c>
      <c r="C3745" s="125" t="s">
        <v>478</v>
      </c>
      <c r="D3745" s="125" t="s">
        <v>457</v>
      </c>
      <c r="E3745" s="125" t="s">
        <v>189</v>
      </c>
      <c r="F3745" s="126">
        <v>40933.0</v>
      </c>
      <c r="G3745" s="127">
        <v>7.64E8</v>
      </c>
      <c r="H3745" s="126">
        <v>40958.0</v>
      </c>
      <c r="I3745" s="128">
        <v>1953.0</v>
      </c>
      <c r="J3745" s="128">
        <v>651.21</v>
      </c>
      <c r="K3745" s="128">
        <v>524.96</v>
      </c>
      <c r="L3745" s="128">
        <v>1271813.0</v>
      </c>
      <c r="M3745" s="128">
        <v>1025247.0</v>
      </c>
      <c r="N3745" s="128">
        <v>246566.3</v>
      </c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</row>
    <row r="3746">
      <c r="A3746" s="125" t="s">
        <v>475</v>
      </c>
      <c r="B3746" s="125" t="s">
        <v>574</v>
      </c>
      <c r="C3746" s="125" t="s">
        <v>460</v>
      </c>
      <c r="D3746" s="125" t="s">
        <v>457</v>
      </c>
      <c r="E3746" s="125" t="s">
        <v>464</v>
      </c>
      <c r="F3746" s="126">
        <v>41474.0</v>
      </c>
      <c r="G3746" s="127">
        <v>3.3E8</v>
      </c>
      <c r="H3746" s="126">
        <v>41480.0</v>
      </c>
      <c r="I3746" s="128">
        <v>2291.0</v>
      </c>
      <c r="J3746" s="128">
        <v>47.45</v>
      </c>
      <c r="K3746" s="128">
        <v>31.79</v>
      </c>
      <c r="L3746" s="128">
        <v>108708.0</v>
      </c>
      <c r="M3746" s="128">
        <v>72830.89</v>
      </c>
      <c r="N3746" s="128">
        <v>35877.06</v>
      </c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</row>
    <row r="3747">
      <c r="A3747" s="125" t="s">
        <v>458</v>
      </c>
      <c r="B3747" s="125" t="s">
        <v>563</v>
      </c>
      <c r="C3747" s="125" t="s">
        <v>494</v>
      </c>
      <c r="D3747" s="125" t="s">
        <v>457</v>
      </c>
      <c r="E3747" s="125" t="s">
        <v>464</v>
      </c>
      <c r="F3747" s="126">
        <v>41498.0</v>
      </c>
      <c r="G3747" s="127">
        <v>6.39E8</v>
      </c>
      <c r="H3747" s="126">
        <v>41523.0</v>
      </c>
      <c r="I3747" s="128">
        <v>4705.0</v>
      </c>
      <c r="J3747" s="128">
        <v>9.33</v>
      </c>
      <c r="K3747" s="128">
        <v>6.92</v>
      </c>
      <c r="L3747" s="128">
        <v>43897.65</v>
      </c>
      <c r="M3747" s="128">
        <v>32558.6</v>
      </c>
      <c r="N3747" s="128">
        <v>11339.05</v>
      </c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</row>
    <row r="3748">
      <c r="A3748" s="125" t="s">
        <v>466</v>
      </c>
      <c r="B3748" s="125" t="s">
        <v>658</v>
      </c>
      <c r="C3748" s="125" t="s">
        <v>471</v>
      </c>
      <c r="D3748" s="125" t="s">
        <v>454</v>
      </c>
      <c r="E3748" s="125" t="s">
        <v>472</v>
      </c>
      <c r="F3748" s="126">
        <v>41370.0</v>
      </c>
      <c r="G3748" s="127">
        <v>8.86E8</v>
      </c>
      <c r="H3748" s="126">
        <v>41408.0</v>
      </c>
      <c r="I3748" s="128">
        <v>8730.0</v>
      </c>
      <c r="J3748" s="128">
        <v>109.28</v>
      </c>
      <c r="K3748" s="128">
        <v>35.84</v>
      </c>
      <c r="L3748" s="128">
        <v>954014.4</v>
      </c>
      <c r="M3748" s="128">
        <v>312883.2</v>
      </c>
      <c r="N3748" s="128">
        <v>641131.2</v>
      </c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</row>
    <row r="3749">
      <c r="A3749" s="125" t="s">
        <v>475</v>
      </c>
      <c r="B3749" s="125" t="s">
        <v>528</v>
      </c>
      <c r="C3749" s="125" t="s">
        <v>514</v>
      </c>
      <c r="D3749" s="125" t="s">
        <v>457</v>
      </c>
      <c r="E3749" s="125" t="s">
        <v>472</v>
      </c>
      <c r="F3749" s="126">
        <v>40459.0</v>
      </c>
      <c r="G3749" s="127">
        <v>3.36E8</v>
      </c>
      <c r="H3749" s="126">
        <v>40504.0</v>
      </c>
      <c r="I3749" s="128">
        <v>936.0</v>
      </c>
      <c r="J3749" s="128">
        <v>668.27</v>
      </c>
      <c r="K3749" s="128">
        <v>502.54</v>
      </c>
      <c r="L3749" s="128">
        <v>625500.7</v>
      </c>
      <c r="M3749" s="128">
        <v>470377.4</v>
      </c>
      <c r="N3749" s="128">
        <v>155123.3</v>
      </c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</row>
    <row r="3750">
      <c r="A3750" s="125" t="s">
        <v>475</v>
      </c>
      <c r="B3750" s="125" t="s">
        <v>623</v>
      </c>
      <c r="C3750" s="125" t="s">
        <v>494</v>
      </c>
      <c r="D3750" s="125" t="s">
        <v>454</v>
      </c>
      <c r="E3750" s="125" t="s">
        <v>284</v>
      </c>
      <c r="F3750" s="126">
        <v>41288.0</v>
      </c>
      <c r="G3750" s="127">
        <v>5.76E8</v>
      </c>
      <c r="H3750" s="126">
        <v>41292.0</v>
      </c>
      <c r="I3750" s="128">
        <v>9919.0</v>
      </c>
      <c r="J3750" s="128">
        <v>9.33</v>
      </c>
      <c r="K3750" s="128">
        <v>6.92</v>
      </c>
      <c r="L3750" s="128">
        <v>92544.27</v>
      </c>
      <c r="M3750" s="128">
        <v>68639.48</v>
      </c>
      <c r="N3750" s="128">
        <v>23904.79</v>
      </c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</row>
    <row r="3751">
      <c r="A3751" s="125" t="s">
        <v>466</v>
      </c>
      <c r="B3751" s="125" t="s">
        <v>491</v>
      </c>
      <c r="C3751" s="125" t="s">
        <v>514</v>
      </c>
      <c r="D3751" s="125" t="s">
        <v>457</v>
      </c>
      <c r="E3751" s="125" t="s">
        <v>472</v>
      </c>
      <c r="F3751" s="126">
        <v>42623.0</v>
      </c>
      <c r="G3751" s="127">
        <v>5.62E8</v>
      </c>
      <c r="H3751" s="126">
        <v>42640.0</v>
      </c>
      <c r="I3751" s="128">
        <v>1311.0</v>
      </c>
      <c r="J3751" s="128">
        <v>668.27</v>
      </c>
      <c r="K3751" s="128">
        <v>502.54</v>
      </c>
      <c r="L3751" s="128">
        <v>876102.0</v>
      </c>
      <c r="M3751" s="128">
        <v>658829.9</v>
      </c>
      <c r="N3751" s="128">
        <v>217272.0</v>
      </c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</row>
    <row r="3752">
      <c r="A3752" s="125" t="s">
        <v>451</v>
      </c>
      <c r="B3752" s="125" t="s">
        <v>593</v>
      </c>
      <c r="C3752" s="125" t="s">
        <v>460</v>
      </c>
      <c r="D3752" s="125" t="s">
        <v>457</v>
      </c>
      <c r="E3752" s="125" t="s">
        <v>464</v>
      </c>
      <c r="F3752" s="126">
        <v>40850.0</v>
      </c>
      <c r="G3752" s="127">
        <v>6.71E8</v>
      </c>
      <c r="H3752" s="126">
        <v>40895.0</v>
      </c>
      <c r="I3752" s="128">
        <v>2771.0</v>
      </c>
      <c r="J3752" s="128">
        <v>47.45</v>
      </c>
      <c r="K3752" s="128">
        <v>31.79</v>
      </c>
      <c r="L3752" s="128">
        <v>131484.0</v>
      </c>
      <c r="M3752" s="128">
        <v>88090.09</v>
      </c>
      <c r="N3752" s="128">
        <v>43393.86</v>
      </c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</row>
    <row r="3753">
      <c r="A3753" s="125" t="s">
        <v>458</v>
      </c>
      <c r="B3753" s="125" t="s">
        <v>603</v>
      </c>
      <c r="C3753" s="125" t="s">
        <v>463</v>
      </c>
      <c r="D3753" s="125" t="s">
        <v>457</v>
      </c>
      <c r="E3753" s="125" t="s">
        <v>472</v>
      </c>
      <c r="F3753" s="126">
        <v>42426.0</v>
      </c>
      <c r="G3753" s="127">
        <v>4.49E8</v>
      </c>
      <c r="H3753" s="126">
        <v>42463.0</v>
      </c>
      <c r="I3753" s="128">
        <v>8993.0</v>
      </c>
      <c r="J3753" s="128">
        <v>205.7</v>
      </c>
      <c r="K3753" s="128">
        <v>117.11</v>
      </c>
      <c r="L3753" s="128">
        <v>1849860.0</v>
      </c>
      <c r="M3753" s="128">
        <v>1053170.0</v>
      </c>
      <c r="N3753" s="128">
        <v>796689.9</v>
      </c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</row>
    <row r="3754">
      <c r="A3754" s="125" t="s">
        <v>458</v>
      </c>
      <c r="B3754" s="125" t="s">
        <v>652</v>
      </c>
      <c r="C3754" s="125" t="s">
        <v>460</v>
      </c>
      <c r="D3754" s="125" t="s">
        <v>454</v>
      </c>
      <c r="E3754" s="125" t="s">
        <v>464</v>
      </c>
      <c r="F3754" s="126">
        <v>40369.0</v>
      </c>
      <c r="G3754" s="127">
        <v>8.64E8</v>
      </c>
      <c r="H3754" s="126">
        <v>40377.0</v>
      </c>
      <c r="I3754" s="128">
        <v>6700.0</v>
      </c>
      <c r="J3754" s="128">
        <v>47.45</v>
      </c>
      <c r="K3754" s="128">
        <v>31.79</v>
      </c>
      <c r="L3754" s="128">
        <v>317915.0</v>
      </c>
      <c r="M3754" s="128">
        <v>212993.0</v>
      </c>
      <c r="N3754" s="128">
        <v>104922.0</v>
      </c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</row>
    <row r="3755">
      <c r="A3755" s="125" t="s">
        <v>458</v>
      </c>
      <c r="B3755" s="125" t="s">
        <v>533</v>
      </c>
      <c r="C3755" s="125" t="s">
        <v>478</v>
      </c>
      <c r="D3755" s="125" t="s">
        <v>454</v>
      </c>
      <c r="E3755" s="125" t="s">
        <v>284</v>
      </c>
      <c r="F3755" s="126">
        <v>40528.0</v>
      </c>
      <c r="G3755" s="127">
        <v>2.53E8</v>
      </c>
      <c r="H3755" s="126">
        <v>40539.0</v>
      </c>
      <c r="I3755" s="128">
        <v>9648.0</v>
      </c>
      <c r="J3755" s="128">
        <v>651.21</v>
      </c>
      <c r="K3755" s="128">
        <v>524.96</v>
      </c>
      <c r="L3755" s="128">
        <v>6282874.0</v>
      </c>
      <c r="M3755" s="128">
        <v>5064814.0</v>
      </c>
      <c r="N3755" s="128">
        <v>1218060.0</v>
      </c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</row>
    <row r="3756">
      <c r="A3756" s="125" t="s">
        <v>475</v>
      </c>
      <c r="B3756" s="125" t="s">
        <v>532</v>
      </c>
      <c r="C3756" s="125" t="s">
        <v>463</v>
      </c>
      <c r="D3756" s="125" t="s">
        <v>457</v>
      </c>
      <c r="E3756" s="125" t="s">
        <v>472</v>
      </c>
      <c r="F3756" s="126">
        <v>40849.0</v>
      </c>
      <c r="G3756" s="127">
        <v>1.74E8</v>
      </c>
      <c r="H3756" s="126">
        <v>40859.0</v>
      </c>
      <c r="I3756" s="128">
        <v>3621.0</v>
      </c>
      <c r="J3756" s="128">
        <v>205.7</v>
      </c>
      <c r="K3756" s="128">
        <v>117.11</v>
      </c>
      <c r="L3756" s="128">
        <v>744839.7</v>
      </c>
      <c r="M3756" s="128">
        <v>424055.3</v>
      </c>
      <c r="N3756" s="128">
        <v>320784.4</v>
      </c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</row>
    <row r="3757">
      <c r="A3757" s="125" t="s">
        <v>461</v>
      </c>
      <c r="B3757" s="125" t="s">
        <v>615</v>
      </c>
      <c r="C3757" s="125" t="s">
        <v>460</v>
      </c>
      <c r="D3757" s="125" t="s">
        <v>454</v>
      </c>
      <c r="E3757" s="125" t="s">
        <v>472</v>
      </c>
      <c r="F3757" s="126">
        <v>41045.0</v>
      </c>
      <c r="G3757" s="127">
        <v>4.56E8</v>
      </c>
      <c r="H3757" s="126">
        <v>41054.0</v>
      </c>
      <c r="I3757" s="128">
        <v>1438.0</v>
      </c>
      <c r="J3757" s="128">
        <v>47.45</v>
      </c>
      <c r="K3757" s="128">
        <v>31.79</v>
      </c>
      <c r="L3757" s="128">
        <v>68233.1</v>
      </c>
      <c r="M3757" s="128">
        <v>45714.02</v>
      </c>
      <c r="N3757" s="128">
        <v>22519.08</v>
      </c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</row>
    <row r="3758">
      <c r="A3758" s="125" t="s">
        <v>469</v>
      </c>
      <c r="B3758" s="125" t="s">
        <v>520</v>
      </c>
      <c r="C3758" s="125" t="s">
        <v>480</v>
      </c>
      <c r="D3758" s="125" t="s">
        <v>454</v>
      </c>
      <c r="E3758" s="125" t="s">
        <v>284</v>
      </c>
      <c r="F3758" s="126">
        <v>41222.0</v>
      </c>
      <c r="G3758" s="127">
        <v>5.46E8</v>
      </c>
      <c r="H3758" s="126">
        <v>41247.0</v>
      </c>
      <c r="I3758" s="128">
        <v>7947.0</v>
      </c>
      <c r="J3758" s="128">
        <v>437.2</v>
      </c>
      <c r="K3758" s="128">
        <v>263.33</v>
      </c>
      <c r="L3758" s="128">
        <v>3474428.0</v>
      </c>
      <c r="M3758" s="128">
        <v>2092684.0</v>
      </c>
      <c r="N3758" s="128">
        <v>1381745.0</v>
      </c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</row>
    <row r="3759">
      <c r="A3759" s="125" t="s">
        <v>451</v>
      </c>
      <c r="B3759" s="125" t="s">
        <v>483</v>
      </c>
      <c r="C3759" s="125" t="s">
        <v>468</v>
      </c>
      <c r="D3759" s="125" t="s">
        <v>457</v>
      </c>
      <c r="E3759" s="125" t="s">
        <v>464</v>
      </c>
      <c r="F3759" s="126">
        <v>40487.0</v>
      </c>
      <c r="G3759" s="127">
        <v>8.64E8</v>
      </c>
      <c r="H3759" s="126">
        <v>40501.0</v>
      </c>
      <c r="I3759" s="128">
        <v>5028.0</v>
      </c>
      <c r="J3759" s="128">
        <v>81.73</v>
      </c>
      <c r="K3759" s="128">
        <v>56.67</v>
      </c>
      <c r="L3759" s="128">
        <v>410938.4</v>
      </c>
      <c r="M3759" s="128">
        <v>284936.8</v>
      </c>
      <c r="N3759" s="128">
        <v>126001.7</v>
      </c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</row>
    <row r="3760">
      <c r="A3760" s="125" t="s">
        <v>469</v>
      </c>
      <c r="B3760" s="125" t="s">
        <v>530</v>
      </c>
      <c r="C3760" s="125" t="s">
        <v>478</v>
      </c>
      <c r="D3760" s="125" t="s">
        <v>457</v>
      </c>
      <c r="E3760" s="125" t="s">
        <v>464</v>
      </c>
      <c r="F3760" s="126">
        <v>41108.0</v>
      </c>
      <c r="G3760" s="127">
        <v>5.49E8</v>
      </c>
      <c r="H3760" s="126">
        <v>41151.0</v>
      </c>
      <c r="I3760" s="128">
        <v>6592.0</v>
      </c>
      <c r="J3760" s="128">
        <v>651.21</v>
      </c>
      <c r="K3760" s="128">
        <v>524.96</v>
      </c>
      <c r="L3760" s="128">
        <v>4292776.0</v>
      </c>
      <c r="M3760" s="128">
        <v>3460536.0</v>
      </c>
      <c r="N3760" s="128">
        <v>832240.0</v>
      </c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</row>
    <row r="3761">
      <c r="A3761" s="125" t="s">
        <v>458</v>
      </c>
      <c r="B3761" s="125" t="s">
        <v>517</v>
      </c>
      <c r="C3761" s="125" t="s">
        <v>494</v>
      </c>
      <c r="D3761" s="125" t="s">
        <v>454</v>
      </c>
      <c r="E3761" s="125" t="s">
        <v>189</v>
      </c>
      <c r="F3761" s="126">
        <v>41588.0</v>
      </c>
      <c r="G3761" s="127">
        <v>6.1E8</v>
      </c>
      <c r="H3761" s="126">
        <v>41608.0</v>
      </c>
      <c r="I3761" s="128">
        <v>3582.0</v>
      </c>
      <c r="J3761" s="128">
        <v>9.33</v>
      </c>
      <c r="K3761" s="128">
        <v>6.92</v>
      </c>
      <c r="L3761" s="128">
        <v>33420.06</v>
      </c>
      <c r="M3761" s="128">
        <v>24787.44</v>
      </c>
      <c r="N3761" s="128">
        <v>8632.62</v>
      </c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</row>
    <row r="3762">
      <c r="A3762" s="125" t="s">
        <v>475</v>
      </c>
      <c r="B3762" s="125" t="s">
        <v>513</v>
      </c>
      <c r="C3762" s="125" t="s">
        <v>480</v>
      </c>
      <c r="D3762" s="125" t="s">
        <v>454</v>
      </c>
      <c r="E3762" s="125" t="s">
        <v>284</v>
      </c>
      <c r="F3762" s="126">
        <v>40822.0</v>
      </c>
      <c r="G3762" s="127">
        <v>7.77E8</v>
      </c>
      <c r="H3762" s="126">
        <v>40836.0</v>
      </c>
      <c r="I3762" s="128">
        <v>8971.0</v>
      </c>
      <c r="J3762" s="128">
        <v>437.2</v>
      </c>
      <c r="K3762" s="128">
        <v>263.33</v>
      </c>
      <c r="L3762" s="128">
        <v>3922121.0</v>
      </c>
      <c r="M3762" s="128">
        <v>2362333.0</v>
      </c>
      <c r="N3762" s="128">
        <v>1559788.0</v>
      </c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</row>
    <row r="3763">
      <c r="A3763" s="125" t="s">
        <v>461</v>
      </c>
      <c r="B3763" s="125" t="s">
        <v>621</v>
      </c>
      <c r="C3763" s="125" t="s">
        <v>478</v>
      </c>
      <c r="D3763" s="125" t="s">
        <v>457</v>
      </c>
      <c r="E3763" s="125" t="s">
        <v>464</v>
      </c>
      <c r="F3763" s="126">
        <v>42241.0</v>
      </c>
      <c r="G3763" s="127">
        <v>8.49E8</v>
      </c>
      <c r="H3763" s="126">
        <v>42275.0</v>
      </c>
      <c r="I3763" s="128">
        <v>2764.0</v>
      </c>
      <c r="J3763" s="128">
        <v>651.21</v>
      </c>
      <c r="K3763" s="128">
        <v>524.96</v>
      </c>
      <c r="L3763" s="128">
        <v>1799944.0</v>
      </c>
      <c r="M3763" s="128">
        <v>1450989.0</v>
      </c>
      <c r="N3763" s="128">
        <v>348955.0</v>
      </c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</row>
    <row r="3764">
      <c r="A3764" s="125" t="s">
        <v>475</v>
      </c>
      <c r="B3764" s="125" t="s">
        <v>640</v>
      </c>
      <c r="C3764" s="125" t="s">
        <v>480</v>
      </c>
      <c r="D3764" s="125" t="s">
        <v>457</v>
      </c>
      <c r="E3764" s="125" t="s">
        <v>189</v>
      </c>
      <c r="F3764" s="126">
        <v>41368.0</v>
      </c>
      <c r="G3764" s="127">
        <v>2.48E8</v>
      </c>
      <c r="H3764" s="126">
        <v>41369.0</v>
      </c>
      <c r="I3764" s="128">
        <v>6998.0</v>
      </c>
      <c r="J3764" s="128">
        <v>437.2</v>
      </c>
      <c r="K3764" s="128">
        <v>263.33</v>
      </c>
      <c r="L3764" s="128">
        <v>3059526.0</v>
      </c>
      <c r="M3764" s="128">
        <v>1842783.0</v>
      </c>
      <c r="N3764" s="128">
        <v>1216742.0</v>
      </c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</row>
    <row r="3765">
      <c r="A3765" s="125" t="s">
        <v>451</v>
      </c>
      <c r="B3765" s="125" t="s">
        <v>543</v>
      </c>
      <c r="C3765" s="125" t="s">
        <v>478</v>
      </c>
      <c r="D3765" s="125" t="s">
        <v>457</v>
      </c>
      <c r="E3765" s="125" t="s">
        <v>284</v>
      </c>
      <c r="F3765" s="126">
        <v>41030.0</v>
      </c>
      <c r="G3765" s="127">
        <v>2.64E8</v>
      </c>
      <c r="H3765" s="126">
        <v>41056.0</v>
      </c>
      <c r="I3765" s="128">
        <v>739.0</v>
      </c>
      <c r="J3765" s="128">
        <v>651.21</v>
      </c>
      <c r="K3765" s="128">
        <v>524.96</v>
      </c>
      <c r="L3765" s="128">
        <v>481244.2</v>
      </c>
      <c r="M3765" s="128">
        <v>387945.4</v>
      </c>
      <c r="N3765" s="128">
        <v>93298.75</v>
      </c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</row>
    <row r="3766">
      <c r="A3766" s="125" t="s">
        <v>458</v>
      </c>
      <c r="B3766" s="125" t="s">
        <v>590</v>
      </c>
      <c r="C3766" s="125" t="s">
        <v>463</v>
      </c>
      <c r="D3766" s="125" t="s">
        <v>457</v>
      </c>
      <c r="E3766" s="125" t="s">
        <v>189</v>
      </c>
      <c r="F3766" s="126">
        <v>41676.0</v>
      </c>
      <c r="G3766" s="127">
        <v>9.08E8</v>
      </c>
      <c r="H3766" s="126">
        <v>41707.0</v>
      </c>
      <c r="I3766" s="128">
        <v>5086.0</v>
      </c>
      <c r="J3766" s="128">
        <v>205.7</v>
      </c>
      <c r="K3766" s="128">
        <v>117.11</v>
      </c>
      <c r="L3766" s="128">
        <v>1046190.0</v>
      </c>
      <c r="M3766" s="128">
        <v>595621.5</v>
      </c>
      <c r="N3766" s="128">
        <v>450568.7</v>
      </c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</row>
    <row r="3767">
      <c r="A3767" s="125" t="s">
        <v>458</v>
      </c>
      <c r="B3767" s="125" t="s">
        <v>653</v>
      </c>
      <c r="C3767" s="125" t="s">
        <v>494</v>
      </c>
      <c r="D3767" s="125" t="s">
        <v>457</v>
      </c>
      <c r="E3767" s="125" t="s">
        <v>284</v>
      </c>
      <c r="F3767" s="126">
        <v>42763.0</v>
      </c>
      <c r="G3767" s="127">
        <v>4.61E8</v>
      </c>
      <c r="H3767" s="126">
        <v>42791.0</v>
      </c>
      <c r="I3767" s="128">
        <v>8169.0</v>
      </c>
      <c r="J3767" s="128">
        <v>9.33</v>
      </c>
      <c r="K3767" s="128">
        <v>6.92</v>
      </c>
      <c r="L3767" s="128">
        <v>76216.77</v>
      </c>
      <c r="M3767" s="128">
        <v>56529.48</v>
      </c>
      <c r="N3767" s="128">
        <v>19687.29</v>
      </c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</row>
    <row r="3768">
      <c r="A3768" s="125" t="s">
        <v>458</v>
      </c>
      <c r="B3768" s="125" t="s">
        <v>509</v>
      </c>
      <c r="C3768" s="125" t="s">
        <v>478</v>
      </c>
      <c r="D3768" s="125" t="s">
        <v>457</v>
      </c>
      <c r="E3768" s="125" t="s">
        <v>472</v>
      </c>
      <c r="F3768" s="126">
        <v>41369.0</v>
      </c>
      <c r="G3768" s="127">
        <v>4.25E8</v>
      </c>
      <c r="H3768" s="126">
        <v>41411.0</v>
      </c>
      <c r="I3768" s="128">
        <v>150.0</v>
      </c>
      <c r="J3768" s="128">
        <v>651.21</v>
      </c>
      <c r="K3768" s="128">
        <v>524.96</v>
      </c>
      <c r="L3768" s="128">
        <v>97681.5</v>
      </c>
      <c r="M3768" s="128">
        <v>78744.0</v>
      </c>
      <c r="N3768" s="128">
        <v>18937.5</v>
      </c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</row>
    <row r="3769">
      <c r="A3769" s="125" t="s">
        <v>458</v>
      </c>
      <c r="B3769" s="125" t="s">
        <v>459</v>
      </c>
      <c r="C3769" s="125" t="s">
        <v>514</v>
      </c>
      <c r="D3769" s="125" t="s">
        <v>454</v>
      </c>
      <c r="E3769" s="125" t="s">
        <v>464</v>
      </c>
      <c r="F3769" s="126">
        <v>41876.0</v>
      </c>
      <c r="G3769" s="127">
        <v>5.71E8</v>
      </c>
      <c r="H3769" s="126">
        <v>41912.0</v>
      </c>
      <c r="I3769" s="128">
        <v>8220.0</v>
      </c>
      <c r="J3769" s="128">
        <v>668.27</v>
      </c>
      <c r="K3769" s="128">
        <v>502.54</v>
      </c>
      <c r="L3769" s="128">
        <v>5493179.0</v>
      </c>
      <c r="M3769" s="128">
        <v>4130879.0</v>
      </c>
      <c r="N3769" s="128">
        <v>1362301.0</v>
      </c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</row>
    <row r="3770">
      <c r="A3770" s="125" t="s">
        <v>466</v>
      </c>
      <c r="B3770" s="125" t="s">
        <v>474</v>
      </c>
      <c r="C3770" s="125" t="s">
        <v>506</v>
      </c>
      <c r="D3770" s="125" t="s">
        <v>454</v>
      </c>
      <c r="E3770" s="125" t="s">
        <v>189</v>
      </c>
      <c r="F3770" s="126">
        <v>40759.0</v>
      </c>
      <c r="G3770" s="127">
        <v>2.93E8</v>
      </c>
      <c r="H3770" s="126">
        <v>40794.0</v>
      </c>
      <c r="I3770" s="128">
        <v>1603.0</v>
      </c>
      <c r="J3770" s="128">
        <v>154.06</v>
      </c>
      <c r="K3770" s="128">
        <v>90.93</v>
      </c>
      <c r="L3770" s="128">
        <v>246958.2</v>
      </c>
      <c r="M3770" s="128">
        <v>145760.8</v>
      </c>
      <c r="N3770" s="128">
        <v>101197.4</v>
      </c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</row>
    <row r="3771">
      <c r="A3771" s="125" t="s">
        <v>475</v>
      </c>
      <c r="B3771" s="125" t="s">
        <v>521</v>
      </c>
      <c r="C3771" s="125" t="s">
        <v>480</v>
      </c>
      <c r="D3771" s="125" t="s">
        <v>454</v>
      </c>
      <c r="E3771" s="125" t="s">
        <v>464</v>
      </c>
      <c r="F3771" s="126">
        <v>41795.0</v>
      </c>
      <c r="G3771" s="127">
        <v>8.52E8</v>
      </c>
      <c r="H3771" s="126">
        <v>41800.0</v>
      </c>
      <c r="I3771" s="128">
        <v>6555.0</v>
      </c>
      <c r="J3771" s="128">
        <v>437.2</v>
      </c>
      <c r="K3771" s="128">
        <v>263.33</v>
      </c>
      <c r="L3771" s="128">
        <v>2865846.0</v>
      </c>
      <c r="M3771" s="128">
        <v>1726128.0</v>
      </c>
      <c r="N3771" s="128">
        <v>1139718.0</v>
      </c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</row>
    <row r="3772">
      <c r="A3772" s="125" t="s">
        <v>451</v>
      </c>
      <c r="B3772" s="125" t="s">
        <v>499</v>
      </c>
      <c r="C3772" s="125" t="s">
        <v>468</v>
      </c>
      <c r="D3772" s="125" t="s">
        <v>457</v>
      </c>
      <c r="E3772" s="125" t="s">
        <v>284</v>
      </c>
      <c r="F3772" s="126">
        <v>40852.0</v>
      </c>
      <c r="G3772" s="127">
        <v>4.32E8</v>
      </c>
      <c r="H3772" s="126">
        <v>40876.0</v>
      </c>
      <c r="I3772" s="128">
        <v>1361.0</v>
      </c>
      <c r="J3772" s="128">
        <v>81.73</v>
      </c>
      <c r="K3772" s="128">
        <v>56.67</v>
      </c>
      <c r="L3772" s="128">
        <v>111234.5</v>
      </c>
      <c r="M3772" s="128">
        <v>77127.87</v>
      </c>
      <c r="N3772" s="128">
        <v>34106.66</v>
      </c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</row>
    <row r="3773">
      <c r="A3773" s="125" t="s">
        <v>475</v>
      </c>
      <c r="B3773" s="125" t="s">
        <v>572</v>
      </c>
      <c r="C3773" s="125" t="s">
        <v>463</v>
      </c>
      <c r="D3773" s="125" t="s">
        <v>457</v>
      </c>
      <c r="E3773" s="125" t="s">
        <v>284</v>
      </c>
      <c r="F3773" s="126">
        <v>41103.0</v>
      </c>
      <c r="G3773" s="127">
        <v>8.85E8</v>
      </c>
      <c r="H3773" s="126">
        <v>41110.0</v>
      </c>
      <c r="I3773" s="128">
        <v>1338.0</v>
      </c>
      <c r="J3773" s="128">
        <v>205.7</v>
      </c>
      <c r="K3773" s="128">
        <v>117.11</v>
      </c>
      <c r="L3773" s="128">
        <v>275226.6</v>
      </c>
      <c r="M3773" s="128">
        <v>156693.2</v>
      </c>
      <c r="N3773" s="128">
        <v>118533.4</v>
      </c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</row>
    <row r="3774">
      <c r="A3774" s="125" t="s">
        <v>458</v>
      </c>
      <c r="B3774" s="125" t="s">
        <v>529</v>
      </c>
      <c r="C3774" s="125" t="s">
        <v>460</v>
      </c>
      <c r="D3774" s="125" t="s">
        <v>454</v>
      </c>
      <c r="E3774" s="125" t="s">
        <v>472</v>
      </c>
      <c r="F3774" s="126">
        <v>40578.0</v>
      </c>
      <c r="G3774" s="127">
        <v>9.85E8</v>
      </c>
      <c r="H3774" s="126">
        <v>40612.0</v>
      </c>
      <c r="I3774" s="128">
        <v>3836.0</v>
      </c>
      <c r="J3774" s="128">
        <v>47.45</v>
      </c>
      <c r="K3774" s="128">
        <v>31.79</v>
      </c>
      <c r="L3774" s="128">
        <v>182018.2</v>
      </c>
      <c r="M3774" s="128">
        <v>121946.4</v>
      </c>
      <c r="N3774" s="128">
        <v>60071.76</v>
      </c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</row>
    <row r="3775">
      <c r="A3775" s="125" t="s">
        <v>451</v>
      </c>
      <c r="B3775" s="125" t="s">
        <v>608</v>
      </c>
      <c r="C3775" s="125" t="s">
        <v>478</v>
      </c>
      <c r="D3775" s="125" t="s">
        <v>457</v>
      </c>
      <c r="E3775" s="125" t="s">
        <v>189</v>
      </c>
      <c r="F3775" s="126">
        <v>41843.0</v>
      </c>
      <c r="G3775" s="127">
        <v>4.76E8</v>
      </c>
      <c r="H3775" s="126">
        <v>41866.0</v>
      </c>
      <c r="I3775" s="128">
        <v>3234.0</v>
      </c>
      <c r="J3775" s="128">
        <v>651.21</v>
      </c>
      <c r="K3775" s="128">
        <v>524.96</v>
      </c>
      <c r="L3775" s="128">
        <v>2106013.0</v>
      </c>
      <c r="M3775" s="128">
        <v>1697721.0</v>
      </c>
      <c r="N3775" s="128">
        <v>408292.5</v>
      </c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</row>
    <row r="3776">
      <c r="A3776" s="125" t="s">
        <v>458</v>
      </c>
      <c r="B3776" s="125" t="s">
        <v>652</v>
      </c>
      <c r="C3776" s="125" t="s">
        <v>471</v>
      </c>
      <c r="D3776" s="125" t="s">
        <v>454</v>
      </c>
      <c r="E3776" s="125" t="s">
        <v>472</v>
      </c>
      <c r="F3776" s="126">
        <v>42324.0</v>
      </c>
      <c r="G3776" s="127">
        <v>5.22E8</v>
      </c>
      <c r="H3776" s="126">
        <v>42328.0</v>
      </c>
      <c r="I3776" s="128">
        <v>5944.0</v>
      </c>
      <c r="J3776" s="128">
        <v>109.28</v>
      </c>
      <c r="K3776" s="128">
        <v>35.84</v>
      </c>
      <c r="L3776" s="128">
        <v>649560.3</v>
      </c>
      <c r="M3776" s="128">
        <v>213033.0</v>
      </c>
      <c r="N3776" s="128">
        <v>436527.4</v>
      </c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</row>
    <row r="3777">
      <c r="A3777" s="125" t="s">
        <v>475</v>
      </c>
      <c r="B3777" s="125" t="s">
        <v>558</v>
      </c>
      <c r="C3777" s="125" t="s">
        <v>453</v>
      </c>
      <c r="D3777" s="125" t="s">
        <v>454</v>
      </c>
      <c r="E3777" s="125" t="s">
        <v>472</v>
      </c>
      <c r="F3777" s="126">
        <v>41217.0</v>
      </c>
      <c r="G3777" s="127">
        <v>5.58E8</v>
      </c>
      <c r="H3777" s="126">
        <v>41265.0</v>
      </c>
      <c r="I3777" s="128">
        <v>5407.0</v>
      </c>
      <c r="J3777" s="128">
        <v>255.28</v>
      </c>
      <c r="K3777" s="128">
        <v>159.42</v>
      </c>
      <c r="L3777" s="128">
        <v>1380299.0</v>
      </c>
      <c r="M3777" s="128">
        <v>861983.9</v>
      </c>
      <c r="N3777" s="128">
        <v>518315.0</v>
      </c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</row>
    <row r="3778">
      <c r="A3778" s="125" t="s">
        <v>475</v>
      </c>
      <c r="B3778" s="125" t="s">
        <v>601</v>
      </c>
      <c r="C3778" s="125" t="s">
        <v>480</v>
      </c>
      <c r="D3778" s="125" t="s">
        <v>454</v>
      </c>
      <c r="E3778" s="125" t="s">
        <v>189</v>
      </c>
      <c r="F3778" s="126">
        <v>40872.0</v>
      </c>
      <c r="G3778" s="127">
        <v>5.38E8</v>
      </c>
      <c r="H3778" s="126">
        <v>40907.0</v>
      </c>
      <c r="I3778" s="128">
        <v>7097.0</v>
      </c>
      <c r="J3778" s="128">
        <v>437.2</v>
      </c>
      <c r="K3778" s="128">
        <v>263.33</v>
      </c>
      <c r="L3778" s="128">
        <v>3102808.0</v>
      </c>
      <c r="M3778" s="128">
        <v>1868853.0</v>
      </c>
      <c r="N3778" s="128">
        <v>1233955.0</v>
      </c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</row>
    <row r="3779">
      <c r="A3779" s="125" t="s">
        <v>458</v>
      </c>
      <c r="B3779" s="125" t="s">
        <v>540</v>
      </c>
      <c r="C3779" s="125" t="s">
        <v>506</v>
      </c>
      <c r="D3779" s="125" t="s">
        <v>457</v>
      </c>
      <c r="E3779" s="125" t="s">
        <v>189</v>
      </c>
      <c r="F3779" s="126">
        <v>42648.0</v>
      </c>
      <c r="G3779" s="127">
        <v>4.86E8</v>
      </c>
      <c r="H3779" s="126">
        <v>42687.0</v>
      </c>
      <c r="I3779" s="128">
        <v>3519.0</v>
      </c>
      <c r="J3779" s="128">
        <v>154.06</v>
      </c>
      <c r="K3779" s="128">
        <v>90.93</v>
      </c>
      <c r="L3779" s="128">
        <v>542137.1</v>
      </c>
      <c r="M3779" s="128">
        <v>319982.7</v>
      </c>
      <c r="N3779" s="128">
        <v>222154.5</v>
      </c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</row>
    <row r="3780">
      <c r="A3780" s="125" t="s">
        <v>458</v>
      </c>
      <c r="B3780" s="125" t="s">
        <v>554</v>
      </c>
      <c r="C3780" s="125" t="s">
        <v>480</v>
      </c>
      <c r="D3780" s="125" t="s">
        <v>454</v>
      </c>
      <c r="E3780" s="125" t="s">
        <v>189</v>
      </c>
      <c r="F3780" s="126">
        <v>42759.0</v>
      </c>
      <c r="G3780" s="127">
        <v>9.5E8</v>
      </c>
      <c r="H3780" s="126">
        <v>42800.0</v>
      </c>
      <c r="I3780" s="128">
        <v>9210.0</v>
      </c>
      <c r="J3780" s="128">
        <v>437.2</v>
      </c>
      <c r="K3780" s="128">
        <v>263.33</v>
      </c>
      <c r="L3780" s="128">
        <v>4026612.0</v>
      </c>
      <c r="M3780" s="128">
        <v>2425269.0</v>
      </c>
      <c r="N3780" s="128">
        <v>1601343.0</v>
      </c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</row>
    <row r="3781">
      <c r="A3781" s="125" t="s">
        <v>461</v>
      </c>
      <c r="B3781" s="125" t="s">
        <v>581</v>
      </c>
      <c r="C3781" s="125" t="s">
        <v>468</v>
      </c>
      <c r="D3781" s="125" t="s">
        <v>457</v>
      </c>
      <c r="E3781" s="125" t="s">
        <v>284</v>
      </c>
      <c r="F3781" s="126">
        <v>41957.0</v>
      </c>
      <c r="G3781" s="127">
        <v>7.44E8</v>
      </c>
      <c r="H3781" s="126">
        <v>41972.0</v>
      </c>
      <c r="I3781" s="128">
        <v>5737.0</v>
      </c>
      <c r="J3781" s="128">
        <v>81.73</v>
      </c>
      <c r="K3781" s="128">
        <v>56.67</v>
      </c>
      <c r="L3781" s="128">
        <v>468885.0</v>
      </c>
      <c r="M3781" s="128">
        <v>325115.8</v>
      </c>
      <c r="N3781" s="128">
        <v>143769.2</v>
      </c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</row>
    <row r="3782">
      <c r="A3782" s="125" t="s">
        <v>458</v>
      </c>
      <c r="B3782" s="125" t="s">
        <v>603</v>
      </c>
      <c r="C3782" s="125" t="s">
        <v>494</v>
      </c>
      <c r="D3782" s="125" t="s">
        <v>454</v>
      </c>
      <c r="E3782" s="125" t="s">
        <v>464</v>
      </c>
      <c r="F3782" s="126">
        <v>41384.0</v>
      </c>
      <c r="G3782" s="127">
        <v>1.03E8</v>
      </c>
      <c r="H3782" s="126">
        <v>41431.0</v>
      </c>
      <c r="I3782" s="128">
        <v>6698.0</v>
      </c>
      <c r="J3782" s="128">
        <v>9.33</v>
      </c>
      <c r="K3782" s="128">
        <v>6.92</v>
      </c>
      <c r="L3782" s="128">
        <v>62492.34</v>
      </c>
      <c r="M3782" s="128">
        <v>46350.16</v>
      </c>
      <c r="N3782" s="128">
        <v>16142.18</v>
      </c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</row>
    <row r="3783">
      <c r="A3783" s="125" t="s">
        <v>451</v>
      </c>
      <c r="B3783" s="125" t="s">
        <v>546</v>
      </c>
      <c r="C3783" s="125" t="s">
        <v>460</v>
      </c>
      <c r="D3783" s="125" t="s">
        <v>457</v>
      </c>
      <c r="E3783" s="125" t="s">
        <v>284</v>
      </c>
      <c r="F3783" s="126">
        <v>41185.0</v>
      </c>
      <c r="G3783" s="127">
        <v>2.36E8</v>
      </c>
      <c r="H3783" s="126">
        <v>41195.0</v>
      </c>
      <c r="I3783" s="128">
        <v>2723.0</v>
      </c>
      <c r="J3783" s="128">
        <v>47.45</v>
      </c>
      <c r="K3783" s="128">
        <v>31.79</v>
      </c>
      <c r="L3783" s="128">
        <v>129206.4</v>
      </c>
      <c r="M3783" s="128">
        <v>86564.17</v>
      </c>
      <c r="N3783" s="128">
        <v>42642.18</v>
      </c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</row>
    <row r="3784">
      <c r="A3784" s="125" t="s">
        <v>461</v>
      </c>
      <c r="B3784" s="125" t="s">
        <v>638</v>
      </c>
      <c r="C3784" s="125" t="s">
        <v>453</v>
      </c>
      <c r="D3784" s="125" t="s">
        <v>454</v>
      </c>
      <c r="E3784" s="125" t="s">
        <v>284</v>
      </c>
      <c r="F3784" s="126">
        <v>41899.0</v>
      </c>
      <c r="G3784" s="127">
        <v>1.67E8</v>
      </c>
      <c r="H3784" s="126">
        <v>41941.0</v>
      </c>
      <c r="I3784" s="128">
        <v>6474.0</v>
      </c>
      <c r="J3784" s="128">
        <v>255.28</v>
      </c>
      <c r="K3784" s="128">
        <v>159.42</v>
      </c>
      <c r="L3784" s="128">
        <v>1652683.0</v>
      </c>
      <c r="M3784" s="128">
        <v>1032085.0</v>
      </c>
      <c r="N3784" s="128">
        <v>620597.6</v>
      </c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</row>
    <row r="3785">
      <c r="A3785" s="125" t="s">
        <v>451</v>
      </c>
      <c r="B3785" s="125" t="s">
        <v>587</v>
      </c>
      <c r="C3785" s="125" t="s">
        <v>463</v>
      </c>
      <c r="D3785" s="125" t="s">
        <v>454</v>
      </c>
      <c r="E3785" s="125" t="s">
        <v>284</v>
      </c>
      <c r="F3785" s="126">
        <v>40300.0</v>
      </c>
      <c r="G3785" s="127">
        <v>7.95E8</v>
      </c>
      <c r="H3785" s="126">
        <v>40317.0</v>
      </c>
      <c r="I3785" s="128">
        <v>7642.0</v>
      </c>
      <c r="J3785" s="128">
        <v>205.7</v>
      </c>
      <c r="K3785" s="128">
        <v>117.11</v>
      </c>
      <c r="L3785" s="128">
        <v>1571959.0</v>
      </c>
      <c r="M3785" s="128">
        <v>894954.6</v>
      </c>
      <c r="N3785" s="128">
        <v>677004.8</v>
      </c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</row>
    <row r="3786">
      <c r="A3786" s="125" t="s">
        <v>475</v>
      </c>
      <c r="B3786" s="125" t="s">
        <v>635</v>
      </c>
      <c r="C3786" s="125" t="s">
        <v>485</v>
      </c>
      <c r="D3786" s="125" t="s">
        <v>457</v>
      </c>
      <c r="E3786" s="125" t="s">
        <v>464</v>
      </c>
      <c r="F3786" s="126">
        <v>41852.0</v>
      </c>
      <c r="G3786" s="127">
        <v>8.36E8</v>
      </c>
      <c r="H3786" s="126">
        <v>41878.0</v>
      </c>
      <c r="I3786" s="128">
        <v>7952.0</v>
      </c>
      <c r="J3786" s="128">
        <v>421.89</v>
      </c>
      <c r="K3786" s="128">
        <v>364.69</v>
      </c>
      <c r="L3786" s="128">
        <v>3354869.0</v>
      </c>
      <c r="M3786" s="128">
        <v>2900015.0</v>
      </c>
      <c r="N3786" s="128">
        <v>454854.4</v>
      </c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</row>
    <row r="3787">
      <c r="A3787" s="125" t="s">
        <v>458</v>
      </c>
      <c r="B3787" s="125" t="s">
        <v>633</v>
      </c>
      <c r="C3787" s="125" t="s">
        <v>468</v>
      </c>
      <c r="D3787" s="125" t="s">
        <v>457</v>
      </c>
      <c r="E3787" s="125" t="s">
        <v>284</v>
      </c>
      <c r="F3787" s="126">
        <v>42727.0</v>
      </c>
      <c r="G3787" s="127">
        <v>8.78E8</v>
      </c>
      <c r="H3787" s="126">
        <v>42773.0</v>
      </c>
      <c r="I3787" s="128">
        <v>6158.0</v>
      </c>
      <c r="J3787" s="128">
        <v>81.73</v>
      </c>
      <c r="K3787" s="128">
        <v>56.67</v>
      </c>
      <c r="L3787" s="128">
        <v>503293.3</v>
      </c>
      <c r="M3787" s="128">
        <v>348973.9</v>
      </c>
      <c r="N3787" s="128">
        <v>154319.5</v>
      </c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</row>
    <row r="3788">
      <c r="A3788" s="125" t="s">
        <v>475</v>
      </c>
      <c r="B3788" s="125" t="s">
        <v>619</v>
      </c>
      <c r="C3788" s="125" t="s">
        <v>468</v>
      </c>
      <c r="D3788" s="125" t="s">
        <v>454</v>
      </c>
      <c r="E3788" s="125" t="s">
        <v>464</v>
      </c>
      <c r="F3788" s="126">
        <v>42249.0</v>
      </c>
      <c r="G3788" s="127">
        <v>2.28E8</v>
      </c>
      <c r="H3788" s="126">
        <v>42263.0</v>
      </c>
      <c r="I3788" s="128">
        <v>3046.0</v>
      </c>
      <c r="J3788" s="128">
        <v>81.73</v>
      </c>
      <c r="K3788" s="128">
        <v>56.67</v>
      </c>
      <c r="L3788" s="128">
        <v>248949.6</v>
      </c>
      <c r="M3788" s="128">
        <v>172616.8</v>
      </c>
      <c r="N3788" s="128">
        <v>76332.76</v>
      </c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</row>
    <row r="3789">
      <c r="A3789" s="125" t="s">
        <v>451</v>
      </c>
      <c r="B3789" s="125" t="s">
        <v>497</v>
      </c>
      <c r="C3789" s="125" t="s">
        <v>471</v>
      </c>
      <c r="D3789" s="125" t="s">
        <v>457</v>
      </c>
      <c r="E3789" s="125" t="s">
        <v>189</v>
      </c>
      <c r="F3789" s="126">
        <v>41518.0</v>
      </c>
      <c r="G3789" s="127">
        <v>9.65E8</v>
      </c>
      <c r="H3789" s="126">
        <v>41530.0</v>
      </c>
      <c r="I3789" s="128">
        <v>6434.0</v>
      </c>
      <c r="J3789" s="128">
        <v>109.28</v>
      </c>
      <c r="K3789" s="128">
        <v>35.84</v>
      </c>
      <c r="L3789" s="128">
        <v>703107.5</v>
      </c>
      <c r="M3789" s="128">
        <v>230594.6</v>
      </c>
      <c r="N3789" s="128">
        <v>472513.0</v>
      </c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</row>
    <row r="3790">
      <c r="A3790" s="125" t="s">
        <v>458</v>
      </c>
      <c r="B3790" s="125" t="s">
        <v>614</v>
      </c>
      <c r="C3790" s="125" t="s">
        <v>453</v>
      </c>
      <c r="D3790" s="125" t="s">
        <v>457</v>
      </c>
      <c r="E3790" s="125" t="s">
        <v>472</v>
      </c>
      <c r="F3790" s="126">
        <v>42019.0</v>
      </c>
      <c r="G3790" s="127">
        <v>2.88E8</v>
      </c>
      <c r="H3790" s="126">
        <v>42051.0</v>
      </c>
      <c r="I3790" s="128">
        <v>6171.0</v>
      </c>
      <c r="J3790" s="128">
        <v>255.28</v>
      </c>
      <c r="K3790" s="128">
        <v>159.42</v>
      </c>
      <c r="L3790" s="128">
        <v>1575333.0</v>
      </c>
      <c r="M3790" s="128">
        <v>983780.8</v>
      </c>
      <c r="N3790" s="128">
        <v>591552.1</v>
      </c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</row>
    <row r="3791">
      <c r="A3791" s="125" t="s">
        <v>451</v>
      </c>
      <c r="B3791" s="125" t="s">
        <v>608</v>
      </c>
      <c r="C3791" s="125" t="s">
        <v>485</v>
      </c>
      <c r="D3791" s="125" t="s">
        <v>454</v>
      </c>
      <c r="E3791" s="125" t="s">
        <v>472</v>
      </c>
      <c r="F3791" s="126">
        <v>41481.0</v>
      </c>
      <c r="G3791" s="127">
        <v>8.65E8</v>
      </c>
      <c r="H3791" s="126">
        <v>41483.0</v>
      </c>
      <c r="I3791" s="128">
        <v>9136.0</v>
      </c>
      <c r="J3791" s="128">
        <v>421.89</v>
      </c>
      <c r="K3791" s="128">
        <v>364.69</v>
      </c>
      <c r="L3791" s="128">
        <v>3854387.0</v>
      </c>
      <c r="M3791" s="128">
        <v>3331808.0</v>
      </c>
      <c r="N3791" s="128">
        <v>522579.2</v>
      </c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</row>
    <row r="3792">
      <c r="A3792" s="125" t="s">
        <v>451</v>
      </c>
      <c r="B3792" s="125" t="s">
        <v>592</v>
      </c>
      <c r="C3792" s="125" t="s">
        <v>463</v>
      </c>
      <c r="D3792" s="125" t="s">
        <v>457</v>
      </c>
      <c r="E3792" s="125" t="s">
        <v>464</v>
      </c>
      <c r="F3792" s="126">
        <v>40785.0</v>
      </c>
      <c r="G3792" s="127">
        <v>4.85E8</v>
      </c>
      <c r="H3792" s="126">
        <v>40802.0</v>
      </c>
      <c r="I3792" s="128">
        <v>4240.0</v>
      </c>
      <c r="J3792" s="128">
        <v>205.7</v>
      </c>
      <c r="K3792" s="128">
        <v>117.11</v>
      </c>
      <c r="L3792" s="128">
        <v>872168.0</v>
      </c>
      <c r="M3792" s="128">
        <v>496546.4</v>
      </c>
      <c r="N3792" s="128">
        <v>375621.6</v>
      </c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</row>
    <row r="3793">
      <c r="A3793" s="125" t="s">
        <v>458</v>
      </c>
      <c r="B3793" s="125" t="s">
        <v>540</v>
      </c>
      <c r="C3793" s="125" t="s">
        <v>514</v>
      </c>
      <c r="D3793" s="125" t="s">
        <v>454</v>
      </c>
      <c r="E3793" s="125" t="s">
        <v>472</v>
      </c>
      <c r="F3793" s="126">
        <v>42585.0</v>
      </c>
      <c r="G3793" s="127">
        <v>6.08E8</v>
      </c>
      <c r="H3793" s="126">
        <v>42593.0</v>
      </c>
      <c r="I3793" s="128">
        <v>7426.0</v>
      </c>
      <c r="J3793" s="128">
        <v>668.27</v>
      </c>
      <c r="K3793" s="128">
        <v>502.54</v>
      </c>
      <c r="L3793" s="128">
        <v>4962573.0</v>
      </c>
      <c r="M3793" s="128">
        <v>3731862.0</v>
      </c>
      <c r="N3793" s="128">
        <v>1230711.0</v>
      </c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</row>
    <row r="3794">
      <c r="A3794" s="125" t="s">
        <v>451</v>
      </c>
      <c r="B3794" s="125" t="s">
        <v>452</v>
      </c>
      <c r="C3794" s="125" t="s">
        <v>453</v>
      </c>
      <c r="D3794" s="125" t="s">
        <v>454</v>
      </c>
      <c r="E3794" s="125" t="s">
        <v>284</v>
      </c>
      <c r="F3794" s="126">
        <v>41625.0</v>
      </c>
      <c r="G3794" s="127">
        <v>5.13E8</v>
      </c>
      <c r="H3794" s="126">
        <v>41646.0</v>
      </c>
      <c r="I3794" s="128">
        <v>6668.0</v>
      </c>
      <c r="J3794" s="128">
        <v>255.28</v>
      </c>
      <c r="K3794" s="128">
        <v>159.42</v>
      </c>
      <c r="L3794" s="128">
        <v>1702207.0</v>
      </c>
      <c r="M3794" s="128">
        <v>1063013.0</v>
      </c>
      <c r="N3794" s="128">
        <v>639194.5</v>
      </c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</row>
    <row r="3795">
      <c r="A3795" s="125" t="s">
        <v>466</v>
      </c>
      <c r="B3795" s="125" t="s">
        <v>584</v>
      </c>
      <c r="C3795" s="125" t="s">
        <v>456</v>
      </c>
      <c r="D3795" s="125" t="s">
        <v>454</v>
      </c>
      <c r="E3795" s="125" t="s">
        <v>284</v>
      </c>
      <c r="F3795" s="126">
        <v>42721.0</v>
      </c>
      <c r="G3795" s="127">
        <v>4.51E8</v>
      </c>
      <c r="H3795" s="126">
        <v>42760.0</v>
      </c>
      <c r="I3795" s="128">
        <v>6970.0</v>
      </c>
      <c r="J3795" s="128">
        <v>152.58</v>
      </c>
      <c r="K3795" s="128">
        <v>97.44</v>
      </c>
      <c r="L3795" s="128">
        <v>1063483.0</v>
      </c>
      <c r="M3795" s="128">
        <v>679156.8</v>
      </c>
      <c r="N3795" s="128">
        <v>384325.8</v>
      </c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</row>
    <row r="3796">
      <c r="A3796" s="125" t="s">
        <v>458</v>
      </c>
      <c r="B3796" s="125" t="s">
        <v>551</v>
      </c>
      <c r="C3796" s="125" t="s">
        <v>514</v>
      </c>
      <c r="D3796" s="125" t="s">
        <v>454</v>
      </c>
      <c r="E3796" s="125" t="s">
        <v>472</v>
      </c>
      <c r="F3796" s="126">
        <v>42779.0</v>
      </c>
      <c r="G3796" s="127">
        <v>2.91E8</v>
      </c>
      <c r="H3796" s="126">
        <v>42786.0</v>
      </c>
      <c r="I3796" s="128">
        <v>5368.0</v>
      </c>
      <c r="J3796" s="128">
        <v>668.27</v>
      </c>
      <c r="K3796" s="128">
        <v>502.54</v>
      </c>
      <c r="L3796" s="128">
        <v>3587273.0</v>
      </c>
      <c r="M3796" s="128">
        <v>2697635.0</v>
      </c>
      <c r="N3796" s="128">
        <v>889638.6</v>
      </c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</row>
    <row r="3797">
      <c r="A3797" s="125" t="s">
        <v>458</v>
      </c>
      <c r="B3797" s="125" t="s">
        <v>518</v>
      </c>
      <c r="C3797" s="125" t="s">
        <v>494</v>
      </c>
      <c r="D3797" s="125" t="s">
        <v>454</v>
      </c>
      <c r="E3797" s="125" t="s">
        <v>464</v>
      </c>
      <c r="F3797" s="126">
        <v>40476.0</v>
      </c>
      <c r="G3797" s="127">
        <v>8.75E8</v>
      </c>
      <c r="H3797" s="126">
        <v>40488.0</v>
      </c>
      <c r="I3797" s="128">
        <v>5930.0</v>
      </c>
      <c r="J3797" s="128">
        <v>9.33</v>
      </c>
      <c r="K3797" s="128">
        <v>6.92</v>
      </c>
      <c r="L3797" s="128">
        <v>55326.9</v>
      </c>
      <c r="M3797" s="128">
        <v>41035.6</v>
      </c>
      <c r="N3797" s="128">
        <v>14291.3</v>
      </c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</row>
    <row r="3798">
      <c r="A3798" s="125" t="s">
        <v>475</v>
      </c>
      <c r="B3798" s="125" t="s">
        <v>532</v>
      </c>
      <c r="C3798" s="125" t="s">
        <v>471</v>
      </c>
      <c r="D3798" s="125" t="s">
        <v>457</v>
      </c>
      <c r="E3798" s="125" t="s">
        <v>472</v>
      </c>
      <c r="F3798" s="126">
        <v>40410.0</v>
      </c>
      <c r="G3798" s="127">
        <v>8.64E8</v>
      </c>
      <c r="H3798" s="126">
        <v>40411.0</v>
      </c>
      <c r="I3798" s="128">
        <v>4755.0</v>
      </c>
      <c r="J3798" s="128">
        <v>109.28</v>
      </c>
      <c r="K3798" s="128">
        <v>35.84</v>
      </c>
      <c r="L3798" s="128">
        <v>519626.4</v>
      </c>
      <c r="M3798" s="128">
        <v>170419.2</v>
      </c>
      <c r="N3798" s="128">
        <v>349207.2</v>
      </c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</row>
    <row r="3799">
      <c r="A3799" s="125" t="s">
        <v>475</v>
      </c>
      <c r="B3799" s="125" t="s">
        <v>604</v>
      </c>
      <c r="C3799" s="125" t="s">
        <v>456</v>
      </c>
      <c r="D3799" s="125" t="s">
        <v>457</v>
      </c>
      <c r="E3799" s="125" t="s">
        <v>472</v>
      </c>
      <c r="F3799" s="126">
        <v>40656.0</v>
      </c>
      <c r="G3799" s="127">
        <v>7.88E8</v>
      </c>
      <c r="H3799" s="126">
        <v>40668.0</v>
      </c>
      <c r="I3799" s="128">
        <v>4972.0</v>
      </c>
      <c r="J3799" s="128">
        <v>152.58</v>
      </c>
      <c r="K3799" s="128">
        <v>97.44</v>
      </c>
      <c r="L3799" s="128">
        <v>758627.8</v>
      </c>
      <c r="M3799" s="128">
        <v>484471.7</v>
      </c>
      <c r="N3799" s="128">
        <v>274156.1</v>
      </c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</row>
    <row r="3800">
      <c r="A3800" s="125" t="s">
        <v>458</v>
      </c>
      <c r="B3800" s="125" t="s">
        <v>614</v>
      </c>
      <c r="C3800" s="125" t="s">
        <v>514</v>
      </c>
      <c r="D3800" s="125" t="s">
        <v>457</v>
      </c>
      <c r="E3800" s="125" t="s">
        <v>284</v>
      </c>
      <c r="F3800" s="126">
        <v>42440.0</v>
      </c>
      <c r="G3800" s="127">
        <v>8.0E8</v>
      </c>
      <c r="H3800" s="126">
        <v>42483.0</v>
      </c>
      <c r="I3800" s="128">
        <v>1743.0</v>
      </c>
      <c r="J3800" s="128">
        <v>668.27</v>
      </c>
      <c r="K3800" s="128">
        <v>502.54</v>
      </c>
      <c r="L3800" s="128">
        <v>1164795.0</v>
      </c>
      <c r="M3800" s="128">
        <v>875927.2</v>
      </c>
      <c r="N3800" s="128">
        <v>288867.4</v>
      </c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</row>
    <row r="3801">
      <c r="A3801" s="125" t="s">
        <v>466</v>
      </c>
      <c r="B3801" s="125" t="s">
        <v>508</v>
      </c>
      <c r="C3801" s="125" t="s">
        <v>485</v>
      </c>
      <c r="D3801" s="125" t="s">
        <v>454</v>
      </c>
      <c r="E3801" s="125" t="s">
        <v>189</v>
      </c>
      <c r="F3801" s="126">
        <v>40463.0</v>
      </c>
      <c r="G3801" s="127">
        <v>2.21E8</v>
      </c>
      <c r="H3801" s="126">
        <v>40495.0</v>
      </c>
      <c r="I3801" s="128">
        <v>7259.0</v>
      </c>
      <c r="J3801" s="128">
        <v>421.89</v>
      </c>
      <c r="K3801" s="128">
        <v>364.69</v>
      </c>
      <c r="L3801" s="128">
        <v>3062500.0</v>
      </c>
      <c r="M3801" s="128">
        <v>2647285.0</v>
      </c>
      <c r="N3801" s="128">
        <v>415214.8</v>
      </c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</row>
    <row r="3802">
      <c r="A3802" s="125" t="s">
        <v>458</v>
      </c>
      <c r="B3802" s="125" t="s">
        <v>459</v>
      </c>
      <c r="C3802" s="125" t="s">
        <v>485</v>
      </c>
      <c r="D3802" s="125" t="s">
        <v>457</v>
      </c>
      <c r="E3802" s="125" t="s">
        <v>189</v>
      </c>
      <c r="F3802" s="126">
        <v>40882.0</v>
      </c>
      <c r="G3802" s="127">
        <v>6.94E8</v>
      </c>
      <c r="H3802" s="126">
        <v>40914.0</v>
      </c>
      <c r="I3802" s="128">
        <v>5745.0</v>
      </c>
      <c r="J3802" s="128">
        <v>421.89</v>
      </c>
      <c r="K3802" s="128">
        <v>364.69</v>
      </c>
      <c r="L3802" s="128">
        <v>2423758.0</v>
      </c>
      <c r="M3802" s="128">
        <v>2095144.0</v>
      </c>
      <c r="N3802" s="128">
        <v>328614.0</v>
      </c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</row>
    <row r="3803">
      <c r="A3803" s="125" t="s">
        <v>475</v>
      </c>
      <c r="B3803" s="125" t="s">
        <v>604</v>
      </c>
      <c r="C3803" s="125" t="s">
        <v>471</v>
      </c>
      <c r="D3803" s="125" t="s">
        <v>454</v>
      </c>
      <c r="E3803" s="125" t="s">
        <v>284</v>
      </c>
      <c r="F3803" s="126">
        <v>40557.0</v>
      </c>
      <c r="G3803" s="127">
        <v>3.3E8</v>
      </c>
      <c r="H3803" s="126">
        <v>40588.0</v>
      </c>
      <c r="I3803" s="128">
        <v>8456.0</v>
      </c>
      <c r="J3803" s="128">
        <v>109.28</v>
      </c>
      <c r="K3803" s="128">
        <v>35.84</v>
      </c>
      <c r="L3803" s="128">
        <v>924071.7</v>
      </c>
      <c r="M3803" s="128">
        <v>303063.0</v>
      </c>
      <c r="N3803" s="128">
        <v>621008.6</v>
      </c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</row>
    <row r="3804">
      <c r="A3804" s="125" t="s">
        <v>469</v>
      </c>
      <c r="B3804" s="125" t="s">
        <v>589</v>
      </c>
      <c r="C3804" s="125" t="s">
        <v>480</v>
      </c>
      <c r="D3804" s="125" t="s">
        <v>457</v>
      </c>
      <c r="E3804" s="125" t="s">
        <v>472</v>
      </c>
      <c r="F3804" s="126">
        <v>42274.0</v>
      </c>
      <c r="G3804" s="127">
        <v>4.64E8</v>
      </c>
      <c r="H3804" s="126">
        <v>42306.0</v>
      </c>
      <c r="I3804" s="128">
        <v>8677.0</v>
      </c>
      <c r="J3804" s="128">
        <v>437.2</v>
      </c>
      <c r="K3804" s="128">
        <v>263.33</v>
      </c>
      <c r="L3804" s="128">
        <v>3793584.0</v>
      </c>
      <c r="M3804" s="128">
        <v>2284914.0</v>
      </c>
      <c r="N3804" s="128">
        <v>1508670.0</v>
      </c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</row>
    <row r="3805">
      <c r="A3805" s="125" t="s">
        <v>461</v>
      </c>
      <c r="B3805" s="125" t="s">
        <v>542</v>
      </c>
      <c r="C3805" s="125" t="s">
        <v>456</v>
      </c>
      <c r="D3805" s="125" t="s">
        <v>457</v>
      </c>
      <c r="E3805" s="125" t="s">
        <v>284</v>
      </c>
      <c r="F3805" s="126">
        <v>42289.0</v>
      </c>
      <c r="G3805" s="127">
        <v>6.98E8</v>
      </c>
      <c r="H3805" s="126">
        <v>42315.0</v>
      </c>
      <c r="I3805" s="128">
        <v>6726.0</v>
      </c>
      <c r="J3805" s="128">
        <v>152.58</v>
      </c>
      <c r="K3805" s="128">
        <v>97.44</v>
      </c>
      <c r="L3805" s="128">
        <v>1026253.0</v>
      </c>
      <c r="M3805" s="128">
        <v>655381.4</v>
      </c>
      <c r="N3805" s="128">
        <v>370871.6</v>
      </c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</row>
    <row r="3806">
      <c r="A3806" s="125" t="s">
        <v>475</v>
      </c>
      <c r="B3806" s="125" t="s">
        <v>600</v>
      </c>
      <c r="C3806" s="125" t="s">
        <v>478</v>
      </c>
      <c r="D3806" s="125" t="s">
        <v>457</v>
      </c>
      <c r="E3806" s="125" t="s">
        <v>464</v>
      </c>
      <c r="F3806" s="126">
        <v>42780.0</v>
      </c>
      <c r="G3806" s="127">
        <v>2.56E8</v>
      </c>
      <c r="H3806" s="126">
        <v>42799.0</v>
      </c>
      <c r="I3806" s="128">
        <v>4951.0</v>
      </c>
      <c r="J3806" s="128">
        <v>651.21</v>
      </c>
      <c r="K3806" s="128">
        <v>524.96</v>
      </c>
      <c r="L3806" s="128">
        <v>3224141.0</v>
      </c>
      <c r="M3806" s="128">
        <v>2599077.0</v>
      </c>
      <c r="N3806" s="128">
        <v>625063.8</v>
      </c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</row>
    <row r="3807">
      <c r="A3807" s="125" t="s">
        <v>451</v>
      </c>
      <c r="B3807" s="125" t="s">
        <v>455</v>
      </c>
      <c r="C3807" s="125" t="s">
        <v>471</v>
      </c>
      <c r="D3807" s="125" t="s">
        <v>454</v>
      </c>
      <c r="E3807" s="125" t="s">
        <v>472</v>
      </c>
      <c r="F3807" s="126">
        <v>42167.0</v>
      </c>
      <c r="G3807" s="127">
        <v>2.31E8</v>
      </c>
      <c r="H3807" s="126">
        <v>42169.0</v>
      </c>
      <c r="I3807" s="128">
        <v>2733.0</v>
      </c>
      <c r="J3807" s="128">
        <v>109.28</v>
      </c>
      <c r="K3807" s="128">
        <v>35.84</v>
      </c>
      <c r="L3807" s="128">
        <v>298662.2</v>
      </c>
      <c r="M3807" s="128">
        <v>97950.72</v>
      </c>
      <c r="N3807" s="128">
        <v>200711.5</v>
      </c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</row>
    <row r="3808">
      <c r="A3808" s="125" t="s">
        <v>458</v>
      </c>
      <c r="B3808" s="125" t="s">
        <v>610</v>
      </c>
      <c r="C3808" s="125" t="s">
        <v>485</v>
      </c>
      <c r="D3808" s="125" t="s">
        <v>454</v>
      </c>
      <c r="E3808" s="125" t="s">
        <v>284</v>
      </c>
      <c r="F3808" s="126">
        <v>42022.0</v>
      </c>
      <c r="G3808" s="127">
        <v>4.37E8</v>
      </c>
      <c r="H3808" s="126">
        <v>42054.0</v>
      </c>
      <c r="I3808" s="128">
        <v>1482.0</v>
      </c>
      <c r="J3808" s="128">
        <v>421.89</v>
      </c>
      <c r="K3808" s="128">
        <v>364.69</v>
      </c>
      <c r="L3808" s="128">
        <v>625241.0</v>
      </c>
      <c r="M3808" s="128">
        <v>540470.6</v>
      </c>
      <c r="N3808" s="128">
        <v>84770.4</v>
      </c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</row>
    <row r="3809">
      <c r="A3809" s="125" t="s">
        <v>458</v>
      </c>
      <c r="B3809" s="125" t="s">
        <v>613</v>
      </c>
      <c r="C3809" s="125" t="s">
        <v>506</v>
      </c>
      <c r="D3809" s="125" t="s">
        <v>457</v>
      </c>
      <c r="E3809" s="125" t="s">
        <v>284</v>
      </c>
      <c r="F3809" s="126">
        <v>42926.0</v>
      </c>
      <c r="G3809" s="127">
        <v>7.6E8</v>
      </c>
      <c r="H3809" s="126">
        <v>42928.0</v>
      </c>
      <c r="I3809" s="128">
        <v>9641.0</v>
      </c>
      <c r="J3809" s="128">
        <v>154.06</v>
      </c>
      <c r="K3809" s="128">
        <v>90.93</v>
      </c>
      <c r="L3809" s="128">
        <v>1485292.0</v>
      </c>
      <c r="M3809" s="128">
        <v>876656.1</v>
      </c>
      <c r="N3809" s="128">
        <v>608636.3</v>
      </c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</row>
    <row r="3810">
      <c r="A3810" s="125" t="s">
        <v>458</v>
      </c>
      <c r="B3810" s="125" t="s">
        <v>573</v>
      </c>
      <c r="C3810" s="125" t="s">
        <v>514</v>
      </c>
      <c r="D3810" s="125" t="s">
        <v>454</v>
      </c>
      <c r="E3810" s="125" t="s">
        <v>464</v>
      </c>
      <c r="F3810" s="126">
        <v>40314.0</v>
      </c>
      <c r="G3810" s="127">
        <v>7.03E8</v>
      </c>
      <c r="H3810" s="126">
        <v>40335.0</v>
      </c>
      <c r="I3810" s="128">
        <v>7684.0</v>
      </c>
      <c r="J3810" s="128">
        <v>668.27</v>
      </c>
      <c r="K3810" s="128">
        <v>502.54</v>
      </c>
      <c r="L3810" s="128">
        <v>5134987.0</v>
      </c>
      <c r="M3810" s="128">
        <v>3861517.0</v>
      </c>
      <c r="N3810" s="128">
        <v>1273469.0</v>
      </c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</row>
    <row r="3811">
      <c r="A3811" s="125" t="s">
        <v>451</v>
      </c>
      <c r="B3811" s="125" t="s">
        <v>550</v>
      </c>
      <c r="C3811" s="125" t="s">
        <v>463</v>
      </c>
      <c r="D3811" s="125" t="s">
        <v>457</v>
      </c>
      <c r="E3811" s="125" t="s">
        <v>472</v>
      </c>
      <c r="F3811" s="126">
        <v>42459.0</v>
      </c>
      <c r="G3811" s="127">
        <v>7.42E8</v>
      </c>
      <c r="H3811" s="126">
        <v>42493.0</v>
      </c>
      <c r="I3811" s="128">
        <v>3116.0</v>
      </c>
      <c r="J3811" s="128">
        <v>205.7</v>
      </c>
      <c r="K3811" s="128">
        <v>117.11</v>
      </c>
      <c r="L3811" s="128">
        <v>640961.2</v>
      </c>
      <c r="M3811" s="128">
        <v>364914.8</v>
      </c>
      <c r="N3811" s="128">
        <v>276046.4</v>
      </c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</row>
    <row r="3812">
      <c r="A3812" s="125" t="s">
        <v>458</v>
      </c>
      <c r="B3812" s="125" t="s">
        <v>610</v>
      </c>
      <c r="C3812" s="125" t="s">
        <v>456</v>
      </c>
      <c r="D3812" s="125" t="s">
        <v>454</v>
      </c>
      <c r="E3812" s="125" t="s">
        <v>284</v>
      </c>
      <c r="F3812" s="126">
        <v>41426.0</v>
      </c>
      <c r="G3812" s="127">
        <v>9.72E8</v>
      </c>
      <c r="H3812" s="126">
        <v>41426.0</v>
      </c>
      <c r="I3812" s="128">
        <v>5471.0</v>
      </c>
      <c r="J3812" s="128">
        <v>152.58</v>
      </c>
      <c r="K3812" s="128">
        <v>97.44</v>
      </c>
      <c r="L3812" s="128">
        <v>834765.2</v>
      </c>
      <c r="M3812" s="128">
        <v>533094.2</v>
      </c>
      <c r="N3812" s="128">
        <v>301670.9</v>
      </c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</row>
    <row r="3813">
      <c r="A3813" s="125" t="s">
        <v>451</v>
      </c>
      <c r="B3813" s="125" t="s">
        <v>482</v>
      </c>
      <c r="C3813" s="125" t="s">
        <v>506</v>
      </c>
      <c r="D3813" s="125" t="s">
        <v>454</v>
      </c>
      <c r="E3813" s="125" t="s">
        <v>189</v>
      </c>
      <c r="F3813" s="126">
        <v>42116.0</v>
      </c>
      <c r="G3813" s="127">
        <v>6.59E8</v>
      </c>
      <c r="H3813" s="126">
        <v>42133.0</v>
      </c>
      <c r="I3813" s="128">
        <v>1319.0</v>
      </c>
      <c r="J3813" s="128">
        <v>154.06</v>
      </c>
      <c r="K3813" s="128">
        <v>90.93</v>
      </c>
      <c r="L3813" s="128">
        <v>203205.1</v>
      </c>
      <c r="M3813" s="128">
        <v>119936.7</v>
      </c>
      <c r="N3813" s="128">
        <v>83268.47</v>
      </c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</row>
    <row r="3814">
      <c r="A3814" s="125" t="s">
        <v>451</v>
      </c>
      <c r="B3814" s="125" t="s">
        <v>546</v>
      </c>
      <c r="C3814" s="125" t="s">
        <v>468</v>
      </c>
      <c r="D3814" s="125" t="s">
        <v>454</v>
      </c>
      <c r="E3814" s="125" t="s">
        <v>464</v>
      </c>
      <c r="F3814" s="126">
        <v>41522.0</v>
      </c>
      <c r="G3814" s="127">
        <v>4.88E8</v>
      </c>
      <c r="H3814" s="126">
        <v>41568.0</v>
      </c>
      <c r="I3814" s="128">
        <v>9258.0</v>
      </c>
      <c r="J3814" s="128">
        <v>81.73</v>
      </c>
      <c r="K3814" s="128">
        <v>56.67</v>
      </c>
      <c r="L3814" s="128">
        <v>756656.3</v>
      </c>
      <c r="M3814" s="128">
        <v>524650.9</v>
      </c>
      <c r="N3814" s="128">
        <v>232005.5</v>
      </c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</row>
    <row r="3815">
      <c r="A3815" s="125" t="s">
        <v>466</v>
      </c>
      <c r="B3815" s="125" t="s">
        <v>568</v>
      </c>
      <c r="C3815" s="125" t="s">
        <v>453</v>
      </c>
      <c r="D3815" s="125" t="s">
        <v>457</v>
      </c>
      <c r="E3815" s="125" t="s">
        <v>464</v>
      </c>
      <c r="F3815" s="126">
        <v>41174.0</v>
      </c>
      <c r="G3815" s="127">
        <v>3.17E8</v>
      </c>
      <c r="H3815" s="126">
        <v>41209.0</v>
      </c>
      <c r="I3815" s="128">
        <v>4917.0</v>
      </c>
      <c r="J3815" s="128">
        <v>255.28</v>
      </c>
      <c r="K3815" s="128">
        <v>159.42</v>
      </c>
      <c r="L3815" s="128">
        <v>1255212.0</v>
      </c>
      <c r="M3815" s="128">
        <v>783868.1</v>
      </c>
      <c r="N3815" s="128">
        <v>471343.6</v>
      </c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</row>
    <row r="3816">
      <c r="A3816" s="125" t="s">
        <v>458</v>
      </c>
      <c r="B3816" s="125" t="s">
        <v>459</v>
      </c>
      <c r="C3816" s="125" t="s">
        <v>478</v>
      </c>
      <c r="D3816" s="125" t="s">
        <v>454</v>
      </c>
      <c r="E3816" s="125" t="s">
        <v>189</v>
      </c>
      <c r="F3816" s="126">
        <v>40225.0</v>
      </c>
      <c r="G3816" s="127">
        <v>5.22E8</v>
      </c>
      <c r="H3816" s="126">
        <v>40271.0</v>
      </c>
      <c r="I3816" s="128">
        <v>5957.0</v>
      </c>
      <c r="J3816" s="128">
        <v>651.21</v>
      </c>
      <c r="K3816" s="128">
        <v>524.96</v>
      </c>
      <c r="L3816" s="128">
        <v>3879258.0</v>
      </c>
      <c r="M3816" s="128">
        <v>3127187.0</v>
      </c>
      <c r="N3816" s="128">
        <v>752071.3</v>
      </c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</row>
    <row r="3817">
      <c r="A3817" s="125" t="s">
        <v>466</v>
      </c>
      <c r="B3817" s="125" t="s">
        <v>531</v>
      </c>
      <c r="C3817" s="125" t="s">
        <v>460</v>
      </c>
      <c r="D3817" s="125" t="s">
        <v>454</v>
      </c>
      <c r="E3817" s="125" t="s">
        <v>464</v>
      </c>
      <c r="F3817" s="126">
        <v>42366.0</v>
      </c>
      <c r="G3817" s="127">
        <v>6.49E8</v>
      </c>
      <c r="H3817" s="126">
        <v>42396.0</v>
      </c>
      <c r="I3817" s="128">
        <v>7072.0</v>
      </c>
      <c r="J3817" s="128">
        <v>47.45</v>
      </c>
      <c r="K3817" s="128">
        <v>31.79</v>
      </c>
      <c r="L3817" s="128">
        <v>335566.4</v>
      </c>
      <c r="M3817" s="128">
        <v>224818.9</v>
      </c>
      <c r="N3817" s="128">
        <v>110747.5</v>
      </c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</row>
    <row r="3818">
      <c r="A3818" s="125" t="s">
        <v>475</v>
      </c>
      <c r="B3818" s="125" t="s">
        <v>544</v>
      </c>
      <c r="C3818" s="125" t="s">
        <v>506</v>
      </c>
      <c r="D3818" s="125" t="s">
        <v>457</v>
      </c>
      <c r="E3818" s="125" t="s">
        <v>284</v>
      </c>
      <c r="F3818" s="126">
        <v>40613.0</v>
      </c>
      <c r="G3818" s="127">
        <v>7.66E8</v>
      </c>
      <c r="H3818" s="126">
        <v>40614.0</v>
      </c>
      <c r="I3818" s="128">
        <v>4984.0</v>
      </c>
      <c r="J3818" s="128">
        <v>154.06</v>
      </c>
      <c r="K3818" s="128">
        <v>90.93</v>
      </c>
      <c r="L3818" s="128">
        <v>767835.0</v>
      </c>
      <c r="M3818" s="128">
        <v>453195.1</v>
      </c>
      <c r="N3818" s="128">
        <v>314639.9</v>
      </c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</row>
    <row r="3819">
      <c r="A3819" s="125" t="s">
        <v>475</v>
      </c>
      <c r="B3819" s="125" t="s">
        <v>500</v>
      </c>
      <c r="C3819" s="125" t="s">
        <v>514</v>
      </c>
      <c r="D3819" s="125" t="s">
        <v>454</v>
      </c>
      <c r="E3819" s="125" t="s">
        <v>464</v>
      </c>
      <c r="F3819" s="126">
        <v>40819.0</v>
      </c>
      <c r="G3819" s="127">
        <v>1.1E8</v>
      </c>
      <c r="H3819" s="126">
        <v>40830.0</v>
      </c>
      <c r="I3819" s="128">
        <v>3449.0</v>
      </c>
      <c r="J3819" s="128">
        <v>668.27</v>
      </c>
      <c r="K3819" s="128">
        <v>502.54</v>
      </c>
      <c r="L3819" s="128">
        <v>2304863.0</v>
      </c>
      <c r="M3819" s="128">
        <v>1733260.0</v>
      </c>
      <c r="N3819" s="128">
        <v>571602.8</v>
      </c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</row>
    <row r="3820">
      <c r="A3820" s="125" t="s">
        <v>458</v>
      </c>
      <c r="B3820" s="125" t="s">
        <v>627</v>
      </c>
      <c r="C3820" s="125" t="s">
        <v>478</v>
      </c>
      <c r="D3820" s="125" t="s">
        <v>457</v>
      </c>
      <c r="E3820" s="125" t="s">
        <v>464</v>
      </c>
      <c r="F3820" s="126">
        <v>40926.0</v>
      </c>
      <c r="G3820" s="127">
        <v>2.4E8</v>
      </c>
      <c r="H3820" s="126">
        <v>40952.0</v>
      </c>
      <c r="I3820" s="128">
        <v>8253.0</v>
      </c>
      <c r="J3820" s="128">
        <v>651.21</v>
      </c>
      <c r="K3820" s="128">
        <v>524.96</v>
      </c>
      <c r="L3820" s="128">
        <v>5374436.0</v>
      </c>
      <c r="M3820" s="128">
        <v>4332495.0</v>
      </c>
      <c r="N3820" s="128">
        <v>1041941.0</v>
      </c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</row>
    <row r="3821">
      <c r="A3821" s="125" t="s">
        <v>458</v>
      </c>
      <c r="B3821" s="125" t="s">
        <v>590</v>
      </c>
      <c r="C3821" s="125" t="s">
        <v>478</v>
      </c>
      <c r="D3821" s="125" t="s">
        <v>454</v>
      </c>
      <c r="E3821" s="125" t="s">
        <v>189</v>
      </c>
      <c r="F3821" s="126">
        <v>40650.0</v>
      </c>
      <c r="G3821" s="127">
        <v>9.83E8</v>
      </c>
      <c r="H3821" s="126">
        <v>40699.0</v>
      </c>
      <c r="I3821" s="128">
        <v>2212.0</v>
      </c>
      <c r="J3821" s="128">
        <v>651.21</v>
      </c>
      <c r="K3821" s="128">
        <v>524.96</v>
      </c>
      <c r="L3821" s="128">
        <v>1440477.0</v>
      </c>
      <c r="M3821" s="128">
        <v>1161212.0</v>
      </c>
      <c r="N3821" s="128">
        <v>279265.0</v>
      </c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</row>
    <row r="3822">
      <c r="A3822" s="125" t="s">
        <v>458</v>
      </c>
      <c r="B3822" s="125" t="s">
        <v>553</v>
      </c>
      <c r="C3822" s="125" t="s">
        <v>480</v>
      </c>
      <c r="D3822" s="125" t="s">
        <v>454</v>
      </c>
      <c r="E3822" s="125" t="s">
        <v>284</v>
      </c>
      <c r="F3822" s="126">
        <v>42860.0</v>
      </c>
      <c r="G3822" s="127">
        <v>8.88E8</v>
      </c>
      <c r="H3822" s="126">
        <v>42906.0</v>
      </c>
      <c r="I3822" s="128">
        <v>176.0</v>
      </c>
      <c r="J3822" s="128">
        <v>437.2</v>
      </c>
      <c r="K3822" s="128">
        <v>263.33</v>
      </c>
      <c r="L3822" s="128">
        <v>76947.2</v>
      </c>
      <c r="M3822" s="128">
        <v>46346.08</v>
      </c>
      <c r="N3822" s="128">
        <v>30601.12</v>
      </c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</row>
    <row r="3823">
      <c r="A3823" s="125" t="s">
        <v>475</v>
      </c>
      <c r="B3823" s="125" t="s">
        <v>635</v>
      </c>
      <c r="C3823" s="125" t="s">
        <v>494</v>
      </c>
      <c r="D3823" s="125" t="s">
        <v>454</v>
      </c>
      <c r="E3823" s="125" t="s">
        <v>189</v>
      </c>
      <c r="F3823" s="126">
        <v>41135.0</v>
      </c>
      <c r="G3823" s="127">
        <v>3.73E8</v>
      </c>
      <c r="H3823" s="126">
        <v>41157.0</v>
      </c>
      <c r="I3823" s="128">
        <v>4025.0</v>
      </c>
      <c r="J3823" s="128">
        <v>9.33</v>
      </c>
      <c r="K3823" s="128">
        <v>6.92</v>
      </c>
      <c r="L3823" s="128">
        <v>37553.25</v>
      </c>
      <c r="M3823" s="128">
        <v>27853.0</v>
      </c>
      <c r="N3823" s="128">
        <v>9700.25</v>
      </c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</row>
    <row r="3824">
      <c r="A3824" s="125" t="s">
        <v>461</v>
      </c>
      <c r="B3824" s="125" t="s">
        <v>510</v>
      </c>
      <c r="C3824" s="125" t="s">
        <v>453</v>
      </c>
      <c r="D3824" s="125" t="s">
        <v>454</v>
      </c>
      <c r="E3824" s="125" t="s">
        <v>472</v>
      </c>
      <c r="F3824" s="126">
        <v>40505.0</v>
      </c>
      <c r="G3824" s="127">
        <v>3.79E8</v>
      </c>
      <c r="H3824" s="126">
        <v>40553.0</v>
      </c>
      <c r="I3824" s="128">
        <v>7669.0</v>
      </c>
      <c r="J3824" s="128">
        <v>255.28</v>
      </c>
      <c r="K3824" s="128">
        <v>159.42</v>
      </c>
      <c r="L3824" s="128">
        <v>1957742.0</v>
      </c>
      <c r="M3824" s="128">
        <v>1222592.0</v>
      </c>
      <c r="N3824" s="128">
        <v>735150.3</v>
      </c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</row>
    <row r="3825">
      <c r="A3825" s="125" t="s">
        <v>475</v>
      </c>
      <c r="B3825" s="125" t="s">
        <v>566</v>
      </c>
      <c r="C3825" s="125" t="s">
        <v>453</v>
      </c>
      <c r="D3825" s="125" t="s">
        <v>454</v>
      </c>
      <c r="E3825" s="125" t="s">
        <v>284</v>
      </c>
      <c r="F3825" s="126">
        <v>42241.0</v>
      </c>
      <c r="G3825" s="127">
        <v>1.13E8</v>
      </c>
      <c r="H3825" s="126">
        <v>42270.0</v>
      </c>
      <c r="I3825" s="128">
        <v>2052.0</v>
      </c>
      <c r="J3825" s="128">
        <v>255.28</v>
      </c>
      <c r="K3825" s="128">
        <v>159.42</v>
      </c>
      <c r="L3825" s="128">
        <v>523834.6</v>
      </c>
      <c r="M3825" s="128">
        <v>327129.8</v>
      </c>
      <c r="N3825" s="128">
        <v>196704.7</v>
      </c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</row>
    <row r="3826">
      <c r="A3826" s="125" t="s">
        <v>461</v>
      </c>
      <c r="B3826" s="125" t="s">
        <v>525</v>
      </c>
      <c r="C3826" s="125" t="s">
        <v>480</v>
      </c>
      <c r="D3826" s="125" t="s">
        <v>457</v>
      </c>
      <c r="E3826" s="125" t="s">
        <v>472</v>
      </c>
      <c r="F3826" s="126">
        <v>42471.0</v>
      </c>
      <c r="G3826" s="127">
        <v>2.07E8</v>
      </c>
      <c r="H3826" s="126">
        <v>42506.0</v>
      </c>
      <c r="I3826" s="128">
        <v>146.0</v>
      </c>
      <c r="J3826" s="128">
        <v>437.2</v>
      </c>
      <c r="K3826" s="128">
        <v>263.33</v>
      </c>
      <c r="L3826" s="128">
        <v>63831.2</v>
      </c>
      <c r="M3826" s="128">
        <v>38446.18</v>
      </c>
      <c r="N3826" s="128">
        <v>25385.02</v>
      </c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</row>
    <row r="3827">
      <c r="A3827" s="125" t="s">
        <v>451</v>
      </c>
      <c r="B3827" s="125" t="s">
        <v>655</v>
      </c>
      <c r="C3827" s="125" t="s">
        <v>463</v>
      </c>
      <c r="D3827" s="125" t="s">
        <v>457</v>
      </c>
      <c r="E3827" s="125" t="s">
        <v>284</v>
      </c>
      <c r="F3827" s="126">
        <v>41862.0</v>
      </c>
      <c r="G3827" s="127">
        <v>4.6E8</v>
      </c>
      <c r="H3827" s="126">
        <v>41887.0</v>
      </c>
      <c r="I3827" s="128">
        <v>1957.0</v>
      </c>
      <c r="J3827" s="128">
        <v>205.7</v>
      </c>
      <c r="K3827" s="128">
        <v>117.11</v>
      </c>
      <c r="L3827" s="128">
        <v>402554.9</v>
      </c>
      <c r="M3827" s="128">
        <v>229184.3</v>
      </c>
      <c r="N3827" s="128">
        <v>173370.6</v>
      </c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</row>
    <row r="3828">
      <c r="A3828" s="125" t="s">
        <v>475</v>
      </c>
      <c r="B3828" s="125" t="s">
        <v>575</v>
      </c>
      <c r="C3828" s="125" t="s">
        <v>468</v>
      </c>
      <c r="D3828" s="125" t="s">
        <v>454</v>
      </c>
      <c r="E3828" s="125" t="s">
        <v>189</v>
      </c>
      <c r="F3828" s="126">
        <v>41467.0</v>
      </c>
      <c r="G3828" s="127">
        <v>2.92E8</v>
      </c>
      <c r="H3828" s="126">
        <v>41487.0</v>
      </c>
      <c r="I3828" s="128">
        <v>9520.0</v>
      </c>
      <c r="J3828" s="128">
        <v>81.73</v>
      </c>
      <c r="K3828" s="128">
        <v>56.67</v>
      </c>
      <c r="L3828" s="128">
        <v>778069.6</v>
      </c>
      <c r="M3828" s="128">
        <v>539498.4</v>
      </c>
      <c r="N3828" s="128">
        <v>238571.2</v>
      </c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</row>
    <row r="3829">
      <c r="A3829" s="125" t="s">
        <v>451</v>
      </c>
      <c r="B3829" s="125" t="s">
        <v>593</v>
      </c>
      <c r="C3829" s="125" t="s">
        <v>456</v>
      </c>
      <c r="D3829" s="125" t="s">
        <v>457</v>
      </c>
      <c r="E3829" s="125" t="s">
        <v>472</v>
      </c>
      <c r="F3829" s="126">
        <v>41348.0</v>
      </c>
      <c r="G3829" s="127">
        <v>9.94E8</v>
      </c>
      <c r="H3829" s="126">
        <v>41379.0</v>
      </c>
      <c r="I3829" s="128">
        <v>1904.0</v>
      </c>
      <c r="J3829" s="128">
        <v>152.58</v>
      </c>
      <c r="K3829" s="128">
        <v>97.44</v>
      </c>
      <c r="L3829" s="128">
        <v>290512.3</v>
      </c>
      <c r="M3829" s="128">
        <v>185525.8</v>
      </c>
      <c r="N3829" s="128">
        <v>104986.6</v>
      </c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</row>
    <row r="3830">
      <c r="A3830" s="125" t="s">
        <v>475</v>
      </c>
      <c r="B3830" s="125" t="s">
        <v>636</v>
      </c>
      <c r="C3830" s="125" t="s">
        <v>471</v>
      </c>
      <c r="D3830" s="125" t="s">
        <v>457</v>
      </c>
      <c r="E3830" s="125" t="s">
        <v>189</v>
      </c>
      <c r="F3830" s="126">
        <v>41954.0</v>
      </c>
      <c r="G3830" s="127">
        <v>7.78E8</v>
      </c>
      <c r="H3830" s="126">
        <v>41983.0</v>
      </c>
      <c r="I3830" s="128">
        <v>206.0</v>
      </c>
      <c r="J3830" s="128">
        <v>109.28</v>
      </c>
      <c r="K3830" s="128">
        <v>35.84</v>
      </c>
      <c r="L3830" s="128">
        <v>22511.68</v>
      </c>
      <c r="M3830" s="128">
        <v>7383.04</v>
      </c>
      <c r="N3830" s="128">
        <v>15128.64</v>
      </c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</row>
    <row r="3831">
      <c r="A3831" s="125" t="s">
        <v>451</v>
      </c>
      <c r="B3831" s="125" t="s">
        <v>543</v>
      </c>
      <c r="C3831" s="125" t="s">
        <v>506</v>
      </c>
      <c r="D3831" s="125" t="s">
        <v>457</v>
      </c>
      <c r="E3831" s="125" t="s">
        <v>472</v>
      </c>
      <c r="F3831" s="126">
        <v>42741.0</v>
      </c>
      <c r="G3831" s="127">
        <v>6.23E8</v>
      </c>
      <c r="H3831" s="126">
        <v>42769.0</v>
      </c>
      <c r="I3831" s="128">
        <v>2557.0</v>
      </c>
      <c r="J3831" s="128">
        <v>154.06</v>
      </c>
      <c r="K3831" s="128">
        <v>90.93</v>
      </c>
      <c r="L3831" s="128">
        <v>393931.4</v>
      </c>
      <c r="M3831" s="128">
        <v>232508.0</v>
      </c>
      <c r="N3831" s="128">
        <v>161423.4</v>
      </c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</row>
    <row r="3832">
      <c r="A3832" s="125" t="s">
        <v>469</v>
      </c>
      <c r="B3832" s="125" t="s">
        <v>520</v>
      </c>
      <c r="C3832" s="125" t="s">
        <v>480</v>
      </c>
      <c r="D3832" s="125" t="s">
        <v>454</v>
      </c>
      <c r="E3832" s="125" t="s">
        <v>472</v>
      </c>
      <c r="F3832" s="126">
        <v>40787.0</v>
      </c>
      <c r="G3832" s="127">
        <v>2.33E8</v>
      </c>
      <c r="H3832" s="126">
        <v>40787.0</v>
      </c>
      <c r="I3832" s="128">
        <v>9117.0</v>
      </c>
      <c r="J3832" s="128">
        <v>437.2</v>
      </c>
      <c r="K3832" s="128">
        <v>263.33</v>
      </c>
      <c r="L3832" s="128">
        <v>3985952.0</v>
      </c>
      <c r="M3832" s="128">
        <v>2400780.0</v>
      </c>
      <c r="N3832" s="128">
        <v>1585173.0</v>
      </c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</row>
    <row r="3833">
      <c r="A3833" s="125" t="s">
        <v>458</v>
      </c>
      <c r="B3833" s="125" t="s">
        <v>613</v>
      </c>
      <c r="C3833" s="125" t="s">
        <v>494</v>
      </c>
      <c r="D3833" s="125" t="s">
        <v>454</v>
      </c>
      <c r="E3833" s="125" t="s">
        <v>472</v>
      </c>
      <c r="F3833" s="126">
        <v>40476.0</v>
      </c>
      <c r="G3833" s="127">
        <v>2.79E8</v>
      </c>
      <c r="H3833" s="126">
        <v>40487.0</v>
      </c>
      <c r="I3833" s="128">
        <v>7080.0</v>
      </c>
      <c r="J3833" s="128">
        <v>9.33</v>
      </c>
      <c r="K3833" s="128">
        <v>6.92</v>
      </c>
      <c r="L3833" s="128">
        <v>66056.4</v>
      </c>
      <c r="M3833" s="128">
        <v>48993.6</v>
      </c>
      <c r="N3833" s="128">
        <v>17062.8</v>
      </c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</row>
    <row r="3834">
      <c r="A3834" s="125" t="s">
        <v>458</v>
      </c>
      <c r="B3834" s="125" t="s">
        <v>594</v>
      </c>
      <c r="C3834" s="125" t="s">
        <v>453</v>
      </c>
      <c r="D3834" s="125" t="s">
        <v>457</v>
      </c>
      <c r="E3834" s="125" t="s">
        <v>464</v>
      </c>
      <c r="F3834" s="126">
        <v>41047.0</v>
      </c>
      <c r="G3834" s="127">
        <v>1.52E8</v>
      </c>
      <c r="H3834" s="126">
        <v>41082.0</v>
      </c>
      <c r="I3834" s="128">
        <v>5669.0</v>
      </c>
      <c r="J3834" s="128">
        <v>255.28</v>
      </c>
      <c r="K3834" s="128">
        <v>159.42</v>
      </c>
      <c r="L3834" s="128">
        <v>1447182.0</v>
      </c>
      <c r="M3834" s="128">
        <v>903752.0</v>
      </c>
      <c r="N3834" s="128">
        <v>543430.3</v>
      </c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</row>
    <row r="3835">
      <c r="A3835" s="125" t="s">
        <v>466</v>
      </c>
      <c r="B3835" s="125" t="s">
        <v>502</v>
      </c>
      <c r="C3835" s="125" t="s">
        <v>480</v>
      </c>
      <c r="D3835" s="125" t="s">
        <v>454</v>
      </c>
      <c r="E3835" s="125" t="s">
        <v>472</v>
      </c>
      <c r="F3835" s="126">
        <v>40746.0</v>
      </c>
      <c r="G3835" s="127">
        <v>2.17E8</v>
      </c>
      <c r="H3835" s="126">
        <v>40784.0</v>
      </c>
      <c r="I3835" s="128">
        <v>1138.0</v>
      </c>
      <c r="J3835" s="128">
        <v>437.2</v>
      </c>
      <c r="K3835" s="128">
        <v>263.33</v>
      </c>
      <c r="L3835" s="128">
        <v>497533.6</v>
      </c>
      <c r="M3835" s="128">
        <v>299669.5</v>
      </c>
      <c r="N3835" s="128">
        <v>197864.1</v>
      </c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</row>
    <row r="3836">
      <c r="A3836" s="125" t="s">
        <v>461</v>
      </c>
      <c r="B3836" s="125" t="s">
        <v>629</v>
      </c>
      <c r="C3836" s="125" t="s">
        <v>480</v>
      </c>
      <c r="D3836" s="125" t="s">
        <v>457</v>
      </c>
      <c r="E3836" s="125" t="s">
        <v>464</v>
      </c>
      <c r="F3836" s="126">
        <v>40973.0</v>
      </c>
      <c r="G3836" s="127">
        <v>4.54E8</v>
      </c>
      <c r="H3836" s="126">
        <v>41020.0</v>
      </c>
      <c r="I3836" s="128">
        <v>1774.0</v>
      </c>
      <c r="J3836" s="128">
        <v>437.2</v>
      </c>
      <c r="K3836" s="128">
        <v>263.33</v>
      </c>
      <c r="L3836" s="128">
        <v>775592.8</v>
      </c>
      <c r="M3836" s="128">
        <v>467147.4</v>
      </c>
      <c r="N3836" s="128">
        <v>308445.4</v>
      </c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</row>
    <row r="3837">
      <c r="A3837" s="125" t="s">
        <v>488</v>
      </c>
      <c r="B3837" s="125" t="s">
        <v>577</v>
      </c>
      <c r="C3837" s="125" t="s">
        <v>478</v>
      </c>
      <c r="D3837" s="125" t="s">
        <v>457</v>
      </c>
      <c r="E3837" s="125" t="s">
        <v>284</v>
      </c>
      <c r="F3837" s="126">
        <v>42134.0</v>
      </c>
      <c r="G3837" s="127">
        <v>9.19E8</v>
      </c>
      <c r="H3837" s="126">
        <v>42162.0</v>
      </c>
      <c r="I3837" s="128">
        <v>2894.0</v>
      </c>
      <c r="J3837" s="128">
        <v>651.21</v>
      </c>
      <c r="K3837" s="128">
        <v>524.96</v>
      </c>
      <c r="L3837" s="128">
        <v>1884602.0</v>
      </c>
      <c r="M3837" s="128">
        <v>1519234.0</v>
      </c>
      <c r="N3837" s="128">
        <v>365367.5</v>
      </c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</row>
    <row r="3838">
      <c r="A3838" s="125" t="s">
        <v>475</v>
      </c>
      <c r="B3838" s="125" t="s">
        <v>635</v>
      </c>
      <c r="C3838" s="125" t="s">
        <v>480</v>
      </c>
      <c r="D3838" s="125" t="s">
        <v>454</v>
      </c>
      <c r="E3838" s="125" t="s">
        <v>189</v>
      </c>
      <c r="F3838" s="126">
        <v>42260.0</v>
      </c>
      <c r="G3838" s="127">
        <v>3.84E8</v>
      </c>
      <c r="H3838" s="126">
        <v>42270.0</v>
      </c>
      <c r="I3838" s="128">
        <v>1847.0</v>
      </c>
      <c r="J3838" s="128">
        <v>437.2</v>
      </c>
      <c r="K3838" s="128">
        <v>263.33</v>
      </c>
      <c r="L3838" s="128">
        <v>807508.4</v>
      </c>
      <c r="M3838" s="128">
        <v>486370.5</v>
      </c>
      <c r="N3838" s="128">
        <v>321137.9</v>
      </c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</row>
    <row r="3839">
      <c r="A3839" s="125" t="s">
        <v>469</v>
      </c>
      <c r="B3839" s="125" t="s">
        <v>630</v>
      </c>
      <c r="C3839" s="125" t="s">
        <v>460</v>
      </c>
      <c r="D3839" s="125" t="s">
        <v>454</v>
      </c>
      <c r="E3839" s="125" t="s">
        <v>284</v>
      </c>
      <c r="F3839" s="126">
        <v>41151.0</v>
      </c>
      <c r="G3839" s="127">
        <v>3.93E8</v>
      </c>
      <c r="H3839" s="126">
        <v>41164.0</v>
      </c>
      <c r="I3839" s="128">
        <v>3012.0</v>
      </c>
      <c r="J3839" s="128">
        <v>47.45</v>
      </c>
      <c r="K3839" s="128">
        <v>31.79</v>
      </c>
      <c r="L3839" s="128">
        <v>142919.4</v>
      </c>
      <c r="M3839" s="128">
        <v>95751.48</v>
      </c>
      <c r="N3839" s="128">
        <v>47167.92</v>
      </c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</row>
    <row r="3840">
      <c r="A3840" s="125" t="s">
        <v>458</v>
      </c>
      <c r="B3840" s="125" t="s">
        <v>631</v>
      </c>
      <c r="C3840" s="125" t="s">
        <v>468</v>
      </c>
      <c r="D3840" s="125" t="s">
        <v>457</v>
      </c>
      <c r="E3840" s="125" t="s">
        <v>284</v>
      </c>
      <c r="F3840" s="126">
        <v>41764.0</v>
      </c>
      <c r="G3840" s="127">
        <v>3.1E8</v>
      </c>
      <c r="H3840" s="126">
        <v>41780.0</v>
      </c>
      <c r="I3840" s="128">
        <v>2802.0</v>
      </c>
      <c r="J3840" s="128">
        <v>81.73</v>
      </c>
      <c r="K3840" s="128">
        <v>56.67</v>
      </c>
      <c r="L3840" s="128">
        <v>229007.5</v>
      </c>
      <c r="M3840" s="128">
        <v>158789.3</v>
      </c>
      <c r="N3840" s="128">
        <v>70218.12</v>
      </c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</row>
    <row r="3841">
      <c r="A3841" s="125" t="s">
        <v>458</v>
      </c>
      <c r="B3841" s="125" t="s">
        <v>505</v>
      </c>
      <c r="C3841" s="125" t="s">
        <v>485</v>
      </c>
      <c r="D3841" s="125" t="s">
        <v>457</v>
      </c>
      <c r="E3841" s="125" t="s">
        <v>189</v>
      </c>
      <c r="F3841" s="126">
        <v>40530.0</v>
      </c>
      <c r="G3841" s="127">
        <v>4.69E8</v>
      </c>
      <c r="H3841" s="126">
        <v>40569.0</v>
      </c>
      <c r="I3841" s="128">
        <v>4657.0</v>
      </c>
      <c r="J3841" s="128">
        <v>421.89</v>
      </c>
      <c r="K3841" s="128">
        <v>364.69</v>
      </c>
      <c r="L3841" s="128">
        <v>1964742.0</v>
      </c>
      <c r="M3841" s="128">
        <v>1698361.0</v>
      </c>
      <c r="N3841" s="128">
        <v>266380.4</v>
      </c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</row>
    <row r="3842">
      <c r="A3842" s="125" t="s">
        <v>475</v>
      </c>
      <c r="B3842" s="125" t="s">
        <v>600</v>
      </c>
      <c r="C3842" s="125" t="s">
        <v>485</v>
      </c>
      <c r="D3842" s="125" t="s">
        <v>457</v>
      </c>
      <c r="E3842" s="125" t="s">
        <v>472</v>
      </c>
      <c r="F3842" s="126">
        <v>42565.0</v>
      </c>
      <c r="G3842" s="127">
        <v>8.26E8</v>
      </c>
      <c r="H3842" s="126">
        <v>42579.0</v>
      </c>
      <c r="I3842" s="128">
        <v>4053.0</v>
      </c>
      <c r="J3842" s="128">
        <v>421.89</v>
      </c>
      <c r="K3842" s="128">
        <v>364.69</v>
      </c>
      <c r="L3842" s="128">
        <v>1709920.0</v>
      </c>
      <c r="M3842" s="128">
        <v>1478089.0</v>
      </c>
      <c r="N3842" s="128">
        <v>231831.6</v>
      </c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</row>
    <row r="3843">
      <c r="A3843" s="125" t="s">
        <v>461</v>
      </c>
      <c r="B3843" s="125" t="s">
        <v>638</v>
      </c>
      <c r="C3843" s="125" t="s">
        <v>471</v>
      </c>
      <c r="D3843" s="125" t="s">
        <v>457</v>
      </c>
      <c r="E3843" s="125" t="s">
        <v>189</v>
      </c>
      <c r="F3843" s="126">
        <v>40930.0</v>
      </c>
      <c r="G3843" s="127">
        <v>5.05E8</v>
      </c>
      <c r="H3843" s="126">
        <v>40942.0</v>
      </c>
      <c r="I3843" s="128">
        <v>3493.0</v>
      </c>
      <c r="J3843" s="128">
        <v>109.28</v>
      </c>
      <c r="K3843" s="128">
        <v>35.84</v>
      </c>
      <c r="L3843" s="128">
        <v>381715.0</v>
      </c>
      <c r="M3843" s="128">
        <v>125189.1</v>
      </c>
      <c r="N3843" s="128">
        <v>256525.9</v>
      </c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</row>
    <row r="3844">
      <c r="A3844" s="125" t="s">
        <v>458</v>
      </c>
      <c r="B3844" s="125" t="s">
        <v>567</v>
      </c>
      <c r="C3844" s="125" t="s">
        <v>456</v>
      </c>
      <c r="D3844" s="125" t="s">
        <v>454</v>
      </c>
      <c r="E3844" s="125" t="s">
        <v>464</v>
      </c>
      <c r="F3844" s="126">
        <v>42902.0</v>
      </c>
      <c r="G3844" s="127">
        <v>9.52E8</v>
      </c>
      <c r="H3844" s="126">
        <v>42919.0</v>
      </c>
      <c r="I3844" s="128">
        <v>7514.0</v>
      </c>
      <c r="J3844" s="128">
        <v>152.58</v>
      </c>
      <c r="K3844" s="128">
        <v>97.44</v>
      </c>
      <c r="L3844" s="128">
        <v>1146486.0</v>
      </c>
      <c r="M3844" s="128">
        <v>732164.2</v>
      </c>
      <c r="N3844" s="128">
        <v>414322.0</v>
      </c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</row>
    <row r="3845">
      <c r="A3845" s="125" t="s">
        <v>458</v>
      </c>
      <c r="B3845" s="125" t="s">
        <v>555</v>
      </c>
      <c r="C3845" s="125" t="s">
        <v>456</v>
      </c>
      <c r="D3845" s="125" t="s">
        <v>454</v>
      </c>
      <c r="E3845" s="125" t="s">
        <v>464</v>
      </c>
      <c r="F3845" s="126">
        <v>40935.0</v>
      </c>
      <c r="G3845" s="127">
        <v>9.82E8</v>
      </c>
      <c r="H3845" s="126">
        <v>40936.0</v>
      </c>
      <c r="I3845" s="128">
        <v>7683.0</v>
      </c>
      <c r="J3845" s="128">
        <v>152.58</v>
      </c>
      <c r="K3845" s="128">
        <v>97.44</v>
      </c>
      <c r="L3845" s="128">
        <v>1172272.0</v>
      </c>
      <c r="M3845" s="128">
        <v>748631.5</v>
      </c>
      <c r="N3845" s="128">
        <v>423640.6</v>
      </c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</row>
    <row r="3846">
      <c r="A3846" s="125" t="s">
        <v>488</v>
      </c>
      <c r="B3846" s="125" t="s">
        <v>577</v>
      </c>
      <c r="C3846" s="125" t="s">
        <v>494</v>
      </c>
      <c r="D3846" s="125" t="s">
        <v>454</v>
      </c>
      <c r="E3846" s="125" t="s">
        <v>472</v>
      </c>
      <c r="F3846" s="126">
        <v>41704.0</v>
      </c>
      <c r="G3846" s="127">
        <v>8.31E8</v>
      </c>
      <c r="H3846" s="126">
        <v>41706.0</v>
      </c>
      <c r="I3846" s="128">
        <v>7599.0</v>
      </c>
      <c r="J3846" s="128">
        <v>9.33</v>
      </c>
      <c r="K3846" s="128">
        <v>6.92</v>
      </c>
      <c r="L3846" s="128">
        <v>70898.67</v>
      </c>
      <c r="M3846" s="128">
        <v>52585.08</v>
      </c>
      <c r="N3846" s="128">
        <v>18313.59</v>
      </c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</row>
    <row r="3847">
      <c r="A3847" s="125" t="s">
        <v>461</v>
      </c>
      <c r="B3847" s="125" t="s">
        <v>639</v>
      </c>
      <c r="C3847" s="125" t="s">
        <v>456</v>
      </c>
      <c r="D3847" s="125" t="s">
        <v>457</v>
      </c>
      <c r="E3847" s="125" t="s">
        <v>284</v>
      </c>
      <c r="F3847" s="126">
        <v>42589.0</v>
      </c>
      <c r="G3847" s="127">
        <v>8.06E8</v>
      </c>
      <c r="H3847" s="126">
        <v>42631.0</v>
      </c>
      <c r="I3847" s="128">
        <v>7892.0</v>
      </c>
      <c r="J3847" s="128">
        <v>152.58</v>
      </c>
      <c r="K3847" s="128">
        <v>97.44</v>
      </c>
      <c r="L3847" s="128">
        <v>1204161.0</v>
      </c>
      <c r="M3847" s="128">
        <v>768996.5</v>
      </c>
      <c r="N3847" s="128">
        <v>435164.9</v>
      </c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</row>
    <row r="3848">
      <c r="A3848" s="125" t="s">
        <v>458</v>
      </c>
      <c r="B3848" s="125" t="s">
        <v>559</v>
      </c>
      <c r="C3848" s="125" t="s">
        <v>463</v>
      </c>
      <c r="D3848" s="125" t="s">
        <v>454</v>
      </c>
      <c r="E3848" s="125" t="s">
        <v>189</v>
      </c>
      <c r="F3848" s="126">
        <v>41360.0</v>
      </c>
      <c r="G3848" s="127">
        <v>8.34E8</v>
      </c>
      <c r="H3848" s="126">
        <v>41367.0</v>
      </c>
      <c r="I3848" s="128">
        <v>1223.0</v>
      </c>
      <c r="J3848" s="128">
        <v>205.7</v>
      </c>
      <c r="K3848" s="128">
        <v>117.11</v>
      </c>
      <c r="L3848" s="128">
        <v>251571.1</v>
      </c>
      <c r="M3848" s="128">
        <v>143225.5</v>
      </c>
      <c r="N3848" s="128">
        <v>108345.6</v>
      </c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</row>
    <row r="3849">
      <c r="A3849" s="125" t="s">
        <v>469</v>
      </c>
      <c r="B3849" s="125" t="s">
        <v>569</v>
      </c>
      <c r="C3849" s="125" t="s">
        <v>485</v>
      </c>
      <c r="D3849" s="125" t="s">
        <v>457</v>
      </c>
      <c r="E3849" s="125" t="s">
        <v>284</v>
      </c>
      <c r="F3849" s="126">
        <v>40326.0</v>
      </c>
      <c r="G3849" s="127">
        <v>9.1E8</v>
      </c>
      <c r="H3849" s="126">
        <v>40351.0</v>
      </c>
      <c r="I3849" s="128">
        <v>7283.0</v>
      </c>
      <c r="J3849" s="128">
        <v>421.89</v>
      </c>
      <c r="K3849" s="128">
        <v>364.69</v>
      </c>
      <c r="L3849" s="128">
        <v>3072625.0</v>
      </c>
      <c r="M3849" s="128">
        <v>2656037.0</v>
      </c>
      <c r="N3849" s="128">
        <v>416587.6</v>
      </c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</row>
    <row r="3850">
      <c r="A3850" s="125" t="s">
        <v>451</v>
      </c>
      <c r="B3850" s="125" t="s">
        <v>490</v>
      </c>
      <c r="C3850" s="125" t="s">
        <v>485</v>
      </c>
      <c r="D3850" s="125" t="s">
        <v>457</v>
      </c>
      <c r="E3850" s="125" t="s">
        <v>189</v>
      </c>
      <c r="F3850" s="126">
        <v>42184.0</v>
      </c>
      <c r="G3850" s="127">
        <v>6.53E8</v>
      </c>
      <c r="H3850" s="126">
        <v>42218.0</v>
      </c>
      <c r="I3850" s="128">
        <v>7798.0</v>
      </c>
      <c r="J3850" s="128">
        <v>421.89</v>
      </c>
      <c r="K3850" s="128">
        <v>364.69</v>
      </c>
      <c r="L3850" s="128">
        <v>3289898.0</v>
      </c>
      <c r="M3850" s="128">
        <v>2843853.0</v>
      </c>
      <c r="N3850" s="128">
        <v>446045.6</v>
      </c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</row>
    <row r="3851">
      <c r="A3851" s="125" t="s">
        <v>458</v>
      </c>
      <c r="B3851" s="125" t="s">
        <v>631</v>
      </c>
      <c r="C3851" s="125" t="s">
        <v>478</v>
      </c>
      <c r="D3851" s="125" t="s">
        <v>454</v>
      </c>
      <c r="E3851" s="125" t="s">
        <v>472</v>
      </c>
      <c r="F3851" s="126">
        <v>40338.0</v>
      </c>
      <c r="G3851" s="127">
        <v>6.5E8</v>
      </c>
      <c r="H3851" s="126">
        <v>40347.0</v>
      </c>
      <c r="I3851" s="128">
        <v>1522.0</v>
      </c>
      <c r="J3851" s="128">
        <v>651.21</v>
      </c>
      <c r="K3851" s="128">
        <v>524.96</v>
      </c>
      <c r="L3851" s="128">
        <v>991141.6</v>
      </c>
      <c r="M3851" s="128">
        <v>798989.1</v>
      </c>
      <c r="N3851" s="128">
        <v>192152.5</v>
      </c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</row>
    <row r="3852">
      <c r="A3852" s="125" t="s">
        <v>475</v>
      </c>
      <c r="B3852" s="125" t="s">
        <v>604</v>
      </c>
      <c r="C3852" s="125" t="s">
        <v>478</v>
      </c>
      <c r="D3852" s="125" t="s">
        <v>454</v>
      </c>
      <c r="E3852" s="125" t="s">
        <v>464</v>
      </c>
      <c r="F3852" s="126">
        <v>42413.0</v>
      </c>
      <c r="G3852" s="127">
        <v>2.09E8</v>
      </c>
      <c r="H3852" s="126">
        <v>42458.0</v>
      </c>
      <c r="I3852" s="128">
        <v>9240.0</v>
      </c>
      <c r="J3852" s="128">
        <v>651.21</v>
      </c>
      <c r="K3852" s="128">
        <v>524.96</v>
      </c>
      <c r="L3852" s="128">
        <v>6017180.0</v>
      </c>
      <c r="M3852" s="128">
        <v>4850630.0</v>
      </c>
      <c r="N3852" s="128">
        <v>1166550.0</v>
      </c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</row>
    <row r="3853">
      <c r="A3853" s="125" t="s">
        <v>458</v>
      </c>
      <c r="B3853" s="125" t="s">
        <v>610</v>
      </c>
      <c r="C3853" s="125" t="s">
        <v>456</v>
      </c>
      <c r="D3853" s="125" t="s">
        <v>457</v>
      </c>
      <c r="E3853" s="125" t="s">
        <v>472</v>
      </c>
      <c r="F3853" s="126">
        <v>41209.0</v>
      </c>
      <c r="G3853" s="127">
        <v>5.08E8</v>
      </c>
      <c r="H3853" s="126">
        <v>41224.0</v>
      </c>
      <c r="I3853" s="128">
        <v>8771.0</v>
      </c>
      <c r="J3853" s="128">
        <v>152.58</v>
      </c>
      <c r="K3853" s="128">
        <v>97.44</v>
      </c>
      <c r="L3853" s="128">
        <v>1338279.0</v>
      </c>
      <c r="M3853" s="128">
        <v>854646.2</v>
      </c>
      <c r="N3853" s="128">
        <v>483632.9</v>
      </c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</row>
    <row r="3854">
      <c r="A3854" s="125" t="s">
        <v>458</v>
      </c>
      <c r="B3854" s="125" t="s">
        <v>529</v>
      </c>
      <c r="C3854" s="125" t="s">
        <v>468</v>
      </c>
      <c r="D3854" s="125" t="s">
        <v>454</v>
      </c>
      <c r="E3854" s="125" t="s">
        <v>284</v>
      </c>
      <c r="F3854" s="126">
        <v>40978.0</v>
      </c>
      <c r="G3854" s="127">
        <v>5.45E8</v>
      </c>
      <c r="H3854" s="126">
        <v>40993.0</v>
      </c>
      <c r="I3854" s="128">
        <v>9963.0</v>
      </c>
      <c r="J3854" s="128">
        <v>81.73</v>
      </c>
      <c r="K3854" s="128">
        <v>56.67</v>
      </c>
      <c r="L3854" s="128">
        <v>814276.0</v>
      </c>
      <c r="M3854" s="128">
        <v>564603.2</v>
      </c>
      <c r="N3854" s="128">
        <v>249672.8</v>
      </c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</row>
    <row r="3855">
      <c r="A3855" s="125" t="s">
        <v>466</v>
      </c>
      <c r="B3855" s="125" t="s">
        <v>479</v>
      </c>
      <c r="C3855" s="125" t="s">
        <v>471</v>
      </c>
      <c r="D3855" s="125" t="s">
        <v>454</v>
      </c>
      <c r="E3855" s="125" t="s">
        <v>189</v>
      </c>
      <c r="F3855" s="126">
        <v>42215.0</v>
      </c>
      <c r="G3855" s="127">
        <v>2.89E8</v>
      </c>
      <c r="H3855" s="126">
        <v>42240.0</v>
      </c>
      <c r="I3855" s="128">
        <v>9695.0</v>
      </c>
      <c r="J3855" s="128">
        <v>109.28</v>
      </c>
      <c r="K3855" s="128">
        <v>35.84</v>
      </c>
      <c r="L3855" s="128">
        <v>1059470.0</v>
      </c>
      <c r="M3855" s="128">
        <v>347468.8</v>
      </c>
      <c r="N3855" s="128">
        <v>712000.8</v>
      </c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</row>
    <row r="3856">
      <c r="A3856" s="125" t="s">
        <v>466</v>
      </c>
      <c r="B3856" s="125" t="s">
        <v>477</v>
      </c>
      <c r="C3856" s="125" t="s">
        <v>494</v>
      </c>
      <c r="D3856" s="125" t="s">
        <v>454</v>
      </c>
      <c r="E3856" s="125" t="s">
        <v>284</v>
      </c>
      <c r="F3856" s="126">
        <v>40268.0</v>
      </c>
      <c r="G3856" s="127">
        <v>2.3E8</v>
      </c>
      <c r="H3856" s="126">
        <v>40304.0</v>
      </c>
      <c r="I3856" s="128">
        <v>6880.0</v>
      </c>
      <c r="J3856" s="128">
        <v>9.33</v>
      </c>
      <c r="K3856" s="128">
        <v>6.92</v>
      </c>
      <c r="L3856" s="128">
        <v>64190.4</v>
      </c>
      <c r="M3856" s="128">
        <v>47609.6</v>
      </c>
      <c r="N3856" s="128">
        <v>16580.8</v>
      </c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</row>
    <row r="3857">
      <c r="A3857" s="125" t="s">
        <v>458</v>
      </c>
      <c r="B3857" s="125" t="s">
        <v>616</v>
      </c>
      <c r="C3857" s="125" t="s">
        <v>453</v>
      </c>
      <c r="D3857" s="125" t="s">
        <v>454</v>
      </c>
      <c r="E3857" s="125" t="s">
        <v>472</v>
      </c>
      <c r="F3857" s="126">
        <v>40558.0</v>
      </c>
      <c r="G3857" s="127">
        <v>9.27E8</v>
      </c>
      <c r="H3857" s="126">
        <v>40590.0</v>
      </c>
      <c r="I3857" s="128">
        <v>7458.0</v>
      </c>
      <c r="J3857" s="128">
        <v>255.28</v>
      </c>
      <c r="K3857" s="128">
        <v>159.42</v>
      </c>
      <c r="L3857" s="128">
        <v>1903878.0</v>
      </c>
      <c r="M3857" s="128">
        <v>1188954.0</v>
      </c>
      <c r="N3857" s="128">
        <v>714923.9</v>
      </c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</row>
    <row r="3858">
      <c r="A3858" s="125" t="s">
        <v>458</v>
      </c>
      <c r="B3858" s="125" t="s">
        <v>459</v>
      </c>
      <c r="C3858" s="125" t="s">
        <v>514</v>
      </c>
      <c r="D3858" s="125" t="s">
        <v>454</v>
      </c>
      <c r="E3858" s="125" t="s">
        <v>464</v>
      </c>
      <c r="F3858" s="126">
        <v>40595.0</v>
      </c>
      <c r="G3858" s="127">
        <v>7.59E8</v>
      </c>
      <c r="H3858" s="126">
        <v>40601.0</v>
      </c>
      <c r="I3858" s="128">
        <v>9405.0</v>
      </c>
      <c r="J3858" s="128">
        <v>668.27</v>
      </c>
      <c r="K3858" s="128">
        <v>502.54</v>
      </c>
      <c r="L3858" s="128">
        <v>6285079.0</v>
      </c>
      <c r="M3858" s="128">
        <v>4726389.0</v>
      </c>
      <c r="N3858" s="128">
        <v>1558691.0</v>
      </c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</row>
    <row r="3859">
      <c r="A3859" s="125" t="s">
        <v>466</v>
      </c>
      <c r="B3859" s="125" t="s">
        <v>535</v>
      </c>
      <c r="C3859" s="125" t="s">
        <v>463</v>
      </c>
      <c r="D3859" s="125" t="s">
        <v>454</v>
      </c>
      <c r="E3859" s="125" t="s">
        <v>464</v>
      </c>
      <c r="F3859" s="126">
        <v>42429.0</v>
      </c>
      <c r="G3859" s="127">
        <v>8.77E8</v>
      </c>
      <c r="H3859" s="126">
        <v>42473.0</v>
      </c>
      <c r="I3859" s="128">
        <v>7725.0</v>
      </c>
      <c r="J3859" s="128">
        <v>205.7</v>
      </c>
      <c r="K3859" s="128">
        <v>117.11</v>
      </c>
      <c r="L3859" s="128">
        <v>1589033.0</v>
      </c>
      <c r="M3859" s="128">
        <v>904674.8</v>
      </c>
      <c r="N3859" s="128">
        <v>684357.8</v>
      </c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</row>
    <row r="3860">
      <c r="A3860" s="125" t="s">
        <v>469</v>
      </c>
      <c r="B3860" s="125" t="s">
        <v>617</v>
      </c>
      <c r="C3860" s="125" t="s">
        <v>471</v>
      </c>
      <c r="D3860" s="125" t="s">
        <v>457</v>
      </c>
      <c r="E3860" s="125" t="s">
        <v>284</v>
      </c>
      <c r="F3860" s="126">
        <v>40198.0</v>
      </c>
      <c r="G3860" s="127">
        <v>2.51E8</v>
      </c>
      <c r="H3860" s="126">
        <v>40239.0</v>
      </c>
      <c r="I3860" s="128">
        <v>9453.0</v>
      </c>
      <c r="J3860" s="128">
        <v>109.28</v>
      </c>
      <c r="K3860" s="128">
        <v>35.84</v>
      </c>
      <c r="L3860" s="128">
        <v>1033024.0</v>
      </c>
      <c r="M3860" s="128">
        <v>338795.5</v>
      </c>
      <c r="N3860" s="128">
        <v>694228.3</v>
      </c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</row>
    <row r="3861">
      <c r="A3861" s="125" t="s">
        <v>461</v>
      </c>
      <c r="B3861" s="125" t="s">
        <v>611</v>
      </c>
      <c r="C3861" s="125" t="s">
        <v>494</v>
      </c>
      <c r="D3861" s="125" t="s">
        <v>457</v>
      </c>
      <c r="E3861" s="125" t="s">
        <v>189</v>
      </c>
      <c r="F3861" s="126">
        <v>40880.0</v>
      </c>
      <c r="G3861" s="127">
        <v>6.21E8</v>
      </c>
      <c r="H3861" s="126">
        <v>40911.0</v>
      </c>
      <c r="I3861" s="128">
        <v>8658.0</v>
      </c>
      <c r="J3861" s="128">
        <v>9.33</v>
      </c>
      <c r="K3861" s="128">
        <v>6.92</v>
      </c>
      <c r="L3861" s="128">
        <v>80779.14</v>
      </c>
      <c r="M3861" s="128">
        <v>59913.36</v>
      </c>
      <c r="N3861" s="128">
        <v>20865.78</v>
      </c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</row>
    <row r="3862">
      <c r="A3862" s="125" t="s">
        <v>475</v>
      </c>
      <c r="B3862" s="125" t="s">
        <v>521</v>
      </c>
      <c r="C3862" s="125" t="s">
        <v>453</v>
      </c>
      <c r="D3862" s="125" t="s">
        <v>457</v>
      </c>
      <c r="E3862" s="125" t="s">
        <v>284</v>
      </c>
      <c r="F3862" s="126">
        <v>40774.0</v>
      </c>
      <c r="G3862" s="127">
        <v>6.49E8</v>
      </c>
      <c r="H3862" s="126">
        <v>40788.0</v>
      </c>
      <c r="I3862" s="128">
        <v>1438.0</v>
      </c>
      <c r="J3862" s="128">
        <v>255.28</v>
      </c>
      <c r="K3862" s="128">
        <v>159.42</v>
      </c>
      <c r="L3862" s="128">
        <v>367092.6</v>
      </c>
      <c r="M3862" s="128">
        <v>229246.0</v>
      </c>
      <c r="N3862" s="128">
        <v>137846.7</v>
      </c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</row>
    <row r="3863">
      <c r="A3863" s="125" t="s">
        <v>451</v>
      </c>
      <c r="B3863" s="125" t="s">
        <v>593</v>
      </c>
      <c r="C3863" s="125" t="s">
        <v>485</v>
      </c>
      <c r="D3863" s="125" t="s">
        <v>454</v>
      </c>
      <c r="E3863" s="125" t="s">
        <v>284</v>
      </c>
      <c r="F3863" s="126">
        <v>40720.0</v>
      </c>
      <c r="G3863" s="127">
        <v>8.66E8</v>
      </c>
      <c r="H3863" s="126">
        <v>40746.0</v>
      </c>
      <c r="I3863" s="128">
        <v>922.0</v>
      </c>
      <c r="J3863" s="128">
        <v>421.89</v>
      </c>
      <c r="K3863" s="128">
        <v>364.69</v>
      </c>
      <c r="L3863" s="128">
        <v>388982.6</v>
      </c>
      <c r="M3863" s="128">
        <v>336244.2</v>
      </c>
      <c r="N3863" s="128">
        <v>52738.4</v>
      </c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</row>
    <row r="3864">
      <c r="A3864" s="125" t="s">
        <v>458</v>
      </c>
      <c r="B3864" s="125" t="s">
        <v>622</v>
      </c>
      <c r="C3864" s="125" t="s">
        <v>453</v>
      </c>
      <c r="D3864" s="125" t="s">
        <v>457</v>
      </c>
      <c r="E3864" s="125" t="s">
        <v>284</v>
      </c>
      <c r="F3864" s="126">
        <v>41944.0</v>
      </c>
      <c r="G3864" s="127">
        <v>5.24E8</v>
      </c>
      <c r="H3864" s="126">
        <v>41959.0</v>
      </c>
      <c r="I3864" s="128">
        <v>2273.0</v>
      </c>
      <c r="J3864" s="128">
        <v>255.28</v>
      </c>
      <c r="K3864" s="128">
        <v>159.42</v>
      </c>
      <c r="L3864" s="128">
        <v>580251.4</v>
      </c>
      <c r="M3864" s="128">
        <v>362361.7</v>
      </c>
      <c r="N3864" s="128">
        <v>217889.8</v>
      </c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</row>
    <row r="3865">
      <c r="A3865" s="125" t="s">
        <v>475</v>
      </c>
      <c r="B3865" s="125" t="s">
        <v>574</v>
      </c>
      <c r="C3865" s="125" t="s">
        <v>471</v>
      </c>
      <c r="D3865" s="125" t="s">
        <v>454</v>
      </c>
      <c r="E3865" s="125" t="s">
        <v>189</v>
      </c>
      <c r="F3865" s="126">
        <v>41916.0</v>
      </c>
      <c r="G3865" s="127">
        <v>7.44E8</v>
      </c>
      <c r="H3865" s="126">
        <v>41938.0</v>
      </c>
      <c r="I3865" s="128">
        <v>7682.0</v>
      </c>
      <c r="J3865" s="128">
        <v>109.28</v>
      </c>
      <c r="K3865" s="128">
        <v>35.84</v>
      </c>
      <c r="L3865" s="128">
        <v>839489.0</v>
      </c>
      <c r="M3865" s="128">
        <v>275322.9</v>
      </c>
      <c r="N3865" s="128">
        <v>564166.1</v>
      </c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</row>
    <row r="3866">
      <c r="A3866" s="125" t="s">
        <v>469</v>
      </c>
      <c r="B3866" s="125" t="s">
        <v>530</v>
      </c>
      <c r="C3866" s="125" t="s">
        <v>456</v>
      </c>
      <c r="D3866" s="125" t="s">
        <v>457</v>
      </c>
      <c r="E3866" s="125" t="s">
        <v>189</v>
      </c>
      <c r="F3866" s="126">
        <v>41256.0</v>
      </c>
      <c r="G3866" s="127">
        <v>4.69E8</v>
      </c>
      <c r="H3866" s="126">
        <v>41302.0</v>
      </c>
      <c r="I3866" s="128">
        <v>1373.0</v>
      </c>
      <c r="J3866" s="128">
        <v>152.58</v>
      </c>
      <c r="K3866" s="128">
        <v>97.44</v>
      </c>
      <c r="L3866" s="128">
        <v>209492.3</v>
      </c>
      <c r="M3866" s="128">
        <v>133785.1</v>
      </c>
      <c r="N3866" s="128">
        <v>75707.22</v>
      </c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</row>
    <row r="3867">
      <c r="A3867" s="125" t="s">
        <v>469</v>
      </c>
      <c r="B3867" s="125" t="s">
        <v>519</v>
      </c>
      <c r="C3867" s="125" t="s">
        <v>478</v>
      </c>
      <c r="D3867" s="125" t="s">
        <v>454</v>
      </c>
      <c r="E3867" s="125" t="s">
        <v>472</v>
      </c>
      <c r="F3867" s="126">
        <v>42361.0</v>
      </c>
      <c r="G3867" s="127">
        <v>5.11E8</v>
      </c>
      <c r="H3867" s="126">
        <v>42388.0</v>
      </c>
      <c r="I3867" s="128">
        <v>4601.0</v>
      </c>
      <c r="J3867" s="128">
        <v>651.21</v>
      </c>
      <c r="K3867" s="128">
        <v>524.96</v>
      </c>
      <c r="L3867" s="128">
        <v>2996217.0</v>
      </c>
      <c r="M3867" s="128">
        <v>2415341.0</v>
      </c>
      <c r="N3867" s="128">
        <v>580876.3</v>
      </c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</row>
    <row r="3868">
      <c r="A3868" s="125" t="s">
        <v>475</v>
      </c>
      <c r="B3868" s="125" t="s">
        <v>648</v>
      </c>
      <c r="C3868" s="125" t="s">
        <v>506</v>
      </c>
      <c r="D3868" s="125" t="s">
        <v>454</v>
      </c>
      <c r="E3868" s="125" t="s">
        <v>464</v>
      </c>
      <c r="F3868" s="126">
        <v>42481.0</v>
      </c>
      <c r="G3868" s="127">
        <v>4.03E8</v>
      </c>
      <c r="H3868" s="126">
        <v>42499.0</v>
      </c>
      <c r="I3868" s="128">
        <v>652.0</v>
      </c>
      <c r="J3868" s="128">
        <v>154.06</v>
      </c>
      <c r="K3868" s="128">
        <v>90.93</v>
      </c>
      <c r="L3868" s="128">
        <v>100447.1</v>
      </c>
      <c r="M3868" s="128">
        <v>59286.36</v>
      </c>
      <c r="N3868" s="128">
        <v>41160.76</v>
      </c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</row>
    <row r="3869">
      <c r="A3869" s="125" t="s">
        <v>458</v>
      </c>
      <c r="B3869" s="125" t="s">
        <v>594</v>
      </c>
      <c r="C3869" s="125" t="s">
        <v>471</v>
      </c>
      <c r="D3869" s="125" t="s">
        <v>454</v>
      </c>
      <c r="E3869" s="125" t="s">
        <v>189</v>
      </c>
      <c r="F3869" s="126">
        <v>40640.0</v>
      </c>
      <c r="G3869" s="127">
        <v>6.48E8</v>
      </c>
      <c r="H3869" s="126">
        <v>40651.0</v>
      </c>
      <c r="I3869" s="128">
        <v>9843.0</v>
      </c>
      <c r="J3869" s="128">
        <v>109.28</v>
      </c>
      <c r="K3869" s="128">
        <v>35.84</v>
      </c>
      <c r="L3869" s="128">
        <v>1075643.0</v>
      </c>
      <c r="M3869" s="128">
        <v>352773.1</v>
      </c>
      <c r="N3869" s="128">
        <v>722869.9</v>
      </c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</row>
    <row r="3870">
      <c r="A3870" s="125" t="s">
        <v>451</v>
      </c>
      <c r="B3870" s="125" t="s">
        <v>655</v>
      </c>
      <c r="C3870" s="125" t="s">
        <v>494</v>
      </c>
      <c r="D3870" s="125" t="s">
        <v>454</v>
      </c>
      <c r="E3870" s="125" t="s">
        <v>189</v>
      </c>
      <c r="F3870" s="126">
        <v>41782.0</v>
      </c>
      <c r="G3870" s="127">
        <v>4.7E8</v>
      </c>
      <c r="H3870" s="126">
        <v>41791.0</v>
      </c>
      <c r="I3870" s="128">
        <v>4524.0</v>
      </c>
      <c r="J3870" s="128">
        <v>9.33</v>
      </c>
      <c r="K3870" s="128">
        <v>6.92</v>
      </c>
      <c r="L3870" s="128">
        <v>42208.92</v>
      </c>
      <c r="M3870" s="128">
        <v>31306.08</v>
      </c>
      <c r="N3870" s="128">
        <v>10902.84</v>
      </c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</row>
    <row r="3871">
      <c r="A3871" s="125" t="s">
        <v>488</v>
      </c>
      <c r="B3871" s="125" t="s">
        <v>489</v>
      </c>
      <c r="C3871" s="125" t="s">
        <v>456</v>
      </c>
      <c r="D3871" s="125" t="s">
        <v>457</v>
      </c>
      <c r="E3871" s="125" t="s">
        <v>189</v>
      </c>
      <c r="F3871" s="126">
        <v>41561.0</v>
      </c>
      <c r="G3871" s="127">
        <v>9.63E8</v>
      </c>
      <c r="H3871" s="126">
        <v>41567.0</v>
      </c>
      <c r="I3871" s="128">
        <v>4073.0</v>
      </c>
      <c r="J3871" s="128">
        <v>152.58</v>
      </c>
      <c r="K3871" s="128">
        <v>97.44</v>
      </c>
      <c r="L3871" s="128">
        <v>621458.3</v>
      </c>
      <c r="M3871" s="128">
        <v>396873.1</v>
      </c>
      <c r="N3871" s="128">
        <v>224585.2</v>
      </c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</row>
    <row r="3872">
      <c r="A3872" s="125" t="s">
        <v>475</v>
      </c>
      <c r="B3872" s="125" t="s">
        <v>572</v>
      </c>
      <c r="C3872" s="125" t="s">
        <v>453</v>
      </c>
      <c r="D3872" s="125" t="s">
        <v>457</v>
      </c>
      <c r="E3872" s="125" t="s">
        <v>189</v>
      </c>
      <c r="F3872" s="126">
        <v>41549.0</v>
      </c>
      <c r="G3872" s="127">
        <v>1.4E8</v>
      </c>
      <c r="H3872" s="126">
        <v>41556.0</v>
      </c>
      <c r="I3872" s="128">
        <v>9903.0</v>
      </c>
      <c r="J3872" s="128">
        <v>255.28</v>
      </c>
      <c r="K3872" s="128">
        <v>159.42</v>
      </c>
      <c r="L3872" s="128">
        <v>2528038.0</v>
      </c>
      <c r="M3872" s="128">
        <v>1578736.0</v>
      </c>
      <c r="N3872" s="128">
        <v>949301.6</v>
      </c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</row>
    <row r="3873">
      <c r="A3873" s="125" t="s">
        <v>475</v>
      </c>
      <c r="B3873" s="125" t="s">
        <v>619</v>
      </c>
      <c r="C3873" s="125" t="s">
        <v>485</v>
      </c>
      <c r="D3873" s="125" t="s">
        <v>454</v>
      </c>
      <c r="E3873" s="125" t="s">
        <v>464</v>
      </c>
      <c r="F3873" s="126">
        <v>42325.0</v>
      </c>
      <c r="G3873" s="127">
        <v>5.86E8</v>
      </c>
      <c r="H3873" s="126">
        <v>42332.0</v>
      </c>
      <c r="I3873" s="128">
        <v>455.0</v>
      </c>
      <c r="J3873" s="128">
        <v>421.89</v>
      </c>
      <c r="K3873" s="128">
        <v>364.69</v>
      </c>
      <c r="L3873" s="128">
        <v>191960.0</v>
      </c>
      <c r="M3873" s="128">
        <v>165934.0</v>
      </c>
      <c r="N3873" s="128">
        <v>26026.0</v>
      </c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</row>
    <row r="3874">
      <c r="A3874" s="125" t="s">
        <v>475</v>
      </c>
      <c r="B3874" s="125" t="s">
        <v>527</v>
      </c>
      <c r="C3874" s="125" t="s">
        <v>514</v>
      </c>
      <c r="D3874" s="125" t="s">
        <v>457</v>
      </c>
      <c r="E3874" s="125" t="s">
        <v>284</v>
      </c>
      <c r="F3874" s="126">
        <v>42093.0</v>
      </c>
      <c r="G3874" s="127">
        <v>9.07E8</v>
      </c>
      <c r="H3874" s="126">
        <v>42106.0</v>
      </c>
      <c r="I3874" s="128">
        <v>6203.0</v>
      </c>
      <c r="J3874" s="128">
        <v>668.27</v>
      </c>
      <c r="K3874" s="128">
        <v>502.54</v>
      </c>
      <c r="L3874" s="128">
        <v>4145279.0</v>
      </c>
      <c r="M3874" s="128">
        <v>3117256.0</v>
      </c>
      <c r="N3874" s="128">
        <v>1028023.0</v>
      </c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</row>
    <row r="3875">
      <c r="A3875" s="125" t="s">
        <v>475</v>
      </c>
      <c r="B3875" s="125" t="s">
        <v>526</v>
      </c>
      <c r="C3875" s="125" t="s">
        <v>480</v>
      </c>
      <c r="D3875" s="125" t="s">
        <v>457</v>
      </c>
      <c r="E3875" s="125" t="s">
        <v>464</v>
      </c>
      <c r="F3875" s="126">
        <v>40826.0</v>
      </c>
      <c r="G3875" s="127">
        <v>6.76E8</v>
      </c>
      <c r="H3875" s="126">
        <v>40848.0</v>
      </c>
      <c r="I3875" s="128">
        <v>4651.0</v>
      </c>
      <c r="J3875" s="128">
        <v>437.2</v>
      </c>
      <c r="K3875" s="128">
        <v>263.33</v>
      </c>
      <c r="L3875" s="128">
        <v>2033417.0</v>
      </c>
      <c r="M3875" s="128">
        <v>1224748.0</v>
      </c>
      <c r="N3875" s="128">
        <v>808669.4</v>
      </c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</row>
    <row r="3876">
      <c r="A3876" s="125" t="s">
        <v>475</v>
      </c>
      <c r="B3876" s="125" t="s">
        <v>585</v>
      </c>
      <c r="C3876" s="125" t="s">
        <v>480</v>
      </c>
      <c r="D3876" s="125" t="s">
        <v>454</v>
      </c>
      <c r="E3876" s="125" t="s">
        <v>284</v>
      </c>
      <c r="F3876" s="126">
        <v>41655.0</v>
      </c>
      <c r="G3876" s="127">
        <v>8.89E8</v>
      </c>
      <c r="H3876" s="126">
        <v>41696.0</v>
      </c>
      <c r="I3876" s="128">
        <v>5337.0</v>
      </c>
      <c r="J3876" s="128">
        <v>437.2</v>
      </c>
      <c r="K3876" s="128">
        <v>263.33</v>
      </c>
      <c r="L3876" s="128">
        <v>2333336.0</v>
      </c>
      <c r="M3876" s="128">
        <v>1405392.0</v>
      </c>
      <c r="N3876" s="128">
        <v>927944.2</v>
      </c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</row>
    <row r="3877">
      <c r="A3877" s="125" t="s">
        <v>458</v>
      </c>
      <c r="B3877" s="125" t="s">
        <v>652</v>
      </c>
      <c r="C3877" s="125" t="s">
        <v>463</v>
      </c>
      <c r="D3877" s="125" t="s">
        <v>457</v>
      </c>
      <c r="E3877" s="125" t="s">
        <v>284</v>
      </c>
      <c r="F3877" s="126">
        <v>41181.0</v>
      </c>
      <c r="G3877" s="127">
        <v>8.13E8</v>
      </c>
      <c r="H3877" s="126">
        <v>41199.0</v>
      </c>
      <c r="I3877" s="128">
        <v>4828.0</v>
      </c>
      <c r="J3877" s="128">
        <v>205.7</v>
      </c>
      <c r="K3877" s="128">
        <v>117.11</v>
      </c>
      <c r="L3877" s="128">
        <v>993119.6</v>
      </c>
      <c r="M3877" s="128">
        <v>565407.1</v>
      </c>
      <c r="N3877" s="128">
        <v>427712.5</v>
      </c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</row>
    <row r="3878">
      <c r="A3878" s="125" t="s">
        <v>458</v>
      </c>
      <c r="B3878" s="125" t="s">
        <v>642</v>
      </c>
      <c r="C3878" s="125" t="s">
        <v>480</v>
      </c>
      <c r="D3878" s="125" t="s">
        <v>454</v>
      </c>
      <c r="E3878" s="125" t="s">
        <v>464</v>
      </c>
      <c r="F3878" s="126">
        <v>41929.0</v>
      </c>
      <c r="G3878" s="127">
        <v>2.32E8</v>
      </c>
      <c r="H3878" s="126">
        <v>41944.0</v>
      </c>
      <c r="I3878" s="128">
        <v>1722.0</v>
      </c>
      <c r="J3878" s="128">
        <v>437.2</v>
      </c>
      <c r="K3878" s="128">
        <v>263.33</v>
      </c>
      <c r="L3878" s="128">
        <v>752858.4</v>
      </c>
      <c r="M3878" s="128">
        <v>453454.3</v>
      </c>
      <c r="N3878" s="128">
        <v>299404.1</v>
      </c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</row>
    <row r="3879">
      <c r="A3879" s="125" t="s">
        <v>466</v>
      </c>
      <c r="B3879" s="125" t="s">
        <v>524</v>
      </c>
      <c r="C3879" s="125" t="s">
        <v>478</v>
      </c>
      <c r="D3879" s="125" t="s">
        <v>454</v>
      </c>
      <c r="E3879" s="125" t="s">
        <v>472</v>
      </c>
      <c r="F3879" s="126">
        <v>42664.0</v>
      </c>
      <c r="G3879" s="127">
        <v>8.03E8</v>
      </c>
      <c r="H3879" s="126">
        <v>42694.0</v>
      </c>
      <c r="I3879" s="128">
        <v>1648.0</v>
      </c>
      <c r="J3879" s="128">
        <v>651.21</v>
      </c>
      <c r="K3879" s="128">
        <v>524.96</v>
      </c>
      <c r="L3879" s="128">
        <v>1073194.0</v>
      </c>
      <c r="M3879" s="128">
        <v>865134.1</v>
      </c>
      <c r="N3879" s="128">
        <v>208060.0</v>
      </c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</row>
    <row r="3880">
      <c r="A3880" s="125" t="s">
        <v>461</v>
      </c>
      <c r="B3880" s="125" t="s">
        <v>539</v>
      </c>
      <c r="C3880" s="125" t="s">
        <v>453</v>
      </c>
      <c r="D3880" s="125" t="s">
        <v>454</v>
      </c>
      <c r="E3880" s="125" t="s">
        <v>464</v>
      </c>
      <c r="F3880" s="126">
        <v>42539.0</v>
      </c>
      <c r="G3880" s="127">
        <v>2.04E8</v>
      </c>
      <c r="H3880" s="126">
        <v>42564.0</v>
      </c>
      <c r="I3880" s="128">
        <v>2269.0</v>
      </c>
      <c r="J3880" s="128">
        <v>255.28</v>
      </c>
      <c r="K3880" s="128">
        <v>159.42</v>
      </c>
      <c r="L3880" s="128">
        <v>579230.3</v>
      </c>
      <c r="M3880" s="128">
        <v>361724.0</v>
      </c>
      <c r="N3880" s="128">
        <v>217506.3</v>
      </c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</row>
    <row r="3881">
      <c r="A3881" s="125" t="s">
        <v>461</v>
      </c>
      <c r="B3881" s="125" t="s">
        <v>511</v>
      </c>
      <c r="C3881" s="125" t="s">
        <v>460</v>
      </c>
      <c r="D3881" s="125" t="s">
        <v>454</v>
      </c>
      <c r="E3881" s="125" t="s">
        <v>189</v>
      </c>
      <c r="F3881" s="126">
        <v>42479.0</v>
      </c>
      <c r="G3881" s="127">
        <v>6.8E8</v>
      </c>
      <c r="H3881" s="126">
        <v>42480.0</v>
      </c>
      <c r="I3881" s="128">
        <v>8276.0</v>
      </c>
      <c r="J3881" s="128">
        <v>47.45</v>
      </c>
      <c r="K3881" s="128">
        <v>31.79</v>
      </c>
      <c r="L3881" s="128">
        <v>392696.2</v>
      </c>
      <c r="M3881" s="128">
        <v>263094.0</v>
      </c>
      <c r="N3881" s="128">
        <v>129602.2</v>
      </c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</row>
    <row r="3882">
      <c r="A3882" s="125" t="s">
        <v>466</v>
      </c>
      <c r="B3882" s="125" t="s">
        <v>658</v>
      </c>
      <c r="C3882" s="125" t="s">
        <v>460</v>
      </c>
      <c r="D3882" s="125" t="s">
        <v>454</v>
      </c>
      <c r="E3882" s="125" t="s">
        <v>472</v>
      </c>
      <c r="F3882" s="126">
        <v>41031.0</v>
      </c>
      <c r="G3882" s="127">
        <v>4.99E8</v>
      </c>
      <c r="H3882" s="126">
        <v>41053.0</v>
      </c>
      <c r="I3882" s="128">
        <v>6393.0</v>
      </c>
      <c r="J3882" s="128">
        <v>47.45</v>
      </c>
      <c r="K3882" s="128">
        <v>31.79</v>
      </c>
      <c r="L3882" s="128">
        <v>303347.9</v>
      </c>
      <c r="M3882" s="128">
        <v>203233.5</v>
      </c>
      <c r="N3882" s="128">
        <v>100114.4</v>
      </c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</row>
    <row r="3883">
      <c r="A3883" s="125" t="s">
        <v>461</v>
      </c>
      <c r="B3883" s="125" t="s">
        <v>564</v>
      </c>
      <c r="C3883" s="125" t="s">
        <v>463</v>
      </c>
      <c r="D3883" s="125" t="s">
        <v>454</v>
      </c>
      <c r="E3883" s="125" t="s">
        <v>464</v>
      </c>
      <c r="F3883" s="126">
        <v>41283.0</v>
      </c>
      <c r="G3883" s="127">
        <v>6.98E8</v>
      </c>
      <c r="H3883" s="126">
        <v>41323.0</v>
      </c>
      <c r="I3883" s="128">
        <v>376.0</v>
      </c>
      <c r="J3883" s="128">
        <v>205.7</v>
      </c>
      <c r="K3883" s="128">
        <v>117.11</v>
      </c>
      <c r="L3883" s="128">
        <v>77343.2</v>
      </c>
      <c r="M3883" s="128">
        <v>44033.36</v>
      </c>
      <c r="N3883" s="128">
        <v>33309.84</v>
      </c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</row>
    <row r="3884">
      <c r="A3884" s="125" t="s">
        <v>461</v>
      </c>
      <c r="B3884" s="125" t="s">
        <v>639</v>
      </c>
      <c r="C3884" s="125" t="s">
        <v>456</v>
      </c>
      <c r="D3884" s="125" t="s">
        <v>454</v>
      </c>
      <c r="E3884" s="125" t="s">
        <v>472</v>
      </c>
      <c r="F3884" s="126">
        <v>41177.0</v>
      </c>
      <c r="G3884" s="127">
        <v>1.36E8</v>
      </c>
      <c r="H3884" s="126">
        <v>41197.0</v>
      </c>
      <c r="I3884" s="128">
        <v>6009.0</v>
      </c>
      <c r="J3884" s="128">
        <v>152.58</v>
      </c>
      <c r="K3884" s="128">
        <v>97.44</v>
      </c>
      <c r="L3884" s="128">
        <v>916853.2</v>
      </c>
      <c r="M3884" s="128">
        <v>585517.0</v>
      </c>
      <c r="N3884" s="128">
        <v>331336.3</v>
      </c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</row>
    <row r="3885">
      <c r="A3885" s="125" t="s">
        <v>475</v>
      </c>
      <c r="B3885" s="125" t="s">
        <v>574</v>
      </c>
      <c r="C3885" s="125" t="s">
        <v>463</v>
      </c>
      <c r="D3885" s="125" t="s">
        <v>454</v>
      </c>
      <c r="E3885" s="125" t="s">
        <v>284</v>
      </c>
      <c r="F3885" s="126">
        <v>40428.0</v>
      </c>
      <c r="G3885" s="127">
        <v>4.4E8</v>
      </c>
      <c r="H3885" s="126">
        <v>40443.0</v>
      </c>
      <c r="I3885" s="128">
        <v>6111.0</v>
      </c>
      <c r="J3885" s="128">
        <v>205.7</v>
      </c>
      <c r="K3885" s="128">
        <v>117.11</v>
      </c>
      <c r="L3885" s="128">
        <v>1257033.0</v>
      </c>
      <c r="M3885" s="128">
        <v>715659.2</v>
      </c>
      <c r="N3885" s="128">
        <v>541373.5</v>
      </c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</row>
    <row r="3886">
      <c r="A3886" s="125" t="s">
        <v>461</v>
      </c>
      <c r="B3886" s="125" t="s">
        <v>581</v>
      </c>
      <c r="C3886" s="125" t="s">
        <v>506</v>
      </c>
      <c r="D3886" s="125" t="s">
        <v>457</v>
      </c>
      <c r="E3886" s="125" t="s">
        <v>472</v>
      </c>
      <c r="F3886" s="126">
        <v>41906.0</v>
      </c>
      <c r="G3886" s="127">
        <v>1.6E8</v>
      </c>
      <c r="H3886" s="126">
        <v>41949.0</v>
      </c>
      <c r="I3886" s="128">
        <v>5530.0</v>
      </c>
      <c r="J3886" s="128">
        <v>154.06</v>
      </c>
      <c r="K3886" s="128">
        <v>90.93</v>
      </c>
      <c r="L3886" s="128">
        <v>851951.8</v>
      </c>
      <c r="M3886" s="128">
        <v>502842.9</v>
      </c>
      <c r="N3886" s="128">
        <v>349108.9</v>
      </c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</row>
    <row r="3887">
      <c r="A3887" s="125" t="s">
        <v>469</v>
      </c>
      <c r="B3887" s="125" t="s">
        <v>519</v>
      </c>
      <c r="C3887" s="125" t="s">
        <v>463</v>
      </c>
      <c r="D3887" s="125" t="s">
        <v>457</v>
      </c>
      <c r="E3887" s="125" t="s">
        <v>189</v>
      </c>
      <c r="F3887" s="126">
        <v>41955.0</v>
      </c>
      <c r="G3887" s="127">
        <v>6.13E8</v>
      </c>
      <c r="H3887" s="126">
        <v>41964.0</v>
      </c>
      <c r="I3887" s="128">
        <v>6147.0</v>
      </c>
      <c r="J3887" s="128">
        <v>205.7</v>
      </c>
      <c r="K3887" s="128">
        <v>117.11</v>
      </c>
      <c r="L3887" s="128">
        <v>1264438.0</v>
      </c>
      <c r="M3887" s="128">
        <v>719875.2</v>
      </c>
      <c r="N3887" s="128">
        <v>544562.7</v>
      </c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</row>
    <row r="3888">
      <c r="A3888" s="125" t="s">
        <v>466</v>
      </c>
      <c r="B3888" s="125" t="s">
        <v>491</v>
      </c>
      <c r="C3888" s="125" t="s">
        <v>456</v>
      </c>
      <c r="D3888" s="125" t="s">
        <v>457</v>
      </c>
      <c r="E3888" s="125" t="s">
        <v>284</v>
      </c>
      <c r="F3888" s="126">
        <v>42840.0</v>
      </c>
      <c r="G3888" s="127">
        <v>9.39E8</v>
      </c>
      <c r="H3888" s="126">
        <v>42871.0</v>
      </c>
      <c r="I3888" s="128">
        <v>1871.0</v>
      </c>
      <c r="J3888" s="128">
        <v>152.58</v>
      </c>
      <c r="K3888" s="128">
        <v>97.44</v>
      </c>
      <c r="L3888" s="128">
        <v>285477.2</v>
      </c>
      <c r="M3888" s="128">
        <v>182310.2</v>
      </c>
      <c r="N3888" s="128">
        <v>103166.9</v>
      </c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</row>
    <row r="3889">
      <c r="A3889" s="125" t="s">
        <v>458</v>
      </c>
      <c r="B3889" s="125" t="s">
        <v>626</v>
      </c>
      <c r="C3889" s="125" t="s">
        <v>456</v>
      </c>
      <c r="D3889" s="125" t="s">
        <v>454</v>
      </c>
      <c r="E3889" s="125" t="s">
        <v>189</v>
      </c>
      <c r="F3889" s="126">
        <v>40301.0</v>
      </c>
      <c r="G3889" s="127">
        <v>3.48E8</v>
      </c>
      <c r="H3889" s="126">
        <v>40317.0</v>
      </c>
      <c r="I3889" s="128">
        <v>3646.0</v>
      </c>
      <c r="J3889" s="128">
        <v>152.58</v>
      </c>
      <c r="K3889" s="128">
        <v>97.44</v>
      </c>
      <c r="L3889" s="128">
        <v>556306.7</v>
      </c>
      <c r="M3889" s="128">
        <v>355266.2</v>
      </c>
      <c r="N3889" s="128">
        <v>201040.4</v>
      </c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</row>
    <row r="3890">
      <c r="A3890" s="125" t="s">
        <v>458</v>
      </c>
      <c r="B3890" s="125" t="s">
        <v>622</v>
      </c>
      <c r="C3890" s="125" t="s">
        <v>478</v>
      </c>
      <c r="D3890" s="125" t="s">
        <v>454</v>
      </c>
      <c r="E3890" s="125" t="s">
        <v>464</v>
      </c>
      <c r="F3890" s="126">
        <v>41528.0</v>
      </c>
      <c r="G3890" s="127">
        <v>3.69E8</v>
      </c>
      <c r="H3890" s="126">
        <v>41563.0</v>
      </c>
      <c r="I3890" s="128">
        <v>4445.0</v>
      </c>
      <c r="J3890" s="128">
        <v>651.21</v>
      </c>
      <c r="K3890" s="128">
        <v>524.96</v>
      </c>
      <c r="L3890" s="128">
        <v>2894628.0</v>
      </c>
      <c r="M3890" s="128">
        <v>2333447.0</v>
      </c>
      <c r="N3890" s="128">
        <v>561181.3</v>
      </c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</row>
    <row r="3891">
      <c r="A3891" s="125" t="s">
        <v>461</v>
      </c>
      <c r="B3891" s="125" t="s">
        <v>511</v>
      </c>
      <c r="C3891" s="125" t="s">
        <v>460</v>
      </c>
      <c r="D3891" s="125" t="s">
        <v>454</v>
      </c>
      <c r="E3891" s="125" t="s">
        <v>189</v>
      </c>
      <c r="F3891" s="126">
        <v>41656.0</v>
      </c>
      <c r="G3891" s="127">
        <v>8.02E8</v>
      </c>
      <c r="H3891" s="126">
        <v>41701.0</v>
      </c>
      <c r="I3891" s="128">
        <v>4274.0</v>
      </c>
      <c r="J3891" s="128">
        <v>47.45</v>
      </c>
      <c r="K3891" s="128">
        <v>31.79</v>
      </c>
      <c r="L3891" s="128">
        <v>202801.3</v>
      </c>
      <c r="M3891" s="128">
        <v>135870.5</v>
      </c>
      <c r="N3891" s="128">
        <v>66930.84</v>
      </c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</row>
    <row r="3892">
      <c r="A3892" s="125" t="s">
        <v>475</v>
      </c>
      <c r="B3892" s="125" t="s">
        <v>528</v>
      </c>
      <c r="C3892" s="125" t="s">
        <v>480</v>
      </c>
      <c r="D3892" s="125" t="s">
        <v>457</v>
      </c>
      <c r="E3892" s="125" t="s">
        <v>284</v>
      </c>
      <c r="F3892" s="126">
        <v>41739.0</v>
      </c>
      <c r="G3892" s="127">
        <v>1.67E8</v>
      </c>
      <c r="H3892" s="126">
        <v>41757.0</v>
      </c>
      <c r="I3892" s="128">
        <v>5167.0</v>
      </c>
      <c r="J3892" s="128">
        <v>437.2</v>
      </c>
      <c r="K3892" s="128">
        <v>263.33</v>
      </c>
      <c r="L3892" s="128">
        <v>2259012.0</v>
      </c>
      <c r="M3892" s="128">
        <v>1360626.0</v>
      </c>
      <c r="N3892" s="128">
        <v>898386.3</v>
      </c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</row>
    <row r="3893">
      <c r="A3893" s="125" t="s">
        <v>475</v>
      </c>
      <c r="B3893" s="125" t="s">
        <v>602</v>
      </c>
      <c r="C3893" s="125" t="s">
        <v>478</v>
      </c>
      <c r="D3893" s="125" t="s">
        <v>457</v>
      </c>
      <c r="E3893" s="125" t="s">
        <v>189</v>
      </c>
      <c r="F3893" s="126">
        <v>41838.0</v>
      </c>
      <c r="G3893" s="127">
        <v>6.56E8</v>
      </c>
      <c r="H3893" s="126">
        <v>41851.0</v>
      </c>
      <c r="I3893" s="128">
        <v>6193.0</v>
      </c>
      <c r="J3893" s="128">
        <v>651.21</v>
      </c>
      <c r="K3893" s="128">
        <v>524.96</v>
      </c>
      <c r="L3893" s="128">
        <v>4032944.0</v>
      </c>
      <c r="M3893" s="128">
        <v>3251077.0</v>
      </c>
      <c r="N3893" s="128">
        <v>781866.3</v>
      </c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</row>
    <row r="3894">
      <c r="A3894" s="125" t="s">
        <v>458</v>
      </c>
      <c r="B3894" s="125" t="s">
        <v>573</v>
      </c>
      <c r="C3894" s="125" t="s">
        <v>468</v>
      </c>
      <c r="D3894" s="125" t="s">
        <v>454</v>
      </c>
      <c r="E3894" s="125" t="s">
        <v>464</v>
      </c>
      <c r="F3894" s="126">
        <v>42404.0</v>
      </c>
      <c r="G3894" s="127">
        <v>4.79E8</v>
      </c>
      <c r="H3894" s="126">
        <v>42409.0</v>
      </c>
      <c r="I3894" s="128">
        <v>8451.0</v>
      </c>
      <c r="J3894" s="128">
        <v>81.73</v>
      </c>
      <c r="K3894" s="128">
        <v>56.67</v>
      </c>
      <c r="L3894" s="128">
        <v>690700.2</v>
      </c>
      <c r="M3894" s="128">
        <v>478918.2</v>
      </c>
      <c r="N3894" s="128">
        <v>211782.1</v>
      </c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</row>
    <row r="3895">
      <c r="A3895" s="125" t="s">
        <v>475</v>
      </c>
      <c r="B3895" s="125" t="s">
        <v>552</v>
      </c>
      <c r="C3895" s="125" t="s">
        <v>468</v>
      </c>
      <c r="D3895" s="125" t="s">
        <v>457</v>
      </c>
      <c r="E3895" s="125" t="s">
        <v>189</v>
      </c>
      <c r="F3895" s="126">
        <v>42891.0</v>
      </c>
      <c r="G3895" s="127">
        <v>6.17E8</v>
      </c>
      <c r="H3895" s="126">
        <v>42896.0</v>
      </c>
      <c r="I3895" s="128">
        <v>69.0</v>
      </c>
      <c r="J3895" s="128">
        <v>81.73</v>
      </c>
      <c r="K3895" s="128">
        <v>56.67</v>
      </c>
      <c r="L3895" s="128">
        <v>5639.37</v>
      </c>
      <c r="M3895" s="128">
        <v>3910.23</v>
      </c>
      <c r="N3895" s="128">
        <v>1729.14</v>
      </c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</row>
    <row r="3896">
      <c r="A3896" s="125" t="s">
        <v>458</v>
      </c>
      <c r="B3896" s="125" t="s">
        <v>610</v>
      </c>
      <c r="C3896" s="125" t="s">
        <v>463</v>
      </c>
      <c r="D3896" s="125" t="s">
        <v>454</v>
      </c>
      <c r="E3896" s="125" t="s">
        <v>464</v>
      </c>
      <c r="F3896" s="126">
        <v>40378.0</v>
      </c>
      <c r="G3896" s="127">
        <v>7.73E8</v>
      </c>
      <c r="H3896" s="126">
        <v>40415.0</v>
      </c>
      <c r="I3896" s="128">
        <v>1210.0</v>
      </c>
      <c r="J3896" s="128">
        <v>205.7</v>
      </c>
      <c r="K3896" s="128">
        <v>117.11</v>
      </c>
      <c r="L3896" s="128">
        <v>248897.0</v>
      </c>
      <c r="M3896" s="128">
        <v>141703.1</v>
      </c>
      <c r="N3896" s="128">
        <v>107193.9</v>
      </c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</row>
    <row r="3897">
      <c r="A3897" s="125" t="s">
        <v>451</v>
      </c>
      <c r="B3897" s="125" t="s">
        <v>608</v>
      </c>
      <c r="C3897" s="125" t="s">
        <v>463</v>
      </c>
      <c r="D3897" s="125" t="s">
        <v>457</v>
      </c>
      <c r="E3897" s="125" t="s">
        <v>464</v>
      </c>
      <c r="F3897" s="126">
        <v>42015.0</v>
      </c>
      <c r="G3897" s="127">
        <v>7.17E8</v>
      </c>
      <c r="H3897" s="126">
        <v>42029.0</v>
      </c>
      <c r="I3897" s="128">
        <v>9065.0</v>
      </c>
      <c r="J3897" s="128">
        <v>205.7</v>
      </c>
      <c r="K3897" s="128">
        <v>117.11</v>
      </c>
      <c r="L3897" s="128">
        <v>1864671.0</v>
      </c>
      <c r="M3897" s="128">
        <v>1061602.0</v>
      </c>
      <c r="N3897" s="128">
        <v>803068.4</v>
      </c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</row>
    <row r="3898">
      <c r="A3898" s="125" t="s">
        <v>458</v>
      </c>
      <c r="B3898" s="125" t="s">
        <v>547</v>
      </c>
      <c r="C3898" s="125" t="s">
        <v>460</v>
      </c>
      <c r="D3898" s="125" t="s">
        <v>454</v>
      </c>
      <c r="E3898" s="125" t="s">
        <v>189</v>
      </c>
      <c r="F3898" s="126">
        <v>41508.0</v>
      </c>
      <c r="G3898" s="127">
        <v>7.43E8</v>
      </c>
      <c r="H3898" s="126">
        <v>41521.0</v>
      </c>
      <c r="I3898" s="128">
        <v>2859.0</v>
      </c>
      <c r="J3898" s="128">
        <v>47.45</v>
      </c>
      <c r="K3898" s="128">
        <v>31.79</v>
      </c>
      <c r="L3898" s="128">
        <v>135659.6</v>
      </c>
      <c r="M3898" s="128">
        <v>90887.61</v>
      </c>
      <c r="N3898" s="128">
        <v>44771.94</v>
      </c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</row>
    <row r="3899">
      <c r="A3899" s="125" t="s">
        <v>475</v>
      </c>
      <c r="B3899" s="125" t="s">
        <v>528</v>
      </c>
      <c r="C3899" s="125" t="s">
        <v>478</v>
      </c>
      <c r="D3899" s="125" t="s">
        <v>457</v>
      </c>
      <c r="E3899" s="125" t="s">
        <v>284</v>
      </c>
      <c r="F3899" s="126">
        <v>42636.0</v>
      </c>
      <c r="G3899" s="127">
        <v>3.12E8</v>
      </c>
      <c r="H3899" s="126">
        <v>42685.0</v>
      </c>
      <c r="I3899" s="128">
        <v>8846.0</v>
      </c>
      <c r="J3899" s="128">
        <v>651.21</v>
      </c>
      <c r="K3899" s="128">
        <v>524.96</v>
      </c>
      <c r="L3899" s="128">
        <v>5760604.0</v>
      </c>
      <c r="M3899" s="128">
        <v>4643796.0</v>
      </c>
      <c r="N3899" s="128">
        <v>1116808.0</v>
      </c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</row>
    <row r="3900">
      <c r="A3900" s="125" t="s">
        <v>458</v>
      </c>
      <c r="B3900" s="125" t="s">
        <v>541</v>
      </c>
      <c r="C3900" s="125" t="s">
        <v>460</v>
      </c>
      <c r="D3900" s="125" t="s">
        <v>457</v>
      </c>
      <c r="E3900" s="125" t="s">
        <v>284</v>
      </c>
      <c r="F3900" s="126">
        <v>41266.0</v>
      </c>
      <c r="G3900" s="127">
        <v>3.09E8</v>
      </c>
      <c r="H3900" s="126">
        <v>41314.0</v>
      </c>
      <c r="I3900" s="128">
        <v>5312.0</v>
      </c>
      <c r="J3900" s="128">
        <v>47.45</v>
      </c>
      <c r="K3900" s="128">
        <v>31.79</v>
      </c>
      <c r="L3900" s="128">
        <v>252054.4</v>
      </c>
      <c r="M3900" s="128">
        <v>168868.5</v>
      </c>
      <c r="N3900" s="128">
        <v>83185.92</v>
      </c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</row>
    <row r="3901">
      <c r="A3901" s="125" t="s">
        <v>466</v>
      </c>
      <c r="B3901" s="125" t="s">
        <v>612</v>
      </c>
      <c r="C3901" s="125" t="s">
        <v>460</v>
      </c>
      <c r="D3901" s="125" t="s">
        <v>454</v>
      </c>
      <c r="E3901" s="125" t="s">
        <v>472</v>
      </c>
      <c r="F3901" s="126">
        <v>40572.0</v>
      </c>
      <c r="G3901" s="127">
        <v>7.85E8</v>
      </c>
      <c r="H3901" s="126">
        <v>40599.0</v>
      </c>
      <c r="I3901" s="128">
        <v>7574.0</v>
      </c>
      <c r="J3901" s="128">
        <v>47.45</v>
      </c>
      <c r="K3901" s="128">
        <v>31.79</v>
      </c>
      <c r="L3901" s="128">
        <v>359386.3</v>
      </c>
      <c r="M3901" s="128">
        <v>240777.5</v>
      </c>
      <c r="N3901" s="128">
        <v>118608.8</v>
      </c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</row>
    <row r="3902">
      <c r="A3902" s="125" t="s">
        <v>461</v>
      </c>
      <c r="B3902" s="125" t="s">
        <v>522</v>
      </c>
      <c r="C3902" s="125" t="s">
        <v>514</v>
      </c>
      <c r="D3902" s="125" t="s">
        <v>457</v>
      </c>
      <c r="E3902" s="125" t="s">
        <v>284</v>
      </c>
      <c r="F3902" s="126">
        <v>41348.0</v>
      </c>
      <c r="G3902" s="127">
        <v>5.14E8</v>
      </c>
      <c r="H3902" s="126">
        <v>41363.0</v>
      </c>
      <c r="I3902" s="128">
        <v>2982.0</v>
      </c>
      <c r="J3902" s="128">
        <v>668.27</v>
      </c>
      <c r="K3902" s="128">
        <v>502.54</v>
      </c>
      <c r="L3902" s="128">
        <v>1992781.0</v>
      </c>
      <c r="M3902" s="128">
        <v>1498574.0</v>
      </c>
      <c r="N3902" s="128">
        <v>494206.9</v>
      </c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</row>
    <row r="3903">
      <c r="A3903" s="125" t="s">
        <v>458</v>
      </c>
      <c r="B3903" s="125" t="s">
        <v>540</v>
      </c>
      <c r="C3903" s="125" t="s">
        <v>468</v>
      </c>
      <c r="D3903" s="125" t="s">
        <v>454</v>
      </c>
      <c r="E3903" s="125" t="s">
        <v>464</v>
      </c>
      <c r="F3903" s="126">
        <v>40631.0</v>
      </c>
      <c r="G3903" s="127">
        <v>1.4E8</v>
      </c>
      <c r="H3903" s="126">
        <v>40663.0</v>
      </c>
      <c r="I3903" s="128">
        <v>5915.0</v>
      </c>
      <c r="J3903" s="128">
        <v>81.73</v>
      </c>
      <c r="K3903" s="128">
        <v>56.67</v>
      </c>
      <c r="L3903" s="128">
        <v>483433.0</v>
      </c>
      <c r="M3903" s="128">
        <v>335203.1</v>
      </c>
      <c r="N3903" s="128">
        <v>148229.9</v>
      </c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</row>
    <row r="3904">
      <c r="A3904" s="125" t="s">
        <v>466</v>
      </c>
      <c r="B3904" s="125" t="s">
        <v>584</v>
      </c>
      <c r="C3904" s="125" t="s">
        <v>514</v>
      </c>
      <c r="D3904" s="125" t="s">
        <v>457</v>
      </c>
      <c r="E3904" s="125" t="s">
        <v>472</v>
      </c>
      <c r="F3904" s="126">
        <v>41377.0</v>
      </c>
      <c r="G3904" s="127">
        <v>8.28E8</v>
      </c>
      <c r="H3904" s="126">
        <v>41383.0</v>
      </c>
      <c r="I3904" s="128">
        <v>2785.0</v>
      </c>
      <c r="J3904" s="128">
        <v>668.27</v>
      </c>
      <c r="K3904" s="128">
        <v>502.54</v>
      </c>
      <c r="L3904" s="128">
        <v>1861132.0</v>
      </c>
      <c r="M3904" s="128">
        <v>1399574.0</v>
      </c>
      <c r="N3904" s="128">
        <v>461558.1</v>
      </c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</row>
    <row r="3905">
      <c r="A3905" s="125" t="s">
        <v>466</v>
      </c>
      <c r="B3905" s="125" t="s">
        <v>580</v>
      </c>
      <c r="C3905" s="125" t="s">
        <v>494</v>
      </c>
      <c r="D3905" s="125" t="s">
        <v>457</v>
      </c>
      <c r="E3905" s="125" t="s">
        <v>284</v>
      </c>
      <c r="F3905" s="126">
        <v>42781.0</v>
      </c>
      <c r="G3905" s="127">
        <v>2.12E8</v>
      </c>
      <c r="H3905" s="126">
        <v>42789.0</v>
      </c>
      <c r="I3905" s="128">
        <v>7033.0</v>
      </c>
      <c r="J3905" s="128">
        <v>9.33</v>
      </c>
      <c r="K3905" s="128">
        <v>6.92</v>
      </c>
      <c r="L3905" s="128">
        <v>65617.89</v>
      </c>
      <c r="M3905" s="128">
        <v>48668.36</v>
      </c>
      <c r="N3905" s="128">
        <v>16949.53</v>
      </c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</row>
    <row r="3906">
      <c r="A3906" s="125" t="s">
        <v>475</v>
      </c>
      <c r="B3906" s="125" t="s">
        <v>649</v>
      </c>
      <c r="C3906" s="125" t="s">
        <v>463</v>
      </c>
      <c r="D3906" s="125" t="s">
        <v>454</v>
      </c>
      <c r="E3906" s="125" t="s">
        <v>284</v>
      </c>
      <c r="F3906" s="126">
        <v>41665.0</v>
      </c>
      <c r="G3906" s="127">
        <v>9.45E8</v>
      </c>
      <c r="H3906" s="126">
        <v>41685.0</v>
      </c>
      <c r="I3906" s="128">
        <v>4134.0</v>
      </c>
      <c r="J3906" s="128">
        <v>205.7</v>
      </c>
      <c r="K3906" s="128">
        <v>117.11</v>
      </c>
      <c r="L3906" s="128">
        <v>850363.8</v>
      </c>
      <c r="M3906" s="128">
        <v>484132.7</v>
      </c>
      <c r="N3906" s="128">
        <v>366231.1</v>
      </c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</row>
    <row r="3907">
      <c r="A3907" s="125" t="s">
        <v>475</v>
      </c>
      <c r="B3907" s="125" t="s">
        <v>628</v>
      </c>
      <c r="C3907" s="125" t="s">
        <v>506</v>
      </c>
      <c r="D3907" s="125" t="s">
        <v>457</v>
      </c>
      <c r="E3907" s="125" t="s">
        <v>464</v>
      </c>
      <c r="F3907" s="126">
        <v>42150.0</v>
      </c>
      <c r="G3907" s="127">
        <v>3.55E8</v>
      </c>
      <c r="H3907" s="126">
        <v>42163.0</v>
      </c>
      <c r="I3907" s="128">
        <v>6591.0</v>
      </c>
      <c r="J3907" s="128">
        <v>154.06</v>
      </c>
      <c r="K3907" s="128">
        <v>90.93</v>
      </c>
      <c r="L3907" s="128">
        <v>1015409.0</v>
      </c>
      <c r="M3907" s="128">
        <v>599319.6</v>
      </c>
      <c r="N3907" s="128">
        <v>416089.8</v>
      </c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</row>
    <row r="3908">
      <c r="A3908" s="125" t="s">
        <v>461</v>
      </c>
      <c r="B3908" s="125" t="s">
        <v>581</v>
      </c>
      <c r="C3908" s="125" t="s">
        <v>471</v>
      </c>
      <c r="D3908" s="125" t="s">
        <v>454</v>
      </c>
      <c r="E3908" s="125" t="s">
        <v>189</v>
      </c>
      <c r="F3908" s="126">
        <v>40451.0</v>
      </c>
      <c r="G3908" s="127">
        <v>7.85E8</v>
      </c>
      <c r="H3908" s="126">
        <v>40472.0</v>
      </c>
      <c r="I3908" s="128">
        <v>8942.0</v>
      </c>
      <c r="J3908" s="128">
        <v>109.28</v>
      </c>
      <c r="K3908" s="128">
        <v>35.84</v>
      </c>
      <c r="L3908" s="128">
        <v>977181.8</v>
      </c>
      <c r="M3908" s="128">
        <v>320481.3</v>
      </c>
      <c r="N3908" s="128">
        <v>656700.5</v>
      </c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</row>
    <row r="3909">
      <c r="A3909" s="125" t="s">
        <v>475</v>
      </c>
      <c r="B3909" s="125" t="s">
        <v>640</v>
      </c>
      <c r="C3909" s="125" t="s">
        <v>494</v>
      </c>
      <c r="D3909" s="125" t="s">
        <v>457</v>
      </c>
      <c r="E3909" s="125" t="s">
        <v>284</v>
      </c>
      <c r="F3909" s="126">
        <v>42852.0</v>
      </c>
      <c r="G3909" s="127">
        <v>1.51E8</v>
      </c>
      <c r="H3909" s="126">
        <v>42869.0</v>
      </c>
      <c r="I3909" s="128">
        <v>2754.0</v>
      </c>
      <c r="J3909" s="128">
        <v>9.33</v>
      </c>
      <c r="K3909" s="128">
        <v>6.92</v>
      </c>
      <c r="L3909" s="128">
        <v>25694.82</v>
      </c>
      <c r="M3909" s="128">
        <v>19057.68</v>
      </c>
      <c r="N3909" s="128">
        <v>6637.14</v>
      </c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</row>
    <row r="3910">
      <c r="A3910" s="125" t="s">
        <v>475</v>
      </c>
      <c r="B3910" s="125" t="s">
        <v>570</v>
      </c>
      <c r="C3910" s="125" t="s">
        <v>506</v>
      </c>
      <c r="D3910" s="125" t="s">
        <v>457</v>
      </c>
      <c r="E3910" s="125" t="s">
        <v>464</v>
      </c>
      <c r="F3910" s="126">
        <v>42198.0</v>
      </c>
      <c r="G3910" s="127">
        <v>4.9E8</v>
      </c>
      <c r="H3910" s="126">
        <v>42234.0</v>
      </c>
      <c r="I3910" s="128">
        <v>1625.0</v>
      </c>
      <c r="J3910" s="128">
        <v>154.06</v>
      </c>
      <c r="K3910" s="128">
        <v>90.93</v>
      </c>
      <c r="L3910" s="128">
        <v>250347.5</v>
      </c>
      <c r="M3910" s="128">
        <v>147761.3</v>
      </c>
      <c r="N3910" s="128">
        <v>102586.3</v>
      </c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</row>
    <row r="3911">
      <c r="A3911" s="125" t="s">
        <v>451</v>
      </c>
      <c r="B3911" s="125" t="s">
        <v>483</v>
      </c>
      <c r="C3911" s="125" t="s">
        <v>460</v>
      </c>
      <c r="D3911" s="125" t="s">
        <v>457</v>
      </c>
      <c r="E3911" s="125" t="s">
        <v>472</v>
      </c>
      <c r="F3911" s="126">
        <v>41400.0</v>
      </c>
      <c r="G3911" s="127">
        <v>3.08E8</v>
      </c>
      <c r="H3911" s="126">
        <v>41401.0</v>
      </c>
      <c r="I3911" s="128">
        <v>6186.0</v>
      </c>
      <c r="J3911" s="128">
        <v>47.45</v>
      </c>
      <c r="K3911" s="128">
        <v>31.79</v>
      </c>
      <c r="L3911" s="128">
        <v>293525.7</v>
      </c>
      <c r="M3911" s="128">
        <v>196652.9</v>
      </c>
      <c r="N3911" s="128">
        <v>96872.76</v>
      </c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</row>
    <row r="3912">
      <c r="A3912" s="125" t="s">
        <v>451</v>
      </c>
      <c r="B3912" s="125" t="s">
        <v>550</v>
      </c>
      <c r="C3912" s="125" t="s">
        <v>494</v>
      </c>
      <c r="D3912" s="125" t="s">
        <v>454</v>
      </c>
      <c r="E3912" s="125" t="s">
        <v>472</v>
      </c>
      <c r="F3912" s="126">
        <v>40995.0</v>
      </c>
      <c r="G3912" s="127">
        <v>4.31E8</v>
      </c>
      <c r="H3912" s="126">
        <v>40995.0</v>
      </c>
      <c r="I3912" s="128">
        <v>9096.0</v>
      </c>
      <c r="J3912" s="128">
        <v>9.33</v>
      </c>
      <c r="K3912" s="128">
        <v>6.92</v>
      </c>
      <c r="L3912" s="128">
        <v>84865.68</v>
      </c>
      <c r="M3912" s="128">
        <v>62944.32</v>
      </c>
      <c r="N3912" s="128">
        <v>21921.36</v>
      </c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</row>
    <row r="3913">
      <c r="A3913" s="125" t="s">
        <v>458</v>
      </c>
      <c r="B3913" s="125" t="s">
        <v>551</v>
      </c>
      <c r="C3913" s="125" t="s">
        <v>463</v>
      </c>
      <c r="D3913" s="125" t="s">
        <v>454</v>
      </c>
      <c r="E3913" s="125" t="s">
        <v>189</v>
      </c>
      <c r="F3913" s="126">
        <v>40525.0</v>
      </c>
      <c r="G3913" s="127">
        <v>8.57E8</v>
      </c>
      <c r="H3913" s="126">
        <v>40535.0</v>
      </c>
      <c r="I3913" s="128">
        <v>50.0</v>
      </c>
      <c r="J3913" s="128">
        <v>205.7</v>
      </c>
      <c r="K3913" s="128">
        <v>117.11</v>
      </c>
      <c r="L3913" s="128">
        <v>10285.0</v>
      </c>
      <c r="M3913" s="128">
        <v>5855.5</v>
      </c>
      <c r="N3913" s="128">
        <v>4429.5</v>
      </c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</row>
    <row r="3914">
      <c r="A3914" s="125" t="s">
        <v>451</v>
      </c>
      <c r="B3914" s="125" t="s">
        <v>499</v>
      </c>
      <c r="C3914" s="125" t="s">
        <v>514</v>
      </c>
      <c r="D3914" s="125" t="s">
        <v>457</v>
      </c>
      <c r="E3914" s="125" t="s">
        <v>189</v>
      </c>
      <c r="F3914" s="126">
        <v>42688.0</v>
      </c>
      <c r="G3914" s="127">
        <v>3.02E8</v>
      </c>
      <c r="H3914" s="126">
        <v>42706.0</v>
      </c>
      <c r="I3914" s="128">
        <v>770.0</v>
      </c>
      <c r="J3914" s="128">
        <v>668.27</v>
      </c>
      <c r="K3914" s="128">
        <v>502.54</v>
      </c>
      <c r="L3914" s="128">
        <v>514567.9</v>
      </c>
      <c r="M3914" s="128">
        <v>386955.8</v>
      </c>
      <c r="N3914" s="128">
        <v>127612.1</v>
      </c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</row>
    <row r="3915">
      <c r="A3915" s="125" t="s">
        <v>466</v>
      </c>
      <c r="B3915" s="125" t="s">
        <v>491</v>
      </c>
      <c r="C3915" s="125" t="s">
        <v>478</v>
      </c>
      <c r="D3915" s="125" t="s">
        <v>454</v>
      </c>
      <c r="E3915" s="125" t="s">
        <v>284</v>
      </c>
      <c r="F3915" s="126">
        <v>40888.0</v>
      </c>
      <c r="G3915" s="127">
        <v>2.54E8</v>
      </c>
      <c r="H3915" s="126">
        <v>40890.0</v>
      </c>
      <c r="I3915" s="128">
        <v>11.0</v>
      </c>
      <c r="J3915" s="128">
        <v>651.21</v>
      </c>
      <c r="K3915" s="128">
        <v>524.96</v>
      </c>
      <c r="L3915" s="128">
        <v>7163.31</v>
      </c>
      <c r="M3915" s="128">
        <v>5774.56</v>
      </c>
      <c r="N3915" s="128">
        <v>1388.75</v>
      </c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</row>
    <row r="3916">
      <c r="A3916" s="125" t="s">
        <v>461</v>
      </c>
      <c r="B3916" s="125" t="s">
        <v>639</v>
      </c>
      <c r="C3916" s="125" t="s">
        <v>485</v>
      </c>
      <c r="D3916" s="125" t="s">
        <v>454</v>
      </c>
      <c r="E3916" s="125" t="s">
        <v>472</v>
      </c>
      <c r="F3916" s="126">
        <v>42750.0</v>
      </c>
      <c r="G3916" s="127">
        <v>9.21E8</v>
      </c>
      <c r="H3916" s="126">
        <v>42752.0</v>
      </c>
      <c r="I3916" s="128">
        <v>8559.0</v>
      </c>
      <c r="J3916" s="128">
        <v>421.89</v>
      </c>
      <c r="K3916" s="128">
        <v>364.69</v>
      </c>
      <c r="L3916" s="128">
        <v>3610957.0</v>
      </c>
      <c r="M3916" s="128">
        <v>3121382.0</v>
      </c>
      <c r="N3916" s="128">
        <v>489574.8</v>
      </c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</row>
    <row r="3917">
      <c r="A3917" s="125" t="s">
        <v>458</v>
      </c>
      <c r="B3917" s="125" t="s">
        <v>633</v>
      </c>
      <c r="C3917" s="125" t="s">
        <v>480</v>
      </c>
      <c r="D3917" s="125" t="s">
        <v>457</v>
      </c>
      <c r="E3917" s="125" t="s">
        <v>472</v>
      </c>
      <c r="F3917" s="126">
        <v>41073.0</v>
      </c>
      <c r="G3917" s="127">
        <v>7.81E8</v>
      </c>
      <c r="H3917" s="126">
        <v>41120.0</v>
      </c>
      <c r="I3917" s="128">
        <v>4233.0</v>
      </c>
      <c r="J3917" s="128">
        <v>437.2</v>
      </c>
      <c r="K3917" s="128">
        <v>263.33</v>
      </c>
      <c r="L3917" s="128">
        <v>1850668.0</v>
      </c>
      <c r="M3917" s="128">
        <v>1114676.0</v>
      </c>
      <c r="N3917" s="128">
        <v>735991.7</v>
      </c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</row>
    <row r="3918">
      <c r="A3918" s="125" t="s">
        <v>451</v>
      </c>
      <c r="B3918" s="125" t="s">
        <v>523</v>
      </c>
      <c r="C3918" s="125" t="s">
        <v>506</v>
      </c>
      <c r="D3918" s="125" t="s">
        <v>457</v>
      </c>
      <c r="E3918" s="125" t="s">
        <v>464</v>
      </c>
      <c r="F3918" s="126">
        <v>42876.0</v>
      </c>
      <c r="G3918" s="127">
        <v>6.33E8</v>
      </c>
      <c r="H3918" s="126">
        <v>42904.0</v>
      </c>
      <c r="I3918" s="128">
        <v>6880.0</v>
      </c>
      <c r="J3918" s="128">
        <v>154.06</v>
      </c>
      <c r="K3918" s="128">
        <v>90.93</v>
      </c>
      <c r="L3918" s="128">
        <v>1059933.0</v>
      </c>
      <c r="M3918" s="128">
        <v>625598.4</v>
      </c>
      <c r="N3918" s="128">
        <v>434334.4</v>
      </c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</row>
    <row r="3919">
      <c r="A3919" s="125" t="s">
        <v>469</v>
      </c>
      <c r="B3919" s="125" t="s">
        <v>503</v>
      </c>
      <c r="C3919" s="125" t="s">
        <v>494</v>
      </c>
      <c r="D3919" s="125" t="s">
        <v>457</v>
      </c>
      <c r="E3919" s="125" t="s">
        <v>472</v>
      </c>
      <c r="F3919" s="126">
        <v>40355.0</v>
      </c>
      <c r="G3919" s="127">
        <v>4.45E8</v>
      </c>
      <c r="H3919" s="126">
        <v>40380.0</v>
      </c>
      <c r="I3919" s="128">
        <v>3380.0</v>
      </c>
      <c r="J3919" s="128">
        <v>9.33</v>
      </c>
      <c r="K3919" s="128">
        <v>6.92</v>
      </c>
      <c r="L3919" s="128">
        <v>31535.4</v>
      </c>
      <c r="M3919" s="128">
        <v>23389.6</v>
      </c>
      <c r="N3919" s="128">
        <v>8145.8</v>
      </c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</row>
    <row r="3920">
      <c r="A3920" s="125" t="s">
        <v>469</v>
      </c>
      <c r="B3920" s="125" t="s">
        <v>650</v>
      </c>
      <c r="C3920" s="125" t="s">
        <v>514</v>
      </c>
      <c r="D3920" s="125" t="s">
        <v>454</v>
      </c>
      <c r="E3920" s="125" t="s">
        <v>189</v>
      </c>
      <c r="F3920" s="126">
        <v>42690.0</v>
      </c>
      <c r="G3920" s="127">
        <v>7.07E8</v>
      </c>
      <c r="H3920" s="126">
        <v>42723.0</v>
      </c>
      <c r="I3920" s="128">
        <v>2644.0</v>
      </c>
      <c r="J3920" s="128">
        <v>668.27</v>
      </c>
      <c r="K3920" s="128">
        <v>502.54</v>
      </c>
      <c r="L3920" s="128">
        <v>1766906.0</v>
      </c>
      <c r="M3920" s="128">
        <v>1328716.0</v>
      </c>
      <c r="N3920" s="128">
        <v>438190.1</v>
      </c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</row>
    <row r="3921">
      <c r="A3921" s="125" t="s">
        <v>458</v>
      </c>
      <c r="B3921" s="125" t="s">
        <v>560</v>
      </c>
      <c r="C3921" s="125" t="s">
        <v>485</v>
      </c>
      <c r="D3921" s="125" t="s">
        <v>457</v>
      </c>
      <c r="E3921" s="125" t="s">
        <v>464</v>
      </c>
      <c r="F3921" s="126">
        <v>41470.0</v>
      </c>
      <c r="G3921" s="127">
        <v>1.77E8</v>
      </c>
      <c r="H3921" s="126">
        <v>41503.0</v>
      </c>
      <c r="I3921" s="128">
        <v>615.0</v>
      </c>
      <c r="J3921" s="128">
        <v>421.89</v>
      </c>
      <c r="K3921" s="128">
        <v>364.69</v>
      </c>
      <c r="L3921" s="128">
        <v>259462.4</v>
      </c>
      <c r="M3921" s="128">
        <v>224284.4</v>
      </c>
      <c r="N3921" s="128">
        <v>35178.0</v>
      </c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</row>
    <row r="3922">
      <c r="A3922" s="125" t="s">
        <v>466</v>
      </c>
      <c r="B3922" s="125" t="s">
        <v>534</v>
      </c>
      <c r="C3922" s="125" t="s">
        <v>485</v>
      </c>
      <c r="D3922" s="125" t="s">
        <v>457</v>
      </c>
      <c r="E3922" s="125" t="s">
        <v>284</v>
      </c>
      <c r="F3922" s="126">
        <v>42504.0</v>
      </c>
      <c r="G3922" s="127">
        <v>8.36E8</v>
      </c>
      <c r="H3922" s="126">
        <v>42524.0</v>
      </c>
      <c r="I3922" s="128">
        <v>5267.0</v>
      </c>
      <c r="J3922" s="128">
        <v>421.89</v>
      </c>
      <c r="K3922" s="128">
        <v>364.69</v>
      </c>
      <c r="L3922" s="128">
        <v>2222095.0</v>
      </c>
      <c r="M3922" s="128">
        <v>1920822.0</v>
      </c>
      <c r="N3922" s="128">
        <v>301272.4</v>
      </c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</row>
    <row r="3923">
      <c r="A3923" s="125" t="s">
        <v>466</v>
      </c>
      <c r="B3923" s="125" t="s">
        <v>491</v>
      </c>
      <c r="C3923" s="125" t="s">
        <v>485</v>
      </c>
      <c r="D3923" s="125" t="s">
        <v>454</v>
      </c>
      <c r="E3923" s="125" t="s">
        <v>284</v>
      </c>
      <c r="F3923" s="126">
        <v>42309.0</v>
      </c>
      <c r="G3923" s="127">
        <v>2.34E8</v>
      </c>
      <c r="H3923" s="126">
        <v>42337.0</v>
      </c>
      <c r="I3923" s="128">
        <v>1604.0</v>
      </c>
      <c r="J3923" s="128">
        <v>421.89</v>
      </c>
      <c r="K3923" s="128">
        <v>364.69</v>
      </c>
      <c r="L3923" s="128">
        <v>676711.6</v>
      </c>
      <c r="M3923" s="128">
        <v>584962.8</v>
      </c>
      <c r="N3923" s="128">
        <v>91748.8</v>
      </c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</row>
    <row r="3924">
      <c r="A3924" s="125" t="s">
        <v>451</v>
      </c>
      <c r="B3924" s="125" t="s">
        <v>608</v>
      </c>
      <c r="C3924" s="125" t="s">
        <v>460</v>
      </c>
      <c r="D3924" s="125" t="s">
        <v>454</v>
      </c>
      <c r="E3924" s="125" t="s">
        <v>284</v>
      </c>
      <c r="F3924" s="126">
        <v>40557.0</v>
      </c>
      <c r="G3924" s="127">
        <v>9.42E8</v>
      </c>
      <c r="H3924" s="126">
        <v>40558.0</v>
      </c>
      <c r="I3924" s="128">
        <v>6663.0</v>
      </c>
      <c r="J3924" s="128">
        <v>47.45</v>
      </c>
      <c r="K3924" s="128">
        <v>31.79</v>
      </c>
      <c r="L3924" s="128">
        <v>316159.4</v>
      </c>
      <c r="M3924" s="128">
        <v>211816.8</v>
      </c>
      <c r="N3924" s="128">
        <v>104342.6</v>
      </c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</row>
    <row r="3925">
      <c r="A3925" s="125" t="s">
        <v>451</v>
      </c>
      <c r="B3925" s="125" t="s">
        <v>490</v>
      </c>
      <c r="C3925" s="125" t="s">
        <v>478</v>
      </c>
      <c r="D3925" s="125" t="s">
        <v>454</v>
      </c>
      <c r="E3925" s="125" t="s">
        <v>189</v>
      </c>
      <c r="F3925" s="126">
        <v>41457.0</v>
      </c>
      <c r="G3925" s="127">
        <v>1.99E8</v>
      </c>
      <c r="H3925" s="126">
        <v>41485.0</v>
      </c>
      <c r="I3925" s="128">
        <v>4510.0</v>
      </c>
      <c r="J3925" s="128">
        <v>651.21</v>
      </c>
      <c r="K3925" s="128">
        <v>524.96</v>
      </c>
      <c r="L3925" s="128">
        <v>2936957.0</v>
      </c>
      <c r="M3925" s="128">
        <v>2367570.0</v>
      </c>
      <c r="N3925" s="128">
        <v>569387.5</v>
      </c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</row>
    <row r="3926">
      <c r="A3926" s="125" t="s">
        <v>475</v>
      </c>
      <c r="B3926" s="125" t="s">
        <v>605</v>
      </c>
      <c r="C3926" s="125" t="s">
        <v>478</v>
      </c>
      <c r="D3926" s="125" t="s">
        <v>457</v>
      </c>
      <c r="E3926" s="125" t="s">
        <v>284</v>
      </c>
      <c r="F3926" s="126">
        <v>41311.0</v>
      </c>
      <c r="G3926" s="127">
        <v>2.66E8</v>
      </c>
      <c r="H3926" s="126">
        <v>41315.0</v>
      </c>
      <c r="I3926" s="128">
        <v>1245.0</v>
      </c>
      <c r="J3926" s="128">
        <v>651.21</v>
      </c>
      <c r="K3926" s="128">
        <v>524.96</v>
      </c>
      <c r="L3926" s="128">
        <v>810756.5</v>
      </c>
      <c r="M3926" s="128">
        <v>653575.2</v>
      </c>
      <c r="N3926" s="128">
        <v>157181.3</v>
      </c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</row>
    <row r="3927">
      <c r="A3927" s="125" t="s">
        <v>458</v>
      </c>
      <c r="B3927" s="125" t="s">
        <v>545</v>
      </c>
      <c r="C3927" s="125" t="s">
        <v>478</v>
      </c>
      <c r="D3927" s="125" t="s">
        <v>457</v>
      </c>
      <c r="E3927" s="125" t="s">
        <v>284</v>
      </c>
      <c r="F3927" s="126">
        <v>40956.0</v>
      </c>
      <c r="G3927" s="127">
        <v>7.76E8</v>
      </c>
      <c r="H3927" s="126">
        <v>40973.0</v>
      </c>
      <c r="I3927" s="128">
        <v>9997.0</v>
      </c>
      <c r="J3927" s="128">
        <v>651.21</v>
      </c>
      <c r="K3927" s="128">
        <v>524.96</v>
      </c>
      <c r="L3927" s="128">
        <v>6510146.0</v>
      </c>
      <c r="M3927" s="128">
        <v>5248025.0</v>
      </c>
      <c r="N3927" s="128">
        <v>1262121.0</v>
      </c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</row>
    <row r="3928">
      <c r="A3928" s="125" t="s">
        <v>458</v>
      </c>
      <c r="B3928" s="125" t="s">
        <v>613</v>
      </c>
      <c r="C3928" s="125" t="s">
        <v>485</v>
      </c>
      <c r="D3928" s="125" t="s">
        <v>454</v>
      </c>
      <c r="E3928" s="125" t="s">
        <v>284</v>
      </c>
      <c r="F3928" s="126">
        <v>41622.0</v>
      </c>
      <c r="G3928" s="127">
        <v>9.79E8</v>
      </c>
      <c r="H3928" s="126">
        <v>41638.0</v>
      </c>
      <c r="I3928" s="128">
        <v>5928.0</v>
      </c>
      <c r="J3928" s="128">
        <v>421.89</v>
      </c>
      <c r="K3928" s="128">
        <v>364.69</v>
      </c>
      <c r="L3928" s="128">
        <v>2500964.0</v>
      </c>
      <c r="M3928" s="128">
        <v>2161882.0</v>
      </c>
      <c r="N3928" s="128">
        <v>339081.6</v>
      </c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</row>
    <row r="3929">
      <c r="A3929" s="125" t="s">
        <v>488</v>
      </c>
      <c r="B3929" s="125" t="s">
        <v>577</v>
      </c>
      <c r="C3929" s="125" t="s">
        <v>480</v>
      </c>
      <c r="D3929" s="125" t="s">
        <v>454</v>
      </c>
      <c r="E3929" s="125" t="s">
        <v>464</v>
      </c>
      <c r="F3929" s="126">
        <v>40775.0</v>
      </c>
      <c r="G3929" s="127">
        <v>1.98E8</v>
      </c>
      <c r="H3929" s="126">
        <v>40815.0</v>
      </c>
      <c r="I3929" s="128">
        <v>1230.0</v>
      </c>
      <c r="J3929" s="128">
        <v>437.2</v>
      </c>
      <c r="K3929" s="128">
        <v>263.33</v>
      </c>
      <c r="L3929" s="128">
        <v>537756.0</v>
      </c>
      <c r="M3929" s="128">
        <v>323895.9</v>
      </c>
      <c r="N3929" s="128">
        <v>213860.1</v>
      </c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</row>
    <row r="3930">
      <c r="A3930" s="125" t="s">
        <v>475</v>
      </c>
      <c r="B3930" s="125" t="s">
        <v>521</v>
      </c>
      <c r="C3930" s="125" t="s">
        <v>506</v>
      </c>
      <c r="D3930" s="125" t="s">
        <v>454</v>
      </c>
      <c r="E3930" s="125" t="s">
        <v>284</v>
      </c>
      <c r="F3930" s="126">
        <v>41804.0</v>
      </c>
      <c r="G3930" s="127">
        <v>9.75E8</v>
      </c>
      <c r="H3930" s="126">
        <v>41842.0</v>
      </c>
      <c r="I3930" s="128">
        <v>126.0</v>
      </c>
      <c r="J3930" s="128">
        <v>154.06</v>
      </c>
      <c r="K3930" s="128">
        <v>90.93</v>
      </c>
      <c r="L3930" s="128">
        <v>19411.56</v>
      </c>
      <c r="M3930" s="128">
        <v>11457.18</v>
      </c>
      <c r="N3930" s="128">
        <v>7954.38</v>
      </c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</row>
    <row r="3931">
      <c r="A3931" s="125" t="s">
        <v>461</v>
      </c>
      <c r="B3931" s="125" t="s">
        <v>638</v>
      </c>
      <c r="C3931" s="125" t="s">
        <v>480</v>
      </c>
      <c r="D3931" s="125" t="s">
        <v>457</v>
      </c>
      <c r="E3931" s="125" t="s">
        <v>464</v>
      </c>
      <c r="F3931" s="126">
        <v>41571.0</v>
      </c>
      <c r="G3931" s="127">
        <v>5.22E8</v>
      </c>
      <c r="H3931" s="126">
        <v>41572.0</v>
      </c>
      <c r="I3931" s="128">
        <v>3871.0</v>
      </c>
      <c r="J3931" s="128">
        <v>437.2</v>
      </c>
      <c r="K3931" s="128">
        <v>263.33</v>
      </c>
      <c r="L3931" s="128">
        <v>1692401.0</v>
      </c>
      <c r="M3931" s="128">
        <v>1019350.0</v>
      </c>
      <c r="N3931" s="128">
        <v>673050.8</v>
      </c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</row>
    <row r="3932">
      <c r="A3932" s="125" t="s">
        <v>475</v>
      </c>
      <c r="B3932" s="125" t="s">
        <v>648</v>
      </c>
      <c r="C3932" s="125" t="s">
        <v>514</v>
      </c>
      <c r="D3932" s="125" t="s">
        <v>454</v>
      </c>
      <c r="E3932" s="125" t="s">
        <v>189</v>
      </c>
      <c r="F3932" s="126">
        <v>42861.0</v>
      </c>
      <c r="G3932" s="127">
        <v>1.72E8</v>
      </c>
      <c r="H3932" s="126">
        <v>42895.0</v>
      </c>
      <c r="I3932" s="128">
        <v>5752.0</v>
      </c>
      <c r="J3932" s="128">
        <v>668.27</v>
      </c>
      <c r="K3932" s="128">
        <v>502.54</v>
      </c>
      <c r="L3932" s="128">
        <v>3843889.0</v>
      </c>
      <c r="M3932" s="128">
        <v>2890610.0</v>
      </c>
      <c r="N3932" s="128">
        <v>953279.0</v>
      </c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</row>
    <row r="3933">
      <c r="A3933" s="125" t="s">
        <v>458</v>
      </c>
      <c r="B3933" s="125" t="s">
        <v>641</v>
      </c>
      <c r="C3933" s="125" t="s">
        <v>456</v>
      </c>
      <c r="D3933" s="125" t="s">
        <v>457</v>
      </c>
      <c r="E3933" s="125" t="s">
        <v>189</v>
      </c>
      <c r="F3933" s="126">
        <v>41930.0</v>
      </c>
      <c r="G3933" s="127">
        <v>4.29E8</v>
      </c>
      <c r="H3933" s="126">
        <v>41954.0</v>
      </c>
      <c r="I3933" s="128">
        <v>6086.0</v>
      </c>
      <c r="J3933" s="128">
        <v>152.58</v>
      </c>
      <c r="K3933" s="128">
        <v>97.44</v>
      </c>
      <c r="L3933" s="128">
        <v>928601.9</v>
      </c>
      <c r="M3933" s="128">
        <v>593019.8</v>
      </c>
      <c r="N3933" s="128">
        <v>335582.0</v>
      </c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</row>
    <row r="3934">
      <c r="A3934" s="125" t="s">
        <v>458</v>
      </c>
      <c r="B3934" s="125" t="s">
        <v>518</v>
      </c>
      <c r="C3934" s="125" t="s">
        <v>506</v>
      </c>
      <c r="D3934" s="125" t="s">
        <v>457</v>
      </c>
      <c r="E3934" s="125" t="s">
        <v>464</v>
      </c>
      <c r="F3934" s="126">
        <v>40958.0</v>
      </c>
      <c r="G3934" s="127">
        <v>5.16E8</v>
      </c>
      <c r="H3934" s="126">
        <v>40987.0</v>
      </c>
      <c r="I3934" s="128">
        <v>7222.0</v>
      </c>
      <c r="J3934" s="128">
        <v>154.06</v>
      </c>
      <c r="K3934" s="128">
        <v>90.93</v>
      </c>
      <c r="L3934" s="128">
        <v>1112621.0</v>
      </c>
      <c r="M3934" s="128">
        <v>656696.5</v>
      </c>
      <c r="N3934" s="128">
        <v>455924.9</v>
      </c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</row>
    <row r="3935">
      <c r="A3935" s="125" t="s">
        <v>458</v>
      </c>
      <c r="B3935" s="125" t="s">
        <v>538</v>
      </c>
      <c r="C3935" s="125" t="s">
        <v>463</v>
      </c>
      <c r="D3935" s="125" t="s">
        <v>454</v>
      </c>
      <c r="E3935" s="125" t="s">
        <v>284</v>
      </c>
      <c r="F3935" s="126">
        <v>41128.0</v>
      </c>
      <c r="G3935" s="127">
        <v>6.26E8</v>
      </c>
      <c r="H3935" s="126">
        <v>41167.0</v>
      </c>
      <c r="I3935" s="128">
        <v>8539.0</v>
      </c>
      <c r="J3935" s="128">
        <v>205.7</v>
      </c>
      <c r="K3935" s="128">
        <v>117.11</v>
      </c>
      <c r="L3935" s="128">
        <v>1756472.0</v>
      </c>
      <c r="M3935" s="128">
        <v>1000002.0</v>
      </c>
      <c r="N3935" s="128">
        <v>756470.0</v>
      </c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</row>
    <row r="3936">
      <c r="A3936" s="125" t="s">
        <v>458</v>
      </c>
      <c r="B3936" s="125" t="s">
        <v>459</v>
      </c>
      <c r="C3936" s="125" t="s">
        <v>514</v>
      </c>
      <c r="D3936" s="125" t="s">
        <v>457</v>
      </c>
      <c r="E3936" s="125" t="s">
        <v>472</v>
      </c>
      <c r="F3936" s="126">
        <v>41248.0</v>
      </c>
      <c r="G3936" s="127">
        <v>5.74E8</v>
      </c>
      <c r="H3936" s="126">
        <v>41260.0</v>
      </c>
      <c r="I3936" s="128">
        <v>1448.0</v>
      </c>
      <c r="J3936" s="128">
        <v>668.27</v>
      </c>
      <c r="K3936" s="128">
        <v>502.54</v>
      </c>
      <c r="L3936" s="128">
        <v>967655.0</v>
      </c>
      <c r="M3936" s="128">
        <v>727677.9</v>
      </c>
      <c r="N3936" s="128">
        <v>239977.0</v>
      </c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</row>
    <row r="3937">
      <c r="A3937" s="125" t="s">
        <v>469</v>
      </c>
      <c r="B3937" s="125" t="s">
        <v>495</v>
      </c>
      <c r="C3937" s="125" t="s">
        <v>471</v>
      </c>
      <c r="D3937" s="125" t="s">
        <v>454</v>
      </c>
      <c r="E3937" s="125" t="s">
        <v>284</v>
      </c>
      <c r="F3937" s="126">
        <v>41898.0</v>
      </c>
      <c r="G3937" s="127">
        <v>2.45E8</v>
      </c>
      <c r="H3937" s="126">
        <v>41939.0</v>
      </c>
      <c r="I3937" s="128">
        <v>4393.0</v>
      </c>
      <c r="J3937" s="128">
        <v>109.28</v>
      </c>
      <c r="K3937" s="128">
        <v>35.84</v>
      </c>
      <c r="L3937" s="128">
        <v>480067.0</v>
      </c>
      <c r="M3937" s="128">
        <v>157445.1</v>
      </c>
      <c r="N3937" s="128">
        <v>322621.9</v>
      </c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</row>
    <row r="3938">
      <c r="A3938" s="125" t="s">
        <v>458</v>
      </c>
      <c r="B3938" s="125" t="s">
        <v>533</v>
      </c>
      <c r="C3938" s="125" t="s">
        <v>456</v>
      </c>
      <c r="D3938" s="125" t="s">
        <v>454</v>
      </c>
      <c r="E3938" s="125" t="s">
        <v>189</v>
      </c>
      <c r="F3938" s="126">
        <v>41279.0</v>
      </c>
      <c r="G3938" s="127">
        <v>9.42E8</v>
      </c>
      <c r="H3938" s="126">
        <v>41313.0</v>
      </c>
      <c r="I3938" s="128">
        <v>7846.0</v>
      </c>
      <c r="J3938" s="128">
        <v>152.58</v>
      </c>
      <c r="K3938" s="128">
        <v>97.44</v>
      </c>
      <c r="L3938" s="128">
        <v>1197143.0</v>
      </c>
      <c r="M3938" s="128">
        <v>764514.2</v>
      </c>
      <c r="N3938" s="128">
        <v>432628.4</v>
      </c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</row>
    <row r="3939">
      <c r="A3939" s="125" t="s">
        <v>461</v>
      </c>
      <c r="B3939" s="125" t="s">
        <v>564</v>
      </c>
      <c r="C3939" s="125" t="s">
        <v>506</v>
      </c>
      <c r="D3939" s="125" t="s">
        <v>454</v>
      </c>
      <c r="E3939" s="125" t="s">
        <v>464</v>
      </c>
      <c r="F3939" s="126">
        <v>42133.0</v>
      </c>
      <c r="G3939" s="127">
        <v>4.41E8</v>
      </c>
      <c r="H3939" s="126">
        <v>42171.0</v>
      </c>
      <c r="I3939" s="128">
        <v>9312.0</v>
      </c>
      <c r="J3939" s="128">
        <v>154.06</v>
      </c>
      <c r="K3939" s="128">
        <v>90.93</v>
      </c>
      <c r="L3939" s="128">
        <v>1434607.0</v>
      </c>
      <c r="M3939" s="128">
        <v>846740.2</v>
      </c>
      <c r="N3939" s="128">
        <v>587866.6</v>
      </c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</row>
    <row r="3940">
      <c r="A3940" s="125" t="s">
        <v>466</v>
      </c>
      <c r="B3940" s="125" t="s">
        <v>491</v>
      </c>
      <c r="C3940" s="125" t="s">
        <v>514</v>
      </c>
      <c r="D3940" s="125" t="s">
        <v>457</v>
      </c>
      <c r="E3940" s="125" t="s">
        <v>189</v>
      </c>
      <c r="F3940" s="126">
        <v>42056.0</v>
      </c>
      <c r="G3940" s="127">
        <v>6.38E8</v>
      </c>
      <c r="H3940" s="126">
        <v>42065.0</v>
      </c>
      <c r="I3940" s="128">
        <v>8329.0</v>
      </c>
      <c r="J3940" s="128">
        <v>668.27</v>
      </c>
      <c r="K3940" s="128">
        <v>502.54</v>
      </c>
      <c r="L3940" s="128">
        <v>5566021.0</v>
      </c>
      <c r="M3940" s="128">
        <v>4185656.0</v>
      </c>
      <c r="N3940" s="128">
        <v>1380365.0</v>
      </c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</row>
    <row r="3941">
      <c r="A3941" s="125" t="s">
        <v>458</v>
      </c>
      <c r="B3941" s="125" t="s">
        <v>603</v>
      </c>
      <c r="C3941" s="125" t="s">
        <v>463</v>
      </c>
      <c r="D3941" s="125" t="s">
        <v>457</v>
      </c>
      <c r="E3941" s="125" t="s">
        <v>464</v>
      </c>
      <c r="F3941" s="126">
        <v>40418.0</v>
      </c>
      <c r="G3941" s="127">
        <v>7.98E8</v>
      </c>
      <c r="H3941" s="126">
        <v>40466.0</v>
      </c>
      <c r="I3941" s="128">
        <v>1462.0</v>
      </c>
      <c r="J3941" s="128">
        <v>205.7</v>
      </c>
      <c r="K3941" s="128">
        <v>117.11</v>
      </c>
      <c r="L3941" s="128">
        <v>300733.4</v>
      </c>
      <c r="M3941" s="128">
        <v>171214.8</v>
      </c>
      <c r="N3941" s="128">
        <v>129518.6</v>
      </c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</row>
    <row r="3942">
      <c r="A3942" s="125" t="s">
        <v>461</v>
      </c>
      <c r="B3942" s="125" t="s">
        <v>539</v>
      </c>
      <c r="C3942" s="125" t="s">
        <v>456</v>
      </c>
      <c r="D3942" s="125" t="s">
        <v>454</v>
      </c>
      <c r="E3942" s="125" t="s">
        <v>472</v>
      </c>
      <c r="F3942" s="126">
        <v>42509.0</v>
      </c>
      <c r="G3942" s="127">
        <v>7.06E8</v>
      </c>
      <c r="H3942" s="126">
        <v>42521.0</v>
      </c>
      <c r="I3942" s="128">
        <v>7310.0</v>
      </c>
      <c r="J3942" s="128">
        <v>152.58</v>
      </c>
      <c r="K3942" s="128">
        <v>97.44</v>
      </c>
      <c r="L3942" s="128">
        <v>1115360.0</v>
      </c>
      <c r="M3942" s="128">
        <v>712286.4</v>
      </c>
      <c r="N3942" s="128">
        <v>403073.4</v>
      </c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</row>
    <row r="3943">
      <c r="A3943" s="125" t="s">
        <v>458</v>
      </c>
      <c r="B3943" s="125" t="s">
        <v>493</v>
      </c>
      <c r="C3943" s="125" t="s">
        <v>463</v>
      </c>
      <c r="D3943" s="125" t="s">
        <v>454</v>
      </c>
      <c r="E3943" s="125" t="s">
        <v>284</v>
      </c>
      <c r="F3943" s="126">
        <v>41561.0</v>
      </c>
      <c r="G3943" s="127">
        <v>2.21E8</v>
      </c>
      <c r="H3943" s="126">
        <v>41564.0</v>
      </c>
      <c r="I3943" s="128">
        <v>1504.0</v>
      </c>
      <c r="J3943" s="128">
        <v>205.7</v>
      </c>
      <c r="K3943" s="128">
        <v>117.11</v>
      </c>
      <c r="L3943" s="128">
        <v>309372.8</v>
      </c>
      <c r="M3943" s="128">
        <v>176133.4</v>
      </c>
      <c r="N3943" s="128">
        <v>133239.4</v>
      </c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</row>
    <row r="3944">
      <c r="A3944" s="125" t="s">
        <v>475</v>
      </c>
      <c r="B3944" s="125" t="s">
        <v>552</v>
      </c>
      <c r="C3944" s="125" t="s">
        <v>456</v>
      </c>
      <c r="D3944" s="125" t="s">
        <v>457</v>
      </c>
      <c r="E3944" s="125" t="s">
        <v>472</v>
      </c>
      <c r="F3944" s="126">
        <v>42260.0</v>
      </c>
      <c r="G3944" s="127">
        <v>6.17E8</v>
      </c>
      <c r="H3944" s="126">
        <v>42293.0</v>
      </c>
      <c r="I3944" s="128">
        <v>1705.0</v>
      </c>
      <c r="J3944" s="128">
        <v>152.58</v>
      </c>
      <c r="K3944" s="128">
        <v>97.44</v>
      </c>
      <c r="L3944" s="128">
        <v>260148.9</v>
      </c>
      <c r="M3944" s="128">
        <v>166135.2</v>
      </c>
      <c r="N3944" s="128">
        <v>94013.7</v>
      </c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</row>
    <row r="3945">
      <c r="A3945" s="125" t="s">
        <v>461</v>
      </c>
      <c r="B3945" s="125" t="s">
        <v>629</v>
      </c>
      <c r="C3945" s="125" t="s">
        <v>463</v>
      </c>
      <c r="D3945" s="125" t="s">
        <v>457</v>
      </c>
      <c r="E3945" s="125" t="s">
        <v>189</v>
      </c>
      <c r="F3945" s="126">
        <v>42764.0</v>
      </c>
      <c r="G3945" s="127">
        <v>5.42E8</v>
      </c>
      <c r="H3945" s="126">
        <v>42765.0</v>
      </c>
      <c r="I3945" s="128">
        <v>2605.0</v>
      </c>
      <c r="J3945" s="128">
        <v>205.7</v>
      </c>
      <c r="K3945" s="128">
        <v>117.11</v>
      </c>
      <c r="L3945" s="128">
        <v>535848.5</v>
      </c>
      <c r="M3945" s="128">
        <v>305071.6</v>
      </c>
      <c r="N3945" s="128">
        <v>230777.0</v>
      </c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</row>
    <row r="3946">
      <c r="A3946" s="125" t="s">
        <v>475</v>
      </c>
      <c r="B3946" s="125" t="s">
        <v>562</v>
      </c>
      <c r="C3946" s="125" t="s">
        <v>471</v>
      </c>
      <c r="D3946" s="125" t="s">
        <v>457</v>
      </c>
      <c r="E3946" s="125" t="s">
        <v>284</v>
      </c>
      <c r="F3946" s="126">
        <v>41622.0</v>
      </c>
      <c r="G3946" s="127">
        <v>9.63E8</v>
      </c>
      <c r="H3946" s="126">
        <v>41644.0</v>
      </c>
      <c r="I3946" s="128">
        <v>927.0</v>
      </c>
      <c r="J3946" s="128">
        <v>109.28</v>
      </c>
      <c r="K3946" s="128">
        <v>35.84</v>
      </c>
      <c r="L3946" s="128">
        <v>101302.6</v>
      </c>
      <c r="M3946" s="128">
        <v>33223.68</v>
      </c>
      <c r="N3946" s="128">
        <v>68078.88</v>
      </c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</row>
    <row r="3947">
      <c r="A3947" s="125" t="s">
        <v>488</v>
      </c>
      <c r="B3947" s="125" t="s">
        <v>577</v>
      </c>
      <c r="C3947" s="125" t="s">
        <v>514</v>
      </c>
      <c r="D3947" s="125" t="s">
        <v>454</v>
      </c>
      <c r="E3947" s="125" t="s">
        <v>472</v>
      </c>
      <c r="F3947" s="126">
        <v>41919.0</v>
      </c>
      <c r="G3947" s="127">
        <v>2.17E8</v>
      </c>
      <c r="H3947" s="126">
        <v>41966.0</v>
      </c>
      <c r="I3947" s="128">
        <v>427.0</v>
      </c>
      <c r="J3947" s="128">
        <v>668.27</v>
      </c>
      <c r="K3947" s="128">
        <v>502.54</v>
      </c>
      <c r="L3947" s="128">
        <v>285351.3</v>
      </c>
      <c r="M3947" s="128">
        <v>214584.6</v>
      </c>
      <c r="N3947" s="128">
        <v>70766.71</v>
      </c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</row>
    <row r="3948">
      <c r="A3948" s="125" t="s">
        <v>475</v>
      </c>
      <c r="B3948" s="125" t="s">
        <v>604</v>
      </c>
      <c r="C3948" s="125" t="s">
        <v>485</v>
      </c>
      <c r="D3948" s="125" t="s">
        <v>454</v>
      </c>
      <c r="E3948" s="125" t="s">
        <v>189</v>
      </c>
      <c r="F3948" s="126">
        <v>41600.0</v>
      </c>
      <c r="G3948" s="127">
        <v>7.63E8</v>
      </c>
      <c r="H3948" s="126">
        <v>41642.0</v>
      </c>
      <c r="I3948" s="128">
        <v>6891.0</v>
      </c>
      <c r="J3948" s="128">
        <v>421.89</v>
      </c>
      <c r="K3948" s="128">
        <v>364.69</v>
      </c>
      <c r="L3948" s="128">
        <v>2907244.0</v>
      </c>
      <c r="M3948" s="128">
        <v>2513079.0</v>
      </c>
      <c r="N3948" s="128">
        <v>394165.2</v>
      </c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</row>
    <row r="3949">
      <c r="A3949" s="125" t="s">
        <v>458</v>
      </c>
      <c r="B3949" s="125" t="s">
        <v>643</v>
      </c>
      <c r="C3949" s="125" t="s">
        <v>453</v>
      </c>
      <c r="D3949" s="125" t="s">
        <v>457</v>
      </c>
      <c r="E3949" s="125" t="s">
        <v>464</v>
      </c>
      <c r="F3949" s="126">
        <v>40378.0</v>
      </c>
      <c r="G3949" s="127">
        <v>6.29E8</v>
      </c>
      <c r="H3949" s="126">
        <v>40388.0</v>
      </c>
      <c r="I3949" s="128">
        <v>3135.0</v>
      </c>
      <c r="J3949" s="128">
        <v>255.28</v>
      </c>
      <c r="K3949" s="128">
        <v>159.42</v>
      </c>
      <c r="L3949" s="128">
        <v>800302.8</v>
      </c>
      <c r="M3949" s="128">
        <v>499781.7</v>
      </c>
      <c r="N3949" s="128">
        <v>300521.1</v>
      </c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</row>
    <row r="3950">
      <c r="A3950" s="125" t="s">
        <v>475</v>
      </c>
      <c r="B3950" s="125" t="s">
        <v>570</v>
      </c>
      <c r="C3950" s="125" t="s">
        <v>514</v>
      </c>
      <c r="D3950" s="125" t="s">
        <v>457</v>
      </c>
      <c r="E3950" s="125" t="s">
        <v>464</v>
      </c>
      <c r="F3950" s="126">
        <v>41124.0</v>
      </c>
      <c r="G3950" s="127">
        <v>1.63E8</v>
      </c>
      <c r="H3950" s="126">
        <v>41143.0</v>
      </c>
      <c r="I3950" s="128">
        <v>4010.0</v>
      </c>
      <c r="J3950" s="128">
        <v>668.27</v>
      </c>
      <c r="K3950" s="128">
        <v>502.54</v>
      </c>
      <c r="L3950" s="128">
        <v>2679763.0</v>
      </c>
      <c r="M3950" s="128">
        <v>2015185.0</v>
      </c>
      <c r="N3950" s="128">
        <v>664577.3</v>
      </c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</row>
    <row r="3951">
      <c r="A3951" s="125" t="s">
        <v>466</v>
      </c>
      <c r="B3951" s="125" t="s">
        <v>531</v>
      </c>
      <c r="C3951" s="125" t="s">
        <v>480</v>
      </c>
      <c r="D3951" s="125" t="s">
        <v>457</v>
      </c>
      <c r="E3951" s="125" t="s">
        <v>464</v>
      </c>
      <c r="F3951" s="126">
        <v>40182.0</v>
      </c>
      <c r="G3951" s="127">
        <v>6.84E8</v>
      </c>
      <c r="H3951" s="126">
        <v>40206.0</v>
      </c>
      <c r="I3951" s="128">
        <v>1394.0</v>
      </c>
      <c r="J3951" s="128">
        <v>437.2</v>
      </c>
      <c r="K3951" s="128">
        <v>263.33</v>
      </c>
      <c r="L3951" s="128">
        <v>609456.8</v>
      </c>
      <c r="M3951" s="128">
        <v>367082.0</v>
      </c>
      <c r="N3951" s="128">
        <v>242374.8</v>
      </c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</row>
    <row r="3952">
      <c r="A3952" s="125" t="s">
        <v>458</v>
      </c>
      <c r="B3952" s="125" t="s">
        <v>613</v>
      </c>
      <c r="C3952" s="125" t="s">
        <v>471</v>
      </c>
      <c r="D3952" s="125" t="s">
        <v>457</v>
      </c>
      <c r="E3952" s="125" t="s">
        <v>472</v>
      </c>
      <c r="F3952" s="126">
        <v>42583.0</v>
      </c>
      <c r="G3952" s="127">
        <v>4.31E8</v>
      </c>
      <c r="H3952" s="126">
        <v>42626.0</v>
      </c>
      <c r="I3952" s="128">
        <v>9198.0</v>
      </c>
      <c r="J3952" s="128">
        <v>109.28</v>
      </c>
      <c r="K3952" s="128">
        <v>35.84</v>
      </c>
      <c r="L3952" s="128">
        <v>1005157.0</v>
      </c>
      <c r="M3952" s="128">
        <v>329656.3</v>
      </c>
      <c r="N3952" s="128">
        <v>675501.1</v>
      </c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</row>
    <row r="3953">
      <c r="A3953" s="125" t="s">
        <v>475</v>
      </c>
      <c r="B3953" s="125" t="s">
        <v>574</v>
      </c>
      <c r="C3953" s="125" t="s">
        <v>453</v>
      </c>
      <c r="D3953" s="125" t="s">
        <v>454</v>
      </c>
      <c r="E3953" s="125" t="s">
        <v>189</v>
      </c>
      <c r="F3953" s="126">
        <v>41299.0</v>
      </c>
      <c r="G3953" s="127">
        <v>4.14E8</v>
      </c>
      <c r="H3953" s="126">
        <v>41331.0</v>
      </c>
      <c r="I3953" s="128">
        <v>8366.0</v>
      </c>
      <c r="J3953" s="128">
        <v>255.28</v>
      </c>
      <c r="K3953" s="128">
        <v>159.42</v>
      </c>
      <c r="L3953" s="128">
        <v>2135672.0</v>
      </c>
      <c r="M3953" s="128">
        <v>1333708.0</v>
      </c>
      <c r="N3953" s="128">
        <v>801964.8</v>
      </c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</row>
    <row r="3954">
      <c r="A3954" s="125" t="s">
        <v>475</v>
      </c>
      <c r="B3954" s="125" t="s">
        <v>605</v>
      </c>
      <c r="C3954" s="125" t="s">
        <v>460</v>
      </c>
      <c r="D3954" s="125" t="s">
        <v>457</v>
      </c>
      <c r="E3954" s="125" t="s">
        <v>189</v>
      </c>
      <c r="F3954" s="126">
        <v>40757.0</v>
      </c>
      <c r="G3954" s="127">
        <v>3.62E8</v>
      </c>
      <c r="H3954" s="126">
        <v>40769.0</v>
      </c>
      <c r="I3954" s="128">
        <v>1870.0</v>
      </c>
      <c r="J3954" s="128">
        <v>47.45</v>
      </c>
      <c r="K3954" s="128">
        <v>31.79</v>
      </c>
      <c r="L3954" s="128">
        <v>88731.5</v>
      </c>
      <c r="M3954" s="128">
        <v>59447.3</v>
      </c>
      <c r="N3954" s="128">
        <v>29284.2</v>
      </c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</row>
    <row r="3955">
      <c r="A3955" s="125" t="s">
        <v>451</v>
      </c>
      <c r="B3955" s="125" t="s">
        <v>550</v>
      </c>
      <c r="C3955" s="125" t="s">
        <v>460</v>
      </c>
      <c r="D3955" s="125" t="s">
        <v>454</v>
      </c>
      <c r="E3955" s="125" t="s">
        <v>472</v>
      </c>
      <c r="F3955" s="126">
        <v>41622.0</v>
      </c>
      <c r="G3955" s="127">
        <v>9.75E8</v>
      </c>
      <c r="H3955" s="126">
        <v>41665.0</v>
      </c>
      <c r="I3955" s="128">
        <v>9716.0</v>
      </c>
      <c r="J3955" s="128">
        <v>47.45</v>
      </c>
      <c r="K3955" s="128">
        <v>31.79</v>
      </c>
      <c r="L3955" s="128">
        <v>461024.2</v>
      </c>
      <c r="M3955" s="128">
        <v>308871.6</v>
      </c>
      <c r="N3955" s="128">
        <v>152152.6</v>
      </c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</row>
    <row r="3956">
      <c r="A3956" s="125" t="s">
        <v>461</v>
      </c>
      <c r="B3956" s="125" t="s">
        <v>599</v>
      </c>
      <c r="C3956" s="125" t="s">
        <v>460</v>
      </c>
      <c r="D3956" s="125" t="s">
        <v>454</v>
      </c>
      <c r="E3956" s="125" t="s">
        <v>189</v>
      </c>
      <c r="F3956" s="126">
        <v>42184.0</v>
      </c>
      <c r="G3956" s="127">
        <v>7.74E8</v>
      </c>
      <c r="H3956" s="126">
        <v>42228.0</v>
      </c>
      <c r="I3956" s="128">
        <v>3940.0</v>
      </c>
      <c r="J3956" s="128">
        <v>47.45</v>
      </c>
      <c r="K3956" s="128">
        <v>31.79</v>
      </c>
      <c r="L3956" s="128">
        <v>186953.0</v>
      </c>
      <c r="M3956" s="128">
        <v>125252.6</v>
      </c>
      <c r="N3956" s="128">
        <v>61700.4</v>
      </c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</row>
    <row r="3957">
      <c r="A3957" s="125" t="s">
        <v>475</v>
      </c>
      <c r="B3957" s="125" t="s">
        <v>574</v>
      </c>
      <c r="C3957" s="125" t="s">
        <v>494</v>
      </c>
      <c r="D3957" s="125" t="s">
        <v>454</v>
      </c>
      <c r="E3957" s="125" t="s">
        <v>472</v>
      </c>
      <c r="F3957" s="126">
        <v>42502.0</v>
      </c>
      <c r="G3957" s="127">
        <v>1.49E8</v>
      </c>
      <c r="H3957" s="126">
        <v>42527.0</v>
      </c>
      <c r="I3957" s="128">
        <v>3608.0</v>
      </c>
      <c r="J3957" s="128">
        <v>9.33</v>
      </c>
      <c r="K3957" s="128">
        <v>6.92</v>
      </c>
      <c r="L3957" s="128">
        <v>33662.64</v>
      </c>
      <c r="M3957" s="128">
        <v>24967.36</v>
      </c>
      <c r="N3957" s="128">
        <v>8695.28</v>
      </c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</row>
    <row r="3958">
      <c r="A3958" s="125" t="s">
        <v>475</v>
      </c>
      <c r="B3958" s="125" t="s">
        <v>572</v>
      </c>
      <c r="C3958" s="125" t="s">
        <v>468</v>
      </c>
      <c r="D3958" s="125" t="s">
        <v>454</v>
      </c>
      <c r="E3958" s="125" t="s">
        <v>189</v>
      </c>
      <c r="F3958" s="126">
        <v>40261.0</v>
      </c>
      <c r="G3958" s="127">
        <v>9.11E8</v>
      </c>
      <c r="H3958" s="126">
        <v>40271.0</v>
      </c>
      <c r="I3958" s="128">
        <v>9821.0</v>
      </c>
      <c r="J3958" s="128">
        <v>81.73</v>
      </c>
      <c r="K3958" s="128">
        <v>56.67</v>
      </c>
      <c r="L3958" s="128">
        <v>802670.3</v>
      </c>
      <c r="M3958" s="128">
        <v>556556.1</v>
      </c>
      <c r="N3958" s="128">
        <v>246114.3</v>
      </c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</row>
    <row r="3959">
      <c r="A3959" s="125" t="s">
        <v>458</v>
      </c>
      <c r="B3959" s="125" t="s">
        <v>626</v>
      </c>
      <c r="C3959" s="125" t="s">
        <v>453</v>
      </c>
      <c r="D3959" s="125" t="s">
        <v>454</v>
      </c>
      <c r="E3959" s="125" t="s">
        <v>472</v>
      </c>
      <c r="F3959" s="126">
        <v>40448.0</v>
      </c>
      <c r="G3959" s="127">
        <v>4.42E8</v>
      </c>
      <c r="H3959" s="126">
        <v>40459.0</v>
      </c>
      <c r="I3959" s="128">
        <v>707.0</v>
      </c>
      <c r="J3959" s="128">
        <v>255.28</v>
      </c>
      <c r="K3959" s="128">
        <v>159.42</v>
      </c>
      <c r="L3959" s="128">
        <v>180483.0</v>
      </c>
      <c r="M3959" s="128">
        <v>112709.9</v>
      </c>
      <c r="N3959" s="128">
        <v>67773.02</v>
      </c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</row>
    <row r="3960">
      <c r="A3960" s="125" t="s">
        <v>461</v>
      </c>
      <c r="B3960" s="125" t="s">
        <v>638</v>
      </c>
      <c r="C3960" s="125" t="s">
        <v>494</v>
      </c>
      <c r="D3960" s="125" t="s">
        <v>454</v>
      </c>
      <c r="E3960" s="125" t="s">
        <v>189</v>
      </c>
      <c r="F3960" s="126">
        <v>42909.0</v>
      </c>
      <c r="G3960" s="127">
        <v>2.44E8</v>
      </c>
      <c r="H3960" s="126">
        <v>42911.0</v>
      </c>
      <c r="I3960" s="128">
        <v>6428.0</v>
      </c>
      <c r="J3960" s="128">
        <v>9.33</v>
      </c>
      <c r="K3960" s="128">
        <v>6.92</v>
      </c>
      <c r="L3960" s="128">
        <v>59973.24</v>
      </c>
      <c r="M3960" s="128">
        <v>44481.76</v>
      </c>
      <c r="N3960" s="128">
        <v>15491.48</v>
      </c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</row>
    <row r="3961">
      <c r="A3961" s="125" t="s">
        <v>475</v>
      </c>
      <c r="B3961" s="125" t="s">
        <v>591</v>
      </c>
      <c r="C3961" s="125" t="s">
        <v>453</v>
      </c>
      <c r="D3961" s="125" t="s">
        <v>457</v>
      </c>
      <c r="E3961" s="125" t="s">
        <v>189</v>
      </c>
      <c r="F3961" s="126">
        <v>40961.0</v>
      </c>
      <c r="G3961" s="127">
        <v>9.87E8</v>
      </c>
      <c r="H3961" s="126">
        <v>41008.0</v>
      </c>
      <c r="I3961" s="128">
        <v>4175.0</v>
      </c>
      <c r="J3961" s="128">
        <v>255.28</v>
      </c>
      <c r="K3961" s="128">
        <v>159.42</v>
      </c>
      <c r="L3961" s="128">
        <v>1065794.0</v>
      </c>
      <c r="M3961" s="128">
        <v>665578.5</v>
      </c>
      <c r="N3961" s="128">
        <v>400215.5</v>
      </c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</row>
    <row r="3962">
      <c r="A3962" s="125" t="s">
        <v>475</v>
      </c>
      <c r="B3962" s="125" t="s">
        <v>588</v>
      </c>
      <c r="C3962" s="125" t="s">
        <v>453</v>
      </c>
      <c r="D3962" s="125" t="s">
        <v>457</v>
      </c>
      <c r="E3962" s="125" t="s">
        <v>189</v>
      </c>
      <c r="F3962" s="126">
        <v>42142.0</v>
      </c>
      <c r="G3962" s="127">
        <v>2.65E8</v>
      </c>
      <c r="H3962" s="126">
        <v>42161.0</v>
      </c>
      <c r="I3962" s="128">
        <v>3174.0</v>
      </c>
      <c r="J3962" s="128">
        <v>255.28</v>
      </c>
      <c r="K3962" s="128">
        <v>159.42</v>
      </c>
      <c r="L3962" s="128">
        <v>810258.7</v>
      </c>
      <c r="M3962" s="128">
        <v>505999.1</v>
      </c>
      <c r="N3962" s="128">
        <v>304259.6</v>
      </c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</row>
    <row r="3963">
      <c r="A3963" s="125" t="s">
        <v>451</v>
      </c>
      <c r="B3963" s="125" t="s">
        <v>655</v>
      </c>
      <c r="C3963" s="125" t="s">
        <v>456</v>
      </c>
      <c r="D3963" s="125" t="s">
        <v>454</v>
      </c>
      <c r="E3963" s="125" t="s">
        <v>472</v>
      </c>
      <c r="F3963" s="126">
        <v>41933.0</v>
      </c>
      <c r="G3963" s="127">
        <v>2.39E8</v>
      </c>
      <c r="H3963" s="126">
        <v>41970.0</v>
      </c>
      <c r="I3963" s="128">
        <v>9678.0</v>
      </c>
      <c r="J3963" s="128">
        <v>152.58</v>
      </c>
      <c r="K3963" s="128">
        <v>97.44</v>
      </c>
      <c r="L3963" s="128">
        <v>1476669.0</v>
      </c>
      <c r="M3963" s="128">
        <v>943024.3</v>
      </c>
      <c r="N3963" s="128">
        <v>533644.9</v>
      </c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</row>
    <row r="3964">
      <c r="A3964" s="125" t="s">
        <v>461</v>
      </c>
      <c r="B3964" s="125" t="s">
        <v>629</v>
      </c>
      <c r="C3964" s="125" t="s">
        <v>456</v>
      </c>
      <c r="D3964" s="125" t="s">
        <v>457</v>
      </c>
      <c r="E3964" s="125" t="s">
        <v>472</v>
      </c>
      <c r="F3964" s="126">
        <v>41733.0</v>
      </c>
      <c r="G3964" s="127">
        <v>8.94E8</v>
      </c>
      <c r="H3964" s="126">
        <v>41760.0</v>
      </c>
      <c r="I3964" s="128">
        <v>1975.0</v>
      </c>
      <c r="J3964" s="128">
        <v>152.58</v>
      </c>
      <c r="K3964" s="128">
        <v>97.44</v>
      </c>
      <c r="L3964" s="128">
        <v>301345.5</v>
      </c>
      <c r="M3964" s="128">
        <v>192444.0</v>
      </c>
      <c r="N3964" s="128">
        <v>108901.5</v>
      </c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</row>
    <row r="3965">
      <c r="A3965" s="125" t="s">
        <v>461</v>
      </c>
      <c r="B3965" s="125" t="s">
        <v>462</v>
      </c>
      <c r="C3965" s="125" t="s">
        <v>468</v>
      </c>
      <c r="D3965" s="125" t="s">
        <v>454</v>
      </c>
      <c r="E3965" s="125" t="s">
        <v>464</v>
      </c>
      <c r="F3965" s="126">
        <v>41949.0</v>
      </c>
      <c r="G3965" s="127">
        <v>4.81E8</v>
      </c>
      <c r="H3965" s="126">
        <v>41952.0</v>
      </c>
      <c r="I3965" s="128">
        <v>5380.0</v>
      </c>
      <c r="J3965" s="128">
        <v>81.73</v>
      </c>
      <c r="K3965" s="128">
        <v>56.67</v>
      </c>
      <c r="L3965" s="128">
        <v>439707.4</v>
      </c>
      <c r="M3965" s="128">
        <v>304884.6</v>
      </c>
      <c r="N3965" s="128">
        <v>134822.8</v>
      </c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</row>
    <row r="3966">
      <c r="A3966" s="125" t="s">
        <v>451</v>
      </c>
      <c r="B3966" s="125" t="s">
        <v>497</v>
      </c>
      <c r="C3966" s="125" t="s">
        <v>506</v>
      </c>
      <c r="D3966" s="125" t="s">
        <v>457</v>
      </c>
      <c r="E3966" s="125" t="s">
        <v>464</v>
      </c>
      <c r="F3966" s="126">
        <v>40610.0</v>
      </c>
      <c r="G3966" s="127">
        <v>4.75E8</v>
      </c>
      <c r="H3966" s="126">
        <v>40659.0</v>
      </c>
      <c r="I3966" s="128">
        <v>7243.0</v>
      </c>
      <c r="J3966" s="128">
        <v>154.06</v>
      </c>
      <c r="K3966" s="128">
        <v>90.93</v>
      </c>
      <c r="L3966" s="128">
        <v>1115857.0</v>
      </c>
      <c r="M3966" s="128">
        <v>658606.0</v>
      </c>
      <c r="N3966" s="128">
        <v>457250.6</v>
      </c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</row>
    <row r="3967">
      <c r="A3967" s="125" t="s">
        <v>475</v>
      </c>
      <c r="B3967" s="125" t="s">
        <v>623</v>
      </c>
      <c r="C3967" s="125" t="s">
        <v>478</v>
      </c>
      <c r="D3967" s="125" t="s">
        <v>457</v>
      </c>
      <c r="E3967" s="125" t="s">
        <v>284</v>
      </c>
      <c r="F3967" s="126">
        <v>40285.0</v>
      </c>
      <c r="G3967" s="127">
        <v>6.2E8</v>
      </c>
      <c r="H3967" s="126">
        <v>40314.0</v>
      </c>
      <c r="I3967" s="128">
        <v>1944.0</v>
      </c>
      <c r="J3967" s="128">
        <v>651.21</v>
      </c>
      <c r="K3967" s="128">
        <v>524.96</v>
      </c>
      <c r="L3967" s="128">
        <v>1265952.0</v>
      </c>
      <c r="M3967" s="128">
        <v>1020522.0</v>
      </c>
      <c r="N3967" s="128">
        <v>245430.0</v>
      </c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</row>
    <row r="3968">
      <c r="A3968" s="125" t="s">
        <v>466</v>
      </c>
      <c r="B3968" s="125" t="s">
        <v>580</v>
      </c>
      <c r="C3968" s="125" t="s">
        <v>460</v>
      </c>
      <c r="D3968" s="125" t="s">
        <v>457</v>
      </c>
      <c r="E3968" s="125" t="s">
        <v>189</v>
      </c>
      <c r="F3968" s="126">
        <v>41162.0</v>
      </c>
      <c r="G3968" s="127">
        <v>2.78E8</v>
      </c>
      <c r="H3968" s="126">
        <v>41187.0</v>
      </c>
      <c r="I3968" s="128">
        <v>5893.0</v>
      </c>
      <c r="J3968" s="128">
        <v>47.45</v>
      </c>
      <c r="K3968" s="128">
        <v>31.79</v>
      </c>
      <c r="L3968" s="128">
        <v>279622.9</v>
      </c>
      <c r="M3968" s="128">
        <v>187338.5</v>
      </c>
      <c r="N3968" s="128">
        <v>92284.38</v>
      </c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</row>
    <row r="3969">
      <c r="A3969" s="125" t="s">
        <v>461</v>
      </c>
      <c r="B3969" s="125" t="s">
        <v>586</v>
      </c>
      <c r="C3969" s="125" t="s">
        <v>463</v>
      </c>
      <c r="D3969" s="125" t="s">
        <v>457</v>
      </c>
      <c r="E3969" s="125" t="s">
        <v>464</v>
      </c>
      <c r="F3969" s="126">
        <v>42440.0</v>
      </c>
      <c r="G3969" s="127">
        <v>6.85E8</v>
      </c>
      <c r="H3969" s="126">
        <v>42446.0</v>
      </c>
      <c r="I3969" s="128">
        <v>2534.0</v>
      </c>
      <c r="J3969" s="128">
        <v>205.7</v>
      </c>
      <c r="K3969" s="128">
        <v>117.11</v>
      </c>
      <c r="L3969" s="128">
        <v>521243.8</v>
      </c>
      <c r="M3969" s="128">
        <v>296756.7</v>
      </c>
      <c r="N3969" s="128">
        <v>224487.1</v>
      </c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</row>
    <row r="3970">
      <c r="A3970" s="125" t="s">
        <v>469</v>
      </c>
      <c r="B3970" s="125" t="s">
        <v>503</v>
      </c>
      <c r="C3970" s="125" t="s">
        <v>456</v>
      </c>
      <c r="D3970" s="125" t="s">
        <v>454</v>
      </c>
      <c r="E3970" s="125" t="s">
        <v>472</v>
      </c>
      <c r="F3970" s="126">
        <v>40937.0</v>
      </c>
      <c r="G3970" s="127">
        <v>8.96E8</v>
      </c>
      <c r="H3970" s="126">
        <v>40942.0</v>
      </c>
      <c r="I3970" s="128">
        <v>7340.0</v>
      </c>
      <c r="J3970" s="128">
        <v>152.58</v>
      </c>
      <c r="K3970" s="128">
        <v>97.44</v>
      </c>
      <c r="L3970" s="128">
        <v>1119937.0</v>
      </c>
      <c r="M3970" s="128">
        <v>715209.6</v>
      </c>
      <c r="N3970" s="128">
        <v>404727.6</v>
      </c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</row>
    <row r="3971">
      <c r="A3971" s="125" t="s">
        <v>475</v>
      </c>
      <c r="B3971" s="125" t="s">
        <v>507</v>
      </c>
      <c r="C3971" s="125" t="s">
        <v>480</v>
      </c>
      <c r="D3971" s="125" t="s">
        <v>454</v>
      </c>
      <c r="E3971" s="125" t="s">
        <v>189</v>
      </c>
      <c r="F3971" s="126">
        <v>40776.0</v>
      </c>
      <c r="G3971" s="127">
        <v>9.36E8</v>
      </c>
      <c r="H3971" s="126">
        <v>40820.0</v>
      </c>
      <c r="I3971" s="128">
        <v>2815.0</v>
      </c>
      <c r="J3971" s="128">
        <v>437.2</v>
      </c>
      <c r="K3971" s="128">
        <v>263.33</v>
      </c>
      <c r="L3971" s="128">
        <v>1230718.0</v>
      </c>
      <c r="M3971" s="128">
        <v>741274.0</v>
      </c>
      <c r="N3971" s="128">
        <v>489444.1</v>
      </c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</row>
    <row r="3972">
      <c r="A3972" s="125" t="s">
        <v>461</v>
      </c>
      <c r="B3972" s="125" t="s">
        <v>586</v>
      </c>
      <c r="C3972" s="125" t="s">
        <v>456</v>
      </c>
      <c r="D3972" s="125" t="s">
        <v>454</v>
      </c>
      <c r="E3972" s="125" t="s">
        <v>189</v>
      </c>
      <c r="F3972" s="126">
        <v>40939.0</v>
      </c>
      <c r="G3972" s="127">
        <v>4.49E8</v>
      </c>
      <c r="H3972" s="126">
        <v>40943.0</v>
      </c>
      <c r="I3972" s="128">
        <v>3496.0</v>
      </c>
      <c r="J3972" s="128">
        <v>152.58</v>
      </c>
      <c r="K3972" s="128">
        <v>97.44</v>
      </c>
      <c r="L3972" s="128">
        <v>533419.7</v>
      </c>
      <c r="M3972" s="128">
        <v>340650.2</v>
      </c>
      <c r="N3972" s="128">
        <v>192769.4</v>
      </c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</row>
    <row r="3973">
      <c r="A3973" s="125" t="s">
        <v>466</v>
      </c>
      <c r="B3973" s="125" t="s">
        <v>568</v>
      </c>
      <c r="C3973" s="125" t="s">
        <v>456</v>
      </c>
      <c r="D3973" s="125" t="s">
        <v>457</v>
      </c>
      <c r="E3973" s="125" t="s">
        <v>189</v>
      </c>
      <c r="F3973" s="126">
        <v>42176.0</v>
      </c>
      <c r="G3973" s="127">
        <v>9.52E8</v>
      </c>
      <c r="H3973" s="126">
        <v>42186.0</v>
      </c>
      <c r="I3973" s="128">
        <v>950.0</v>
      </c>
      <c r="J3973" s="128">
        <v>152.58</v>
      </c>
      <c r="K3973" s="128">
        <v>97.44</v>
      </c>
      <c r="L3973" s="128">
        <v>144951.0</v>
      </c>
      <c r="M3973" s="128">
        <v>92568.0</v>
      </c>
      <c r="N3973" s="128">
        <v>52383.0</v>
      </c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</row>
    <row r="3974">
      <c r="A3974" s="125" t="s">
        <v>461</v>
      </c>
      <c r="B3974" s="125" t="s">
        <v>581</v>
      </c>
      <c r="C3974" s="125" t="s">
        <v>514</v>
      </c>
      <c r="D3974" s="125" t="s">
        <v>457</v>
      </c>
      <c r="E3974" s="125" t="s">
        <v>284</v>
      </c>
      <c r="F3974" s="126">
        <v>42864.0</v>
      </c>
      <c r="G3974" s="127">
        <v>8.81E8</v>
      </c>
      <c r="H3974" s="126">
        <v>42911.0</v>
      </c>
      <c r="I3974" s="128">
        <v>8776.0</v>
      </c>
      <c r="J3974" s="128">
        <v>668.27</v>
      </c>
      <c r="K3974" s="128">
        <v>502.54</v>
      </c>
      <c r="L3974" s="128">
        <v>5864738.0</v>
      </c>
      <c r="M3974" s="128">
        <v>4410291.0</v>
      </c>
      <c r="N3974" s="128">
        <v>1454446.0</v>
      </c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</row>
    <row r="3975">
      <c r="A3975" s="125" t="s">
        <v>458</v>
      </c>
      <c r="B3975" s="125" t="s">
        <v>486</v>
      </c>
      <c r="C3975" s="125" t="s">
        <v>480</v>
      </c>
      <c r="D3975" s="125" t="s">
        <v>457</v>
      </c>
      <c r="E3975" s="125" t="s">
        <v>464</v>
      </c>
      <c r="F3975" s="126">
        <v>40383.0</v>
      </c>
      <c r="G3975" s="127">
        <v>5.41E8</v>
      </c>
      <c r="H3975" s="126">
        <v>40422.0</v>
      </c>
      <c r="I3975" s="128">
        <v>7604.0</v>
      </c>
      <c r="J3975" s="128">
        <v>437.2</v>
      </c>
      <c r="K3975" s="128">
        <v>263.33</v>
      </c>
      <c r="L3975" s="128">
        <v>3324469.0</v>
      </c>
      <c r="M3975" s="128">
        <v>2002361.0</v>
      </c>
      <c r="N3975" s="128">
        <v>1322107.0</v>
      </c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</row>
    <row r="3976">
      <c r="A3976" s="125" t="s">
        <v>469</v>
      </c>
      <c r="B3976" s="125" t="s">
        <v>634</v>
      </c>
      <c r="C3976" s="125" t="s">
        <v>514</v>
      </c>
      <c r="D3976" s="125" t="s">
        <v>454</v>
      </c>
      <c r="E3976" s="125" t="s">
        <v>189</v>
      </c>
      <c r="F3976" s="126">
        <v>40802.0</v>
      </c>
      <c r="G3976" s="127">
        <v>7.6E8</v>
      </c>
      <c r="H3976" s="126">
        <v>40825.0</v>
      </c>
      <c r="I3976" s="128">
        <v>95.0</v>
      </c>
      <c r="J3976" s="128">
        <v>668.27</v>
      </c>
      <c r="K3976" s="128">
        <v>502.54</v>
      </c>
      <c r="L3976" s="128">
        <v>63485.65</v>
      </c>
      <c r="M3976" s="128">
        <v>47741.3</v>
      </c>
      <c r="N3976" s="128">
        <v>15744.35</v>
      </c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</row>
    <row r="3977">
      <c r="A3977" s="125" t="s">
        <v>475</v>
      </c>
      <c r="B3977" s="125" t="s">
        <v>528</v>
      </c>
      <c r="C3977" s="125" t="s">
        <v>460</v>
      </c>
      <c r="D3977" s="125" t="s">
        <v>457</v>
      </c>
      <c r="E3977" s="125" t="s">
        <v>472</v>
      </c>
      <c r="F3977" s="126">
        <v>40897.0</v>
      </c>
      <c r="G3977" s="127">
        <v>6.34E8</v>
      </c>
      <c r="H3977" s="126">
        <v>40921.0</v>
      </c>
      <c r="I3977" s="128">
        <v>5941.0</v>
      </c>
      <c r="J3977" s="128">
        <v>47.45</v>
      </c>
      <c r="K3977" s="128">
        <v>31.79</v>
      </c>
      <c r="L3977" s="128">
        <v>281900.5</v>
      </c>
      <c r="M3977" s="128">
        <v>188864.4</v>
      </c>
      <c r="N3977" s="128">
        <v>93036.06</v>
      </c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</row>
    <row r="3978">
      <c r="A3978" s="125" t="s">
        <v>451</v>
      </c>
      <c r="B3978" s="125" t="s">
        <v>609</v>
      </c>
      <c r="C3978" s="125" t="s">
        <v>463</v>
      </c>
      <c r="D3978" s="125" t="s">
        <v>457</v>
      </c>
      <c r="E3978" s="125" t="s">
        <v>464</v>
      </c>
      <c r="F3978" s="126">
        <v>40599.0</v>
      </c>
      <c r="G3978" s="127">
        <v>6.81E8</v>
      </c>
      <c r="H3978" s="126">
        <v>40631.0</v>
      </c>
      <c r="I3978" s="128">
        <v>6866.0</v>
      </c>
      <c r="J3978" s="128">
        <v>205.7</v>
      </c>
      <c r="K3978" s="128">
        <v>117.11</v>
      </c>
      <c r="L3978" s="128">
        <v>1412336.0</v>
      </c>
      <c r="M3978" s="128">
        <v>804077.3</v>
      </c>
      <c r="N3978" s="128">
        <v>608258.9</v>
      </c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</row>
    <row r="3979">
      <c r="A3979" s="125" t="s">
        <v>466</v>
      </c>
      <c r="B3979" s="125" t="s">
        <v>534</v>
      </c>
      <c r="C3979" s="125" t="s">
        <v>514</v>
      </c>
      <c r="D3979" s="125" t="s">
        <v>457</v>
      </c>
      <c r="E3979" s="125" t="s">
        <v>284</v>
      </c>
      <c r="F3979" s="126">
        <v>41611.0</v>
      </c>
      <c r="G3979" s="127">
        <v>5.89E8</v>
      </c>
      <c r="H3979" s="126">
        <v>41634.0</v>
      </c>
      <c r="I3979" s="128">
        <v>1625.0</v>
      </c>
      <c r="J3979" s="128">
        <v>668.27</v>
      </c>
      <c r="K3979" s="128">
        <v>502.54</v>
      </c>
      <c r="L3979" s="128">
        <v>1085939.0</v>
      </c>
      <c r="M3979" s="128">
        <v>816627.5</v>
      </c>
      <c r="N3979" s="128">
        <v>269311.3</v>
      </c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</row>
    <row r="3980">
      <c r="A3980" s="125" t="s">
        <v>458</v>
      </c>
      <c r="B3980" s="125" t="s">
        <v>627</v>
      </c>
      <c r="C3980" s="125" t="s">
        <v>471</v>
      </c>
      <c r="D3980" s="125" t="s">
        <v>457</v>
      </c>
      <c r="E3980" s="125" t="s">
        <v>284</v>
      </c>
      <c r="F3980" s="126">
        <v>40493.0</v>
      </c>
      <c r="G3980" s="127">
        <v>5.64E8</v>
      </c>
      <c r="H3980" s="126">
        <v>40531.0</v>
      </c>
      <c r="I3980" s="128">
        <v>1004.0</v>
      </c>
      <c r="J3980" s="128">
        <v>109.28</v>
      </c>
      <c r="K3980" s="128">
        <v>35.84</v>
      </c>
      <c r="L3980" s="128">
        <v>109717.1</v>
      </c>
      <c r="M3980" s="128">
        <v>35983.36</v>
      </c>
      <c r="N3980" s="128">
        <v>73733.76</v>
      </c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</row>
    <row r="3981">
      <c r="A3981" s="125" t="s">
        <v>488</v>
      </c>
      <c r="B3981" s="125" t="s">
        <v>645</v>
      </c>
      <c r="C3981" s="125" t="s">
        <v>514</v>
      </c>
      <c r="D3981" s="125" t="s">
        <v>454</v>
      </c>
      <c r="E3981" s="125" t="s">
        <v>464</v>
      </c>
      <c r="F3981" s="126">
        <v>41110.0</v>
      </c>
      <c r="G3981" s="127">
        <v>8.86E8</v>
      </c>
      <c r="H3981" s="126">
        <v>41115.0</v>
      </c>
      <c r="I3981" s="128">
        <v>2819.0</v>
      </c>
      <c r="J3981" s="128">
        <v>668.27</v>
      </c>
      <c r="K3981" s="128">
        <v>502.54</v>
      </c>
      <c r="L3981" s="128">
        <v>1883853.0</v>
      </c>
      <c r="M3981" s="128">
        <v>1416660.0</v>
      </c>
      <c r="N3981" s="128">
        <v>467192.9</v>
      </c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</row>
    <row r="3982">
      <c r="A3982" s="125" t="s">
        <v>475</v>
      </c>
      <c r="B3982" s="125" t="s">
        <v>591</v>
      </c>
      <c r="C3982" s="125" t="s">
        <v>506</v>
      </c>
      <c r="D3982" s="125" t="s">
        <v>457</v>
      </c>
      <c r="E3982" s="125" t="s">
        <v>284</v>
      </c>
      <c r="F3982" s="126">
        <v>42181.0</v>
      </c>
      <c r="G3982" s="127">
        <v>5.52E8</v>
      </c>
      <c r="H3982" s="126">
        <v>42198.0</v>
      </c>
      <c r="I3982" s="128">
        <v>6921.0</v>
      </c>
      <c r="J3982" s="128">
        <v>154.06</v>
      </c>
      <c r="K3982" s="128">
        <v>90.93</v>
      </c>
      <c r="L3982" s="128">
        <v>1066249.0</v>
      </c>
      <c r="M3982" s="128">
        <v>629326.5</v>
      </c>
      <c r="N3982" s="128">
        <v>436922.7</v>
      </c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</row>
    <row r="3983">
      <c r="A3983" s="125" t="s">
        <v>475</v>
      </c>
      <c r="B3983" s="125" t="s">
        <v>558</v>
      </c>
      <c r="C3983" s="125" t="s">
        <v>460</v>
      </c>
      <c r="D3983" s="125" t="s">
        <v>457</v>
      </c>
      <c r="E3983" s="125" t="s">
        <v>472</v>
      </c>
      <c r="F3983" s="126">
        <v>41435.0</v>
      </c>
      <c r="G3983" s="127">
        <v>4.32E8</v>
      </c>
      <c r="H3983" s="126">
        <v>41439.0</v>
      </c>
      <c r="I3983" s="128">
        <v>189.0</v>
      </c>
      <c r="J3983" s="128">
        <v>47.45</v>
      </c>
      <c r="K3983" s="128">
        <v>31.79</v>
      </c>
      <c r="L3983" s="128">
        <v>8968.05</v>
      </c>
      <c r="M3983" s="128">
        <v>6008.31</v>
      </c>
      <c r="N3983" s="128">
        <v>2959.74</v>
      </c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</row>
    <row r="3984">
      <c r="A3984" s="125" t="s">
        <v>475</v>
      </c>
      <c r="B3984" s="125" t="s">
        <v>507</v>
      </c>
      <c r="C3984" s="125" t="s">
        <v>480</v>
      </c>
      <c r="D3984" s="125" t="s">
        <v>454</v>
      </c>
      <c r="E3984" s="125" t="s">
        <v>472</v>
      </c>
      <c r="F3984" s="126">
        <v>42519.0</v>
      </c>
      <c r="G3984" s="127">
        <v>1.14E8</v>
      </c>
      <c r="H3984" s="126">
        <v>42527.0</v>
      </c>
      <c r="I3984" s="128">
        <v>1534.0</v>
      </c>
      <c r="J3984" s="128">
        <v>437.2</v>
      </c>
      <c r="K3984" s="128">
        <v>263.33</v>
      </c>
      <c r="L3984" s="128">
        <v>670664.8</v>
      </c>
      <c r="M3984" s="128">
        <v>403948.2</v>
      </c>
      <c r="N3984" s="128">
        <v>266716.6</v>
      </c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</row>
    <row r="3985">
      <c r="A3985" s="125" t="s">
        <v>488</v>
      </c>
      <c r="B3985" s="125" t="s">
        <v>577</v>
      </c>
      <c r="C3985" s="125" t="s">
        <v>480</v>
      </c>
      <c r="D3985" s="125" t="s">
        <v>457</v>
      </c>
      <c r="E3985" s="125" t="s">
        <v>472</v>
      </c>
      <c r="F3985" s="126">
        <v>42555.0</v>
      </c>
      <c r="G3985" s="127">
        <v>1.59E8</v>
      </c>
      <c r="H3985" s="126">
        <v>42568.0</v>
      </c>
      <c r="I3985" s="128">
        <v>6897.0</v>
      </c>
      <c r="J3985" s="128">
        <v>437.2</v>
      </c>
      <c r="K3985" s="128">
        <v>263.33</v>
      </c>
      <c r="L3985" s="128">
        <v>3015368.0</v>
      </c>
      <c r="M3985" s="128">
        <v>1816187.0</v>
      </c>
      <c r="N3985" s="128">
        <v>1199181.0</v>
      </c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</row>
    <row r="3986">
      <c r="A3986" s="125" t="s">
        <v>461</v>
      </c>
      <c r="B3986" s="125" t="s">
        <v>525</v>
      </c>
      <c r="C3986" s="125" t="s">
        <v>468</v>
      </c>
      <c r="D3986" s="125" t="s">
        <v>457</v>
      </c>
      <c r="E3986" s="125" t="s">
        <v>189</v>
      </c>
      <c r="F3986" s="126">
        <v>41819.0</v>
      </c>
      <c r="G3986" s="127">
        <v>7.45E8</v>
      </c>
      <c r="H3986" s="126">
        <v>41831.0</v>
      </c>
      <c r="I3986" s="128">
        <v>4254.0</v>
      </c>
      <c r="J3986" s="128">
        <v>81.73</v>
      </c>
      <c r="K3986" s="128">
        <v>56.67</v>
      </c>
      <c r="L3986" s="128">
        <v>347679.4</v>
      </c>
      <c r="M3986" s="128">
        <v>241074.2</v>
      </c>
      <c r="N3986" s="128">
        <v>106605.2</v>
      </c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</row>
    <row r="3987">
      <c r="A3987" s="125" t="s">
        <v>458</v>
      </c>
      <c r="B3987" s="125" t="s">
        <v>486</v>
      </c>
      <c r="C3987" s="125" t="s">
        <v>463</v>
      </c>
      <c r="D3987" s="125" t="s">
        <v>454</v>
      </c>
      <c r="E3987" s="125" t="s">
        <v>472</v>
      </c>
      <c r="F3987" s="126">
        <v>42362.0</v>
      </c>
      <c r="G3987" s="127">
        <v>3.23E8</v>
      </c>
      <c r="H3987" s="126">
        <v>42402.0</v>
      </c>
      <c r="I3987" s="128">
        <v>8609.0</v>
      </c>
      <c r="J3987" s="128">
        <v>205.7</v>
      </c>
      <c r="K3987" s="128">
        <v>117.11</v>
      </c>
      <c r="L3987" s="128">
        <v>1770871.0</v>
      </c>
      <c r="M3987" s="128">
        <v>1008200.0</v>
      </c>
      <c r="N3987" s="128">
        <v>762671.3</v>
      </c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</row>
    <row r="3988">
      <c r="A3988" s="125" t="s">
        <v>466</v>
      </c>
      <c r="B3988" s="125" t="s">
        <v>477</v>
      </c>
      <c r="C3988" s="125" t="s">
        <v>494</v>
      </c>
      <c r="D3988" s="125" t="s">
        <v>454</v>
      </c>
      <c r="E3988" s="125" t="s">
        <v>189</v>
      </c>
      <c r="F3988" s="126">
        <v>41088.0</v>
      </c>
      <c r="G3988" s="127">
        <v>5.64E8</v>
      </c>
      <c r="H3988" s="126">
        <v>41130.0</v>
      </c>
      <c r="I3988" s="128">
        <v>6998.0</v>
      </c>
      <c r="J3988" s="128">
        <v>9.33</v>
      </c>
      <c r="K3988" s="128">
        <v>6.92</v>
      </c>
      <c r="L3988" s="128">
        <v>65291.34</v>
      </c>
      <c r="M3988" s="128">
        <v>48426.16</v>
      </c>
      <c r="N3988" s="128">
        <v>16865.18</v>
      </c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</row>
    <row r="3989">
      <c r="A3989" s="125" t="s">
        <v>458</v>
      </c>
      <c r="B3989" s="125" t="s">
        <v>493</v>
      </c>
      <c r="C3989" s="125" t="s">
        <v>456</v>
      </c>
      <c r="D3989" s="125" t="s">
        <v>454</v>
      </c>
      <c r="E3989" s="125" t="s">
        <v>464</v>
      </c>
      <c r="F3989" s="126">
        <v>42207.0</v>
      </c>
      <c r="G3989" s="127">
        <v>5.07E8</v>
      </c>
      <c r="H3989" s="126">
        <v>42210.0</v>
      </c>
      <c r="I3989" s="128">
        <v>3488.0</v>
      </c>
      <c r="J3989" s="128">
        <v>152.58</v>
      </c>
      <c r="K3989" s="128">
        <v>97.44</v>
      </c>
      <c r="L3989" s="128">
        <v>532199.0</v>
      </c>
      <c r="M3989" s="128">
        <v>339870.7</v>
      </c>
      <c r="N3989" s="128">
        <v>192328.3</v>
      </c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</row>
    <row r="3990">
      <c r="A3990" s="125" t="s">
        <v>475</v>
      </c>
      <c r="B3990" s="125" t="s">
        <v>513</v>
      </c>
      <c r="C3990" s="125" t="s">
        <v>463</v>
      </c>
      <c r="D3990" s="125" t="s">
        <v>457</v>
      </c>
      <c r="E3990" s="125" t="s">
        <v>472</v>
      </c>
      <c r="F3990" s="126">
        <v>42020.0</v>
      </c>
      <c r="G3990" s="127">
        <v>6.14E8</v>
      </c>
      <c r="H3990" s="126">
        <v>42043.0</v>
      </c>
      <c r="I3990" s="128">
        <v>4178.0</v>
      </c>
      <c r="J3990" s="128">
        <v>205.7</v>
      </c>
      <c r="K3990" s="128">
        <v>117.11</v>
      </c>
      <c r="L3990" s="128">
        <v>859414.6</v>
      </c>
      <c r="M3990" s="128">
        <v>489285.6</v>
      </c>
      <c r="N3990" s="128">
        <v>370129.0</v>
      </c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</row>
    <row r="3991">
      <c r="A3991" s="125" t="s">
        <v>458</v>
      </c>
      <c r="B3991" s="125" t="s">
        <v>614</v>
      </c>
      <c r="C3991" s="125" t="s">
        <v>478</v>
      </c>
      <c r="D3991" s="125" t="s">
        <v>457</v>
      </c>
      <c r="E3991" s="125" t="s">
        <v>189</v>
      </c>
      <c r="F3991" s="126">
        <v>41366.0</v>
      </c>
      <c r="G3991" s="127">
        <v>5.17E8</v>
      </c>
      <c r="H3991" s="126">
        <v>41403.0</v>
      </c>
      <c r="I3991" s="128">
        <v>2197.0</v>
      </c>
      <c r="J3991" s="128">
        <v>651.21</v>
      </c>
      <c r="K3991" s="128">
        <v>524.96</v>
      </c>
      <c r="L3991" s="128">
        <v>1430708.0</v>
      </c>
      <c r="M3991" s="128">
        <v>1153337.0</v>
      </c>
      <c r="N3991" s="128">
        <v>277371.3</v>
      </c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</row>
    <row r="3992">
      <c r="A3992" s="125" t="s">
        <v>488</v>
      </c>
      <c r="B3992" s="125" t="s">
        <v>645</v>
      </c>
      <c r="C3992" s="125" t="s">
        <v>494</v>
      </c>
      <c r="D3992" s="125" t="s">
        <v>454</v>
      </c>
      <c r="E3992" s="125" t="s">
        <v>189</v>
      </c>
      <c r="F3992" s="126">
        <v>41472.0</v>
      </c>
      <c r="G3992" s="127">
        <v>3.66E8</v>
      </c>
      <c r="H3992" s="126">
        <v>41517.0</v>
      </c>
      <c r="I3992" s="128">
        <v>2708.0</v>
      </c>
      <c r="J3992" s="128">
        <v>9.33</v>
      </c>
      <c r="K3992" s="128">
        <v>6.92</v>
      </c>
      <c r="L3992" s="128">
        <v>25265.64</v>
      </c>
      <c r="M3992" s="128">
        <v>18739.36</v>
      </c>
      <c r="N3992" s="128">
        <v>6526.28</v>
      </c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</row>
    <row r="3993">
      <c r="A3993" s="125" t="s">
        <v>458</v>
      </c>
      <c r="B3993" s="125" t="s">
        <v>642</v>
      </c>
      <c r="C3993" s="125" t="s">
        <v>471</v>
      </c>
      <c r="D3993" s="125" t="s">
        <v>454</v>
      </c>
      <c r="E3993" s="125" t="s">
        <v>472</v>
      </c>
      <c r="F3993" s="126">
        <v>42573.0</v>
      </c>
      <c r="G3993" s="127">
        <v>3.84E8</v>
      </c>
      <c r="H3993" s="126">
        <v>42608.0</v>
      </c>
      <c r="I3993" s="128">
        <v>7902.0</v>
      </c>
      <c r="J3993" s="128">
        <v>109.28</v>
      </c>
      <c r="K3993" s="128">
        <v>35.84</v>
      </c>
      <c r="L3993" s="128">
        <v>863530.6</v>
      </c>
      <c r="M3993" s="128">
        <v>283207.7</v>
      </c>
      <c r="N3993" s="128">
        <v>580322.9</v>
      </c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</row>
    <row r="3994">
      <c r="A3994" s="125" t="s">
        <v>458</v>
      </c>
      <c r="B3994" s="125" t="s">
        <v>518</v>
      </c>
      <c r="C3994" s="125" t="s">
        <v>453</v>
      </c>
      <c r="D3994" s="125" t="s">
        <v>457</v>
      </c>
      <c r="E3994" s="125" t="s">
        <v>189</v>
      </c>
      <c r="F3994" s="126">
        <v>42524.0</v>
      </c>
      <c r="G3994" s="127">
        <v>4.12E8</v>
      </c>
      <c r="H3994" s="126">
        <v>42532.0</v>
      </c>
      <c r="I3994" s="128">
        <v>2004.0</v>
      </c>
      <c r="J3994" s="128">
        <v>255.28</v>
      </c>
      <c r="K3994" s="128">
        <v>159.42</v>
      </c>
      <c r="L3994" s="128">
        <v>511581.1</v>
      </c>
      <c r="M3994" s="128">
        <v>319477.7</v>
      </c>
      <c r="N3994" s="128">
        <v>192103.4</v>
      </c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</row>
    <row r="3995">
      <c r="A3995" s="125" t="s">
        <v>458</v>
      </c>
      <c r="B3995" s="125" t="s">
        <v>631</v>
      </c>
      <c r="C3995" s="125" t="s">
        <v>480</v>
      </c>
      <c r="D3995" s="125" t="s">
        <v>457</v>
      </c>
      <c r="E3995" s="125" t="s">
        <v>189</v>
      </c>
      <c r="F3995" s="126">
        <v>40954.0</v>
      </c>
      <c r="G3995" s="127">
        <v>3.65E8</v>
      </c>
      <c r="H3995" s="126">
        <v>40958.0</v>
      </c>
      <c r="I3995" s="128">
        <v>6267.0</v>
      </c>
      <c r="J3995" s="128">
        <v>437.2</v>
      </c>
      <c r="K3995" s="128">
        <v>263.33</v>
      </c>
      <c r="L3995" s="128">
        <v>2739932.0</v>
      </c>
      <c r="M3995" s="128">
        <v>1650289.0</v>
      </c>
      <c r="N3995" s="128">
        <v>1089643.0</v>
      </c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</row>
    <row r="3996">
      <c r="A3996" s="125" t="s">
        <v>469</v>
      </c>
      <c r="B3996" s="125" t="s">
        <v>589</v>
      </c>
      <c r="C3996" s="125" t="s">
        <v>494</v>
      </c>
      <c r="D3996" s="125" t="s">
        <v>457</v>
      </c>
      <c r="E3996" s="125" t="s">
        <v>189</v>
      </c>
      <c r="F3996" s="126">
        <v>40648.0</v>
      </c>
      <c r="G3996" s="127">
        <v>6.73E8</v>
      </c>
      <c r="H3996" s="126">
        <v>40675.0</v>
      </c>
      <c r="I3996" s="128">
        <v>3978.0</v>
      </c>
      <c r="J3996" s="128">
        <v>9.33</v>
      </c>
      <c r="K3996" s="128">
        <v>6.92</v>
      </c>
      <c r="L3996" s="128">
        <v>37114.74</v>
      </c>
      <c r="M3996" s="128">
        <v>27527.76</v>
      </c>
      <c r="N3996" s="128">
        <v>9586.98</v>
      </c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</row>
    <row r="3997">
      <c r="A3997" s="125" t="s">
        <v>475</v>
      </c>
      <c r="B3997" s="125" t="s">
        <v>526</v>
      </c>
      <c r="C3997" s="125" t="s">
        <v>480</v>
      </c>
      <c r="D3997" s="125" t="s">
        <v>457</v>
      </c>
      <c r="E3997" s="125" t="s">
        <v>464</v>
      </c>
      <c r="F3997" s="126">
        <v>40627.0</v>
      </c>
      <c r="G3997" s="127">
        <v>9.42E8</v>
      </c>
      <c r="H3997" s="126">
        <v>40642.0</v>
      </c>
      <c r="I3997" s="128">
        <v>5454.0</v>
      </c>
      <c r="J3997" s="128">
        <v>437.2</v>
      </c>
      <c r="K3997" s="128">
        <v>263.33</v>
      </c>
      <c r="L3997" s="128">
        <v>2384489.0</v>
      </c>
      <c r="M3997" s="128">
        <v>1436202.0</v>
      </c>
      <c r="N3997" s="128">
        <v>948287.0</v>
      </c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</row>
    <row r="3998">
      <c r="A3998" s="125" t="s">
        <v>458</v>
      </c>
      <c r="B3998" s="125" t="s">
        <v>529</v>
      </c>
      <c r="C3998" s="125" t="s">
        <v>468</v>
      </c>
      <c r="D3998" s="125" t="s">
        <v>457</v>
      </c>
      <c r="E3998" s="125" t="s">
        <v>472</v>
      </c>
      <c r="F3998" s="126">
        <v>40306.0</v>
      </c>
      <c r="G3998" s="127">
        <v>3.93E8</v>
      </c>
      <c r="H3998" s="126">
        <v>40332.0</v>
      </c>
      <c r="I3998" s="128">
        <v>3045.0</v>
      </c>
      <c r="J3998" s="128">
        <v>81.73</v>
      </c>
      <c r="K3998" s="128">
        <v>56.67</v>
      </c>
      <c r="L3998" s="128">
        <v>248867.9</v>
      </c>
      <c r="M3998" s="128">
        <v>172560.2</v>
      </c>
      <c r="N3998" s="128">
        <v>76307.7</v>
      </c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</row>
    <row r="3999">
      <c r="A3999" s="125" t="s">
        <v>488</v>
      </c>
      <c r="B3999" s="125" t="s">
        <v>577</v>
      </c>
      <c r="C3999" s="125" t="s">
        <v>468</v>
      </c>
      <c r="D3999" s="125" t="s">
        <v>457</v>
      </c>
      <c r="E3999" s="125" t="s">
        <v>464</v>
      </c>
      <c r="F3999" s="126">
        <v>40868.0</v>
      </c>
      <c r="G3999" s="127">
        <v>1.21E8</v>
      </c>
      <c r="H3999" s="126">
        <v>40918.0</v>
      </c>
      <c r="I3999" s="128">
        <v>6130.0</v>
      </c>
      <c r="J3999" s="128">
        <v>81.73</v>
      </c>
      <c r="K3999" s="128">
        <v>56.67</v>
      </c>
      <c r="L3999" s="128">
        <v>501004.9</v>
      </c>
      <c r="M3999" s="128">
        <v>347387.1</v>
      </c>
      <c r="N3999" s="128">
        <v>153617.8</v>
      </c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</row>
    <row r="4000">
      <c r="A4000" s="125" t="s">
        <v>475</v>
      </c>
      <c r="B4000" s="125" t="s">
        <v>544</v>
      </c>
      <c r="C4000" s="125" t="s">
        <v>485</v>
      </c>
      <c r="D4000" s="125" t="s">
        <v>457</v>
      </c>
      <c r="E4000" s="125" t="s">
        <v>472</v>
      </c>
      <c r="F4000" s="126">
        <v>41120.0</v>
      </c>
      <c r="G4000" s="127">
        <v>8.4E8</v>
      </c>
      <c r="H4000" s="126">
        <v>41165.0</v>
      </c>
      <c r="I4000" s="128">
        <v>6119.0</v>
      </c>
      <c r="J4000" s="128">
        <v>421.89</v>
      </c>
      <c r="K4000" s="128">
        <v>364.69</v>
      </c>
      <c r="L4000" s="128">
        <v>2581545.0</v>
      </c>
      <c r="M4000" s="128">
        <v>2231538.0</v>
      </c>
      <c r="N4000" s="128">
        <v>350006.8</v>
      </c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</row>
    <row r="4001">
      <c r="A4001" s="125" t="s">
        <v>458</v>
      </c>
      <c r="B4001" s="125" t="s">
        <v>583</v>
      </c>
      <c r="C4001" s="125" t="s">
        <v>494</v>
      </c>
      <c r="D4001" s="125" t="s">
        <v>457</v>
      </c>
      <c r="E4001" s="125" t="s">
        <v>472</v>
      </c>
      <c r="F4001" s="126">
        <v>41643.0</v>
      </c>
      <c r="G4001" s="127">
        <v>6.34E8</v>
      </c>
      <c r="H4001" s="126">
        <v>41645.0</v>
      </c>
      <c r="I4001" s="128">
        <v>1456.0</v>
      </c>
      <c r="J4001" s="128">
        <v>9.33</v>
      </c>
      <c r="K4001" s="128">
        <v>6.92</v>
      </c>
      <c r="L4001" s="128">
        <v>13584.48</v>
      </c>
      <c r="M4001" s="128">
        <v>10075.52</v>
      </c>
      <c r="N4001" s="128">
        <v>3508.96</v>
      </c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</row>
    <row r="4002">
      <c r="A4002" s="125" t="s">
        <v>461</v>
      </c>
      <c r="B4002" s="125" t="s">
        <v>581</v>
      </c>
      <c r="C4002" s="125" t="s">
        <v>480</v>
      </c>
      <c r="D4002" s="125" t="s">
        <v>454</v>
      </c>
      <c r="E4002" s="125" t="s">
        <v>472</v>
      </c>
      <c r="F4002" s="126">
        <v>40638.0</v>
      </c>
      <c r="G4002" s="127">
        <v>8.08E8</v>
      </c>
      <c r="H4002" s="126">
        <v>40671.0</v>
      </c>
      <c r="I4002" s="128">
        <v>2614.0</v>
      </c>
      <c r="J4002" s="128">
        <v>437.2</v>
      </c>
      <c r="K4002" s="128">
        <v>263.33</v>
      </c>
      <c r="L4002" s="128">
        <v>1142841.0</v>
      </c>
      <c r="M4002" s="128">
        <v>688344.6</v>
      </c>
      <c r="N4002" s="128">
        <v>454496.2</v>
      </c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</row>
    <row r="4003">
      <c r="A4003" s="125" t="s">
        <v>458</v>
      </c>
      <c r="B4003" s="125" t="s">
        <v>518</v>
      </c>
      <c r="C4003" s="125" t="s">
        <v>471</v>
      </c>
      <c r="D4003" s="125" t="s">
        <v>454</v>
      </c>
      <c r="E4003" s="125" t="s">
        <v>284</v>
      </c>
      <c r="F4003" s="126">
        <v>40846.0</v>
      </c>
      <c r="G4003" s="127">
        <v>9.38E8</v>
      </c>
      <c r="H4003" s="126">
        <v>40877.0</v>
      </c>
      <c r="I4003" s="128">
        <v>7098.0</v>
      </c>
      <c r="J4003" s="128">
        <v>109.28</v>
      </c>
      <c r="K4003" s="128">
        <v>35.84</v>
      </c>
      <c r="L4003" s="128">
        <v>775669.4</v>
      </c>
      <c r="M4003" s="128">
        <v>254392.3</v>
      </c>
      <c r="N4003" s="128">
        <v>521277.1</v>
      </c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</row>
    <row r="4004">
      <c r="A4004" s="125" t="s">
        <v>451</v>
      </c>
      <c r="B4004" s="125" t="s">
        <v>483</v>
      </c>
      <c r="C4004" s="125" t="s">
        <v>506</v>
      </c>
      <c r="D4004" s="125" t="s">
        <v>457</v>
      </c>
      <c r="E4004" s="125" t="s">
        <v>284</v>
      </c>
      <c r="F4004" s="126">
        <v>42631.0</v>
      </c>
      <c r="G4004" s="127">
        <v>2.18E8</v>
      </c>
      <c r="H4004" s="126">
        <v>42636.0</v>
      </c>
      <c r="I4004" s="128">
        <v>4445.0</v>
      </c>
      <c r="J4004" s="128">
        <v>154.06</v>
      </c>
      <c r="K4004" s="128">
        <v>90.93</v>
      </c>
      <c r="L4004" s="128">
        <v>684796.7</v>
      </c>
      <c r="M4004" s="128">
        <v>404183.9</v>
      </c>
      <c r="N4004" s="128">
        <v>280612.9</v>
      </c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</row>
    <row r="4005">
      <c r="A4005" s="125" t="s">
        <v>458</v>
      </c>
      <c r="B4005" s="125" t="s">
        <v>642</v>
      </c>
      <c r="C4005" s="125" t="s">
        <v>506</v>
      </c>
      <c r="D4005" s="125" t="s">
        <v>454</v>
      </c>
      <c r="E4005" s="125" t="s">
        <v>284</v>
      </c>
      <c r="F4005" s="126">
        <v>42594.0</v>
      </c>
      <c r="G4005" s="127">
        <v>6.14E8</v>
      </c>
      <c r="H4005" s="126">
        <v>42598.0</v>
      </c>
      <c r="I4005" s="128">
        <v>1220.0</v>
      </c>
      <c r="J4005" s="128">
        <v>154.06</v>
      </c>
      <c r="K4005" s="128">
        <v>90.93</v>
      </c>
      <c r="L4005" s="128">
        <v>187953.2</v>
      </c>
      <c r="M4005" s="128">
        <v>110934.6</v>
      </c>
      <c r="N4005" s="128">
        <v>77018.6</v>
      </c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</row>
    <row r="4006">
      <c r="A4006" s="125" t="s">
        <v>469</v>
      </c>
      <c r="B4006" s="125" t="s">
        <v>632</v>
      </c>
      <c r="C4006" s="125" t="s">
        <v>471</v>
      </c>
      <c r="D4006" s="125" t="s">
        <v>457</v>
      </c>
      <c r="E4006" s="125" t="s">
        <v>464</v>
      </c>
      <c r="F4006" s="126">
        <v>40496.0</v>
      </c>
      <c r="G4006" s="127">
        <v>1.12E8</v>
      </c>
      <c r="H4006" s="126">
        <v>40535.0</v>
      </c>
      <c r="I4006" s="128">
        <v>6024.0</v>
      </c>
      <c r="J4006" s="128">
        <v>109.28</v>
      </c>
      <c r="K4006" s="128">
        <v>35.84</v>
      </c>
      <c r="L4006" s="128">
        <v>658302.7</v>
      </c>
      <c r="M4006" s="128">
        <v>215900.2</v>
      </c>
      <c r="N4006" s="128">
        <v>442402.6</v>
      </c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</row>
    <row r="4007">
      <c r="A4007" s="125" t="s">
        <v>458</v>
      </c>
      <c r="B4007" s="125" t="s">
        <v>610</v>
      </c>
      <c r="C4007" s="125" t="s">
        <v>453</v>
      </c>
      <c r="D4007" s="125" t="s">
        <v>457</v>
      </c>
      <c r="E4007" s="125" t="s">
        <v>472</v>
      </c>
      <c r="F4007" s="126">
        <v>40631.0</v>
      </c>
      <c r="G4007" s="127">
        <v>3.69E8</v>
      </c>
      <c r="H4007" s="126">
        <v>40636.0</v>
      </c>
      <c r="I4007" s="128">
        <v>4486.0</v>
      </c>
      <c r="J4007" s="128">
        <v>255.28</v>
      </c>
      <c r="K4007" s="128">
        <v>159.42</v>
      </c>
      <c r="L4007" s="128">
        <v>1145186.0</v>
      </c>
      <c r="M4007" s="128">
        <v>715158.1</v>
      </c>
      <c r="N4007" s="128">
        <v>430028.0</v>
      </c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</row>
    <row r="4008">
      <c r="A4008" s="125" t="s">
        <v>475</v>
      </c>
      <c r="B4008" s="125" t="s">
        <v>575</v>
      </c>
      <c r="C4008" s="125" t="s">
        <v>456</v>
      </c>
      <c r="D4008" s="125" t="s">
        <v>457</v>
      </c>
      <c r="E4008" s="125" t="s">
        <v>284</v>
      </c>
      <c r="F4008" s="126">
        <v>42154.0</v>
      </c>
      <c r="G4008" s="127">
        <v>8.61E8</v>
      </c>
      <c r="H4008" s="126">
        <v>42173.0</v>
      </c>
      <c r="I4008" s="128">
        <v>4266.0</v>
      </c>
      <c r="J4008" s="128">
        <v>152.58</v>
      </c>
      <c r="K4008" s="128">
        <v>97.44</v>
      </c>
      <c r="L4008" s="128">
        <v>650906.3</v>
      </c>
      <c r="M4008" s="128">
        <v>415679.0</v>
      </c>
      <c r="N4008" s="128">
        <v>235227.2</v>
      </c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</row>
    <row r="4009">
      <c r="A4009" s="125" t="s">
        <v>461</v>
      </c>
      <c r="B4009" s="125" t="s">
        <v>576</v>
      </c>
      <c r="C4009" s="125" t="s">
        <v>485</v>
      </c>
      <c r="D4009" s="125" t="s">
        <v>454</v>
      </c>
      <c r="E4009" s="125" t="s">
        <v>464</v>
      </c>
      <c r="F4009" s="126">
        <v>40456.0</v>
      </c>
      <c r="G4009" s="127">
        <v>2.35E8</v>
      </c>
      <c r="H4009" s="126">
        <v>40485.0</v>
      </c>
      <c r="I4009" s="128">
        <v>59.0</v>
      </c>
      <c r="J4009" s="128">
        <v>421.89</v>
      </c>
      <c r="K4009" s="128">
        <v>364.69</v>
      </c>
      <c r="L4009" s="128">
        <v>24891.51</v>
      </c>
      <c r="M4009" s="128">
        <v>21516.71</v>
      </c>
      <c r="N4009" s="128">
        <v>3374.8</v>
      </c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</row>
    <row r="4010">
      <c r="A4010" s="125" t="s">
        <v>458</v>
      </c>
      <c r="B4010" s="125" t="s">
        <v>594</v>
      </c>
      <c r="C4010" s="125" t="s">
        <v>471</v>
      </c>
      <c r="D4010" s="125" t="s">
        <v>457</v>
      </c>
      <c r="E4010" s="125" t="s">
        <v>284</v>
      </c>
      <c r="F4010" s="126">
        <v>42385.0</v>
      </c>
      <c r="G4010" s="127">
        <v>3.58E8</v>
      </c>
      <c r="H4010" s="126">
        <v>42434.0</v>
      </c>
      <c r="I4010" s="128">
        <v>8586.0</v>
      </c>
      <c r="J4010" s="128">
        <v>109.28</v>
      </c>
      <c r="K4010" s="128">
        <v>35.84</v>
      </c>
      <c r="L4010" s="128">
        <v>938278.1</v>
      </c>
      <c r="M4010" s="128">
        <v>307722.2</v>
      </c>
      <c r="N4010" s="128">
        <v>630555.8</v>
      </c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</row>
    <row r="4011">
      <c r="A4011" s="125" t="s">
        <v>461</v>
      </c>
      <c r="B4011" s="125" t="s">
        <v>611</v>
      </c>
      <c r="C4011" s="125" t="s">
        <v>478</v>
      </c>
      <c r="D4011" s="125" t="s">
        <v>457</v>
      </c>
      <c r="E4011" s="125" t="s">
        <v>464</v>
      </c>
      <c r="F4011" s="126">
        <v>42729.0</v>
      </c>
      <c r="G4011" s="127">
        <v>4.68E8</v>
      </c>
      <c r="H4011" s="126">
        <v>42761.0</v>
      </c>
      <c r="I4011" s="128">
        <v>3604.0</v>
      </c>
      <c r="J4011" s="128">
        <v>651.21</v>
      </c>
      <c r="K4011" s="128">
        <v>524.96</v>
      </c>
      <c r="L4011" s="128">
        <v>2346961.0</v>
      </c>
      <c r="M4011" s="128">
        <v>1891956.0</v>
      </c>
      <c r="N4011" s="128">
        <v>455005.0</v>
      </c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</row>
    <row r="4012">
      <c r="A4012" s="125" t="s">
        <v>475</v>
      </c>
      <c r="B4012" s="125" t="s">
        <v>619</v>
      </c>
      <c r="C4012" s="125" t="s">
        <v>506</v>
      </c>
      <c r="D4012" s="125" t="s">
        <v>457</v>
      </c>
      <c r="E4012" s="125" t="s">
        <v>464</v>
      </c>
      <c r="F4012" s="126">
        <v>42196.0</v>
      </c>
      <c r="G4012" s="127">
        <v>3.22E8</v>
      </c>
      <c r="H4012" s="126">
        <v>42238.0</v>
      </c>
      <c r="I4012" s="128">
        <v>898.0</v>
      </c>
      <c r="J4012" s="128">
        <v>154.06</v>
      </c>
      <c r="K4012" s="128">
        <v>90.93</v>
      </c>
      <c r="L4012" s="128">
        <v>138345.9</v>
      </c>
      <c r="M4012" s="128">
        <v>81655.14</v>
      </c>
      <c r="N4012" s="128">
        <v>56690.74</v>
      </c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</row>
    <row r="4013">
      <c r="A4013" s="125" t="s">
        <v>469</v>
      </c>
      <c r="B4013" s="125" t="s">
        <v>617</v>
      </c>
      <c r="C4013" s="125" t="s">
        <v>463</v>
      </c>
      <c r="D4013" s="125" t="s">
        <v>454</v>
      </c>
      <c r="E4013" s="125" t="s">
        <v>464</v>
      </c>
      <c r="F4013" s="126">
        <v>40501.0</v>
      </c>
      <c r="G4013" s="127">
        <v>6.5E8</v>
      </c>
      <c r="H4013" s="126">
        <v>40534.0</v>
      </c>
      <c r="I4013" s="128">
        <v>3285.0</v>
      </c>
      <c r="J4013" s="128">
        <v>205.7</v>
      </c>
      <c r="K4013" s="128">
        <v>117.11</v>
      </c>
      <c r="L4013" s="128">
        <v>675724.5</v>
      </c>
      <c r="M4013" s="128">
        <v>384706.4</v>
      </c>
      <c r="N4013" s="128">
        <v>291018.2</v>
      </c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</row>
    <row r="4014">
      <c r="A4014" s="125" t="s">
        <v>488</v>
      </c>
      <c r="B4014" s="125" t="s">
        <v>489</v>
      </c>
      <c r="C4014" s="125" t="s">
        <v>494</v>
      </c>
      <c r="D4014" s="125" t="s">
        <v>454</v>
      </c>
      <c r="E4014" s="125" t="s">
        <v>189</v>
      </c>
      <c r="F4014" s="126">
        <v>40516.0</v>
      </c>
      <c r="G4014" s="127">
        <v>8.98E8</v>
      </c>
      <c r="H4014" s="126">
        <v>40539.0</v>
      </c>
      <c r="I4014" s="128">
        <v>5614.0</v>
      </c>
      <c r="J4014" s="128">
        <v>9.33</v>
      </c>
      <c r="K4014" s="128">
        <v>6.92</v>
      </c>
      <c r="L4014" s="128">
        <v>52378.62</v>
      </c>
      <c r="M4014" s="128">
        <v>38848.88</v>
      </c>
      <c r="N4014" s="128">
        <v>13529.74</v>
      </c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</row>
    <row r="4015">
      <c r="A4015" s="125" t="s">
        <v>458</v>
      </c>
      <c r="B4015" s="125" t="s">
        <v>533</v>
      </c>
      <c r="C4015" s="125" t="s">
        <v>478</v>
      </c>
      <c r="D4015" s="125" t="s">
        <v>457</v>
      </c>
      <c r="E4015" s="125" t="s">
        <v>189</v>
      </c>
      <c r="F4015" s="126">
        <v>41348.0</v>
      </c>
      <c r="G4015" s="127">
        <v>5.87E8</v>
      </c>
      <c r="H4015" s="126">
        <v>41364.0</v>
      </c>
      <c r="I4015" s="128">
        <v>9766.0</v>
      </c>
      <c r="J4015" s="128">
        <v>651.21</v>
      </c>
      <c r="K4015" s="128">
        <v>524.96</v>
      </c>
      <c r="L4015" s="128">
        <v>6359717.0</v>
      </c>
      <c r="M4015" s="128">
        <v>5126759.0</v>
      </c>
      <c r="N4015" s="128">
        <v>1232958.0</v>
      </c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</row>
    <row r="4016">
      <c r="A4016" s="125" t="s">
        <v>475</v>
      </c>
      <c r="B4016" s="125" t="s">
        <v>558</v>
      </c>
      <c r="C4016" s="125" t="s">
        <v>460</v>
      </c>
      <c r="D4016" s="125" t="s">
        <v>454</v>
      </c>
      <c r="E4016" s="125" t="s">
        <v>464</v>
      </c>
      <c r="F4016" s="126">
        <v>42498.0</v>
      </c>
      <c r="G4016" s="127">
        <v>6.55E8</v>
      </c>
      <c r="H4016" s="126">
        <v>42530.0</v>
      </c>
      <c r="I4016" s="128">
        <v>9650.0</v>
      </c>
      <c r="J4016" s="128">
        <v>47.45</v>
      </c>
      <c r="K4016" s="128">
        <v>31.79</v>
      </c>
      <c r="L4016" s="128">
        <v>457892.5</v>
      </c>
      <c r="M4016" s="128">
        <v>306773.5</v>
      </c>
      <c r="N4016" s="128">
        <v>151119.0</v>
      </c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</row>
    <row r="4017">
      <c r="A4017" s="125" t="s">
        <v>458</v>
      </c>
      <c r="B4017" s="125" t="s">
        <v>610</v>
      </c>
      <c r="C4017" s="125" t="s">
        <v>494</v>
      </c>
      <c r="D4017" s="125" t="s">
        <v>454</v>
      </c>
      <c r="E4017" s="125" t="s">
        <v>464</v>
      </c>
      <c r="F4017" s="126">
        <v>42471.0</v>
      </c>
      <c r="G4017" s="127">
        <v>3.11E8</v>
      </c>
      <c r="H4017" s="126">
        <v>42497.0</v>
      </c>
      <c r="I4017" s="128">
        <v>6210.0</v>
      </c>
      <c r="J4017" s="128">
        <v>9.33</v>
      </c>
      <c r="K4017" s="128">
        <v>6.92</v>
      </c>
      <c r="L4017" s="128">
        <v>57939.3</v>
      </c>
      <c r="M4017" s="128">
        <v>42973.2</v>
      </c>
      <c r="N4017" s="128">
        <v>14966.1</v>
      </c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</row>
    <row r="4018">
      <c r="A4018" s="125" t="s">
        <v>466</v>
      </c>
      <c r="B4018" s="125" t="s">
        <v>492</v>
      </c>
      <c r="C4018" s="125" t="s">
        <v>485</v>
      </c>
      <c r="D4018" s="125" t="s">
        <v>457</v>
      </c>
      <c r="E4018" s="125" t="s">
        <v>464</v>
      </c>
      <c r="F4018" s="126">
        <v>42925.0</v>
      </c>
      <c r="G4018" s="127">
        <v>1.86E8</v>
      </c>
      <c r="H4018" s="126">
        <v>42943.0</v>
      </c>
      <c r="I4018" s="128">
        <v>2420.0</v>
      </c>
      <c r="J4018" s="128">
        <v>421.89</v>
      </c>
      <c r="K4018" s="128">
        <v>364.69</v>
      </c>
      <c r="L4018" s="128">
        <v>1020974.0</v>
      </c>
      <c r="M4018" s="128">
        <v>882549.8</v>
      </c>
      <c r="N4018" s="128">
        <v>138424.0</v>
      </c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</row>
    <row r="4019">
      <c r="A4019" s="125" t="s">
        <v>466</v>
      </c>
      <c r="B4019" s="125" t="s">
        <v>524</v>
      </c>
      <c r="C4019" s="125" t="s">
        <v>463</v>
      </c>
      <c r="D4019" s="125" t="s">
        <v>457</v>
      </c>
      <c r="E4019" s="125" t="s">
        <v>472</v>
      </c>
      <c r="F4019" s="126">
        <v>41762.0</v>
      </c>
      <c r="G4019" s="127">
        <v>9.79E8</v>
      </c>
      <c r="H4019" s="126">
        <v>41780.0</v>
      </c>
      <c r="I4019" s="128">
        <v>8283.0</v>
      </c>
      <c r="J4019" s="128">
        <v>205.7</v>
      </c>
      <c r="K4019" s="128">
        <v>117.11</v>
      </c>
      <c r="L4019" s="128">
        <v>1703813.0</v>
      </c>
      <c r="M4019" s="128">
        <v>970022.1</v>
      </c>
      <c r="N4019" s="128">
        <v>733791.0</v>
      </c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</row>
    <row r="4020">
      <c r="A4020" s="125" t="s">
        <v>466</v>
      </c>
      <c r="B4020" s="125" t="s">
        <v>508</v>
      </c>
      <c r="C4020" s="125" t="s">
        <v>460</v>
      </c>
      <c r="D4020" s="125" t="s">
        <v>454</v>
      </c>
      <c r="E4020" s="125" t="s">
        <v>464</v>
      </c>
      <c r="F4020" s="126">
        <v>42801.0</v>
      </c>
      <c r="G4020" s="127">
        <v>3.11E8</v>
      </c>
      <c r="H4020" s="126">
        <v>42848.0</v>
      </c>
      <c r="I4020" s="128">
        <v>5837.0</v>
      </c>
      <c r="J4020" s="128">
        <v>47.45</v>
      </c>
      <c r="K4020" s="128">
        <v>31.79</v>
      </c>
      <c r="L4020" s="128">
        <v>276965.7</v>
      </c>
      <c r="M4020" s="128">
        <v>185558.2</v>
      </c>
      <c r="N4020" s="128">
        <v>91407.42</v>
      </c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</row>
    <row r="4021">
      <c r="A4021" s="125" t="s">
        <v>461</v>
      </c>
      <c r="B4021" s="125" t="s">
        <v>481</v>
      </c>
      <c r="C4021" s="125" t="s">
        <v>494</v>
      </c>
      <c r="D4021" s="125" t="s">
        <v>454</v>
      </c>
      <c r="E4021" s="125" t="s">
        <v>472</v>
      </c>
      <c r="F4021" s="126">
        <v>40572.0</v>
      </c>
      <c r="G4021" s="127">
        <v>3.73E8</v>
      </c>
      <c r="H4021" s="126">
        <v>40586.0</v>
      </c>
      <c r="I4021" s="128">
        <v>4148.0</v>
      </c>
      <c r="J4021" s="128">
        <v>9.33</v>
      </c>
      <c r="K4021" s="128">
        <v>6.92</v>
      </c>
      <c r="L4021" s="128">
        <v>38700.84</v>
      </c>
      <c r="M4021" s="128">
        <v>28704.16</v>
      </c>
      <c r="N4021" s="128">
        <v>9996.68</v>
      </c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</row>
    <row r="4022">
      <c r="A4022" s="125" t="s">
        <v>458</v>
      </c>
      <c r="B4022" s="125" t="s">
        <v>610</v>
      </c>
      <c r="C4022" s="125" t="s">
        <v>456</v>
      </c>
      <c r="D4022" s="125" t="s">
        <v>454</v>
      </c>
      <c r="E4022" s="125" t="s">
        <v>189</v>
      </c>
      <c r="F4022" s="126">
        <v>41057.0</v>
      </c>
      <c r="G4022" s="127">
        <v>2.75E8</v>
      </c>
      <c r="H4022" s="126">
        <v>41100.0</v>
      </c>
      <c r="I4022" s="128">
        <v>4316.0</v>
      </c>
      <c r="J4022" s="128">
        <v>152.58</v>
      </c>
      <c r="K4022" s="128">
        <v>97.44</v>
      </c>
      <c r="L4022" s="128">
        <v>658535.3</v>
      </c>
      <c r="M4022" s="128">
        <v>420551.0</v>
      </c>
      <c r="N4022" s="128">
        <v>237984.2</v>
      </c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</row>
    <row r="4023">
      <c r="A4023" s="125" t="s">
        <v>475</v>
      </c>
      <c r="B4023" s="125" t="s">
        <v>602</v>
      </c>
      <c r="C4023" s="125" t="s">
        <v>514</v>
      </c>
      <c r="D4023" s="125" t="s">
        <v>457</v>
      </c>
      <c r="E4023" s="125" t="s">
        <v>189</v>
      </c>
      <c r="F4023" s="126">
        <v>40944.0</v>
      </c>
      <c r="G4023" s="127">
        <v>9.99E8</v>
      </c>
      <c r="H4023" s="126">
        <v>40989.0</v>
      </c>
      <c r="I4023" s="128">
        <v>4469.0</v>
      </c>
      <c r="J4023" s="128">
        <v>668.27</v>
      </c>
      <c r="K4023" s="128">
        <v>502.54</v>
      </c>
      <c r="L4023" s="128">
        <v>2986499.0</v>
      </c>
      <c r="M4023" s="128">
        <v>2245851.0</v>
      </c>
      <c r="N4023" s="128">
        <v>740647.4</v>
      </c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</row>
    <row r="4024">
      <c r="A4024" s="125" t="s">
        <v>475</v>
      </c>
      <c r="B4024" s="125" t="s">
        <v>476</v>
      </c>
      <c r="C4024" s="125" t="s">
        <v>485</v>
      </c>
      <c r="D4024" s="125" t="s">
        <v>454</v>
      </c>
      <c r="E4024" s="125" t="s">
        <v>464</v>
      </c>
      <c r="F4024" s="126">
        <v>42845.0</v>
      </c>
      <c r="G4024" s="127">
        <v>4.46E8</v>
      </c>
      <c r="H4024" s="126">
        <v>42890.0</v>
      </c>
      <c r="I4024" s="128">
        <v>4770.0</v>
      </c>
      <c r="J4024" s="128">
        <v>421.89</v>
      </c>
      <c r="K4024" s="128">
        <v>364.69</v>
      </c>
      <c r="L4024" s="128">
        <v>2012415.0</v>
      </c>
      <c r="M4024" s="128">
        <v>1739571.0</v>
      </c>
      <c r="N4024" s="128">
        <v>272844.0</v>
      </c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</row>
    <row r="4025">
      <c r="A4025" s="125" t="s">
        <v>461</v>
      </c>
      <c r="B4025" s="125" t="s">
        <v>510</v>
      </c>
      <c r="C4025" s="125" t="s">
        <v>494</v>
      </c>
      <c r="D4025" s="125" t="s">
        <v>454</v>
      </c>
      <c r="E4025" s="125" t="s">
        <v>464</v>
      </c>
      <c r="F4025" s="126">
        <v>42845.0</v>
      </c>
      <c r="G4025" s="127">
        <v>1.88E8</v>
      </c>
      <c r="H4025" s="126">
        <v>42850.0</v>
      </c>
      <c r="I4025" s="128">
        <v>2411.0</v>
      </c>
      <c r="J4025" s="128">
        <v>9.33</v>
      </c>
      <c r="K4025" s="128">
        <v>6.92</v>
      </c>
      <c r="L4025" s="128">
        <v>22494.63</v>
      </c>
      <c r="M4025" s="128">
        <v>16684.12</v>
      </c>
      <c r="N4025" s="128">
        <v>5810.51</v>
      </c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</row>
    <row r="4026">
      <c r="A4026" s="125" t="s">
        <v>461</v>
      </c>
      <c r="B4026" s="125" t="s">
        <v>629</v>
      </c>
      <c r="C4026" s="125" t="s">
        <v>494</v>
      </c>
      <c r="D4026" s="125" t="s">
        <v>454</v>
      </c>
      <c r="E4026" s="125" t="s">
        <v>284</v>
      </c>
      <c r="F4026" s="126">
        <v>40183.0</v>
      </c>
      <c r="G4026" s="127">
        <v>5.18E8</v>
      </c>
      <c r="H4026" s="126">
        <v>40187.0</v>
      </c>
      <c r="I4026" s="128">
        <v>6614.0</v>
      </c>
      <c r="J4026" s="128">
        <v>9.33</v>
      </c>
      <c r="K4026" s="128">
        <v>6.92</v>
      </c>
      <c r="L4026" s="128">
        <v>61708.62</v>
      </c>
      <c r="M4026" s="128">
        <v>45768.88</v>
      </c>
      <c r="N4026" s="128">
        <v>15939.74</v>
      </c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</row>
    <row r="4027">
      <c r="A4027" s="125" t="s">
        <v>458</v>
      </c>
      <c r="B4027" s="125" t="s">
        <v>559</v>
      </c>
      <c r="C4027" s="125" t="s">
        <v>478</v>
      </c>
      <c r="D4027" s="125" t="s">
        <v>457</v>
      </c>
      <c r="E4027" s="125" t="s">
        <v>464</v>
      </c>
      <c r="F4027" s="126">
        <v>41402.0</v>
      </c>
      <c r="G4027" s="127">
        <v>8.98E8</v>
      </c>
      <c r="H4027" s="126">
        <v>41406.0</v>
      </c>
      <c r="I4027" s="128">
        <v>3636.0</v>
      </c>
      <c r="J4027" s="128">
        <v>651.21</v>
      </c>
      <c r="K4027" s="128">
        <v>524.96</v>
      </c>
      <c r="L4027" s="128">
        <v>2367800.0</v>
      </c>
      <c r="M4027" s="128">
        <v>1908755.0</v>
      </c>
      <c r="N4027" s="128">
        <v>459045.0</v>
      </c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</row>
    <row r="4028">
      <c r="A4028" s="125" t="s">
        <v>451</v>
      </c>
      <c r="B4028" s="125" t="s">
        <v>499</v>
      </c>
      <c r="C4028" s="125" t="s">
        <v>460</v>
      </c>
      <c r="D4028" s="125" t="s">
        <v>454</v>
      </c>
      <c r="E4028" s="125" t="s">
        <v>284</v>
      </c>
      <c r="F4028" s="126">
        <v>42372.0</v>
      </c>
      <c r="G4028" s="127">
        <v>4.11E8</v>
      </c>
      <c r="H4028" s="126">
        <v>42406.0</v>
      </c>
      <c r="I4028" s="128">
        <v>1762.0</v>
      </c>
      <c r="J4028" s="128">
        <v>47.45</v>
      </c>
      <c r="K4028" s="128">
        <v>31.79</v>
      </c>
      <c r="L4028" s="128">
        <v>83606.9</v>
      </c>
      <c r="M4028" s="128">
        <v>56013.98</v>
      </c>
      <c r="N4028" s="128">
        <v>27592.92</v>
      </c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</row>
    <row r="4029">
      <c r="A4029" s="125" t="s">
        <v>475</v>
      </c>
      <c r="B4029" s="125" t="s">
        <v>571</v>
      </c>
      <c r="C4029" s="125" t="s">
        <v>485</v>
      </c>
      <c r="D4029" s="125" t="s">
        <v>454</v>
      </c>
      <c r="E4029" s="125" t="s">
        <v>464</v>
      </c>
      <c r="F4029" s="126">
        <v>40732.0</v>
      </c>
      <c r="G4029" s="127">
        <v>9.09E8</v>
      </c>
      <c r="H4029" s="126">
        <v>40741.0</v>
      </c>
      <c r="I4029" s="128">
        <v>6310.0</v>
      </c>
      <c r="J4029" s="128">
        <v>421.89</v>
      </c>
      <c r="K4029" s="128">
        <v>364.69</v>
      </c>
      <c r="L4029" s="128">
        <v>2662126.0</v>
      </c>
      <c r="M4029" s="128">
        <v>2301194.0</v>
      </c>
      <c r="N4029" s="128">
        <v>360932.0</v>
      </c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</row>
    <row r="4030">
      <c r="A4030" s="125" t="s">
        <v>461</v>
      </c>
      <c r="B4030" s="125" t="s">
        <v>542</v>
      </c>
      <c r="C4030" s="125" t="s">
        <v>480</v>
      </c>
      <c r="D4030" s="125" t="s">
        <v>454</v>
      </c>
      <c r="E4030" s="125" t="s">
        <v>284</v>
      </c>
      <c r="F4030" s="126">
        <v>42811.0</v>
      </c>
      <c r="G4030" s="127">
        <v>2.68E8</v>
      </c>
      <c r="H4030" s="126">
        <v>42820.0</v>
      </c>
      <c r="I4030" s="128">
        <v>4628.0</v>
      </c>
      <c r="J4030" s="128">
        <v>437.2</v>
      </c>
      <c r="K4030" s="128">
        <v>263.33</v>
      </c>
      <c r="L4030" s="128">
        <v>2023362.0</v>
      </c>
      <c r="M4030" s="128">
        <v>1218691.0</v>
      </c>
      <c r="N4030" s="128">
        <v>804670.4</v>
      </c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</row>
    <row r="4031">
      <c r="A4031" s="125" t="s">
        <v>458</v>
      </c>
      <c r="B4031" s="125" t="s">
        <v>652</v>
      </c>
      <c r="C4031" s="125" t="s">
        <v>485</v>
      </c>
      <c r="D4031" s="125" t="s">
        <v>454</v>
      </c>
      <c r="E4031" s="125" t="s">
        <v>472</v>
      </c>
      <c r="F4031" s="126">
        <v>42877.0</v>
      </c>
      <c r="G4031" s="127">
        <v>9.3E8</v>
      </c>
      <c r="H4031" s="126">
        <v>42880.0</v>
      </c>
      <c r="I4031" s="128">
        <v>1097.0</v>
      </c>
      <c r="J4031" s="128">
        <v>421.89</v>
      </c>
      <c r="K4031" s="128">
        <v>364.69</v>
      </c>
      <c r="L4031" s="128">
        <v>462813.3</v>
      </c>
      <c r="M4031" s="128">
        <v>400064.9</v>
      </c>
      <c r="N4031" s="128">
        <v>62748.4</v>
      </c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</row>
    <row r="4032">
      <c r="A4032" s="125" t="s">
        <v>466</v>
      </c>
      <c r="B4032" s="125" t="s">
        <v>496</v>
      </c>
      <c r="C4032" s="125" t="s">
        <v>478</v>
      </c>
      <c r="D4032" s="125" t="s">
        <v>454</v>
      </c>
      <c r="E4032" s="125" t="s">
        <v>472</v>
      </c>
      <c r="F4032" s="126">
        <v>41121.0</v>
      </c>
      <c r="G4032" s="127">
        <v>4.59E8</v>
      </c>
      <c r="H4032" s="126">
        <v>41142.0</v>
      </c>
      <c r="I4032" s="128">
        <v>2126.0</v>
      </c>
      <c r="J4032" s="128">
        <v>651.21</v>
      </c>
      <c r="K4032" s="128">
        <v>524.96</v>
      </c>
      <c r="L4032" s="128">
        <v>1384472.0</v>
      </c>
      <c r="M4032" s="128">
        <v>1116065.0</v>
      </c>
      <c r="N4032" s="128">
        <v>268407.5</v>
      </c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</row>
    <row r="4033">
      <c r="A4033" s="125" t="s">
        <v>469</v>
      </c>
      <c r="B4033" s="125" t="s">
        <v>617</v>
      </c>
      <c r="C4033" s="125" t="s">
        <v>480</v>
      </c>
      <c r="D4033" s="125" t="s">
        <v>457</v>
      </c>
      <c r="E4033" s="125" t="s">
        <v>464</v>
      </c>
      <c r="F4033" s="126">
        <v>42272.0</v>
      </c>
      <c r="G4033" s="127">
        <v>9.9E8</v>
      </c>
      <c r="H4033" s="126">
        <v>42304.0</v>
      </c>
      <c r="I4033" s="128">
        <v>1160.0</v>
      </c>
      <c r="J4033" s="128">
        <v>437.2</v>
      </c>
      <c r="K4033" s="128">
        <v>263.33</v>
      </c>
      <c r="L4033" s="128">
        <v>507152.0</v>
      </c>
      <c r="M4033" s="128">
        <v>305462.8</v>
      </c>
      <c r="N4033" s="128">
        <v>201689.2</v>
      </c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</row>
    <row r="4034">
      <c r="A4034" s="125" t="s">
        <v>461</v>
      </c>
      <c r="B4034" s="125" t="s">
        <v>465</v>
      </c>
      <c r="C4034" s="125" t="s">
        <v>471</v>
      </c>
      <c r="D4034" s="125" t="s">
        <v>454</v>
      </c>
      <c r="E4034" s="125" t="s">
        <v>464</v>
      </c>
      <c r="F4034" s="126">
        <v>40382.0</v>
      </c>
      <c r="G4034" s="127">
        <v>6.78E8</v>
      </c>
      <c r="H4034" s="126">
        <v>40400.0</v>
      </c>
      <c r="I4034" s="128">
        <v>3670.0</v>
      </c>
      <c r="J4034" s="128">
        <v>109.28</v>
      </c>
      <c r="K4034" s="128">
        <v>35.84</v>
      </c>
      <c r="L4034" s="128">
        <v>401057.6</v>
      </c>
      <c r="M4034" s="128">
        <v>131532.8</v>
      </c>
      <c r="N4034" s="128">
        <v>269524.8</v>
      </c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</row>
    <row r="4035">
      <c r="A4035" s="125" t="s">
        <v>451</v>
      </c>
      <c r="B4035" s="125" t="s">
        <v>452</v>
      </c>
      <c r="C4035" s="125" t="s">
        <v>480</v>
      </c>
      <c r="D4035" s="125" t="s">
        <v>454</v>
      </c>
      <c r="E4035" s="125" t="s">
        <v>472</v>
      </c>
      <c r="F4035" s="126">
        <v>42342.0</v>
      </c>
      <c r="G4035" s="127">
        <v>4.48E8</v>
      </c>
      <c r="H4035" s="126">
        <v>42343.0</v>
      </c>
      <c r="I4035" s="128">
        <v>2163.0</v>
      </c>
      <c r="J4035" s="128">
        <v>437.2</v>
      </c>
      <c r="K4035" s="128">
        <v>263.33</v>
      </c>
      <c r="L4035" s="128">
        <v>945663.6</v>
      </c>
      <c r="M4035" s="128">
        <v>569582.8</v>
      </c>
      <c r="N4035" s="128">
        <v>376080.8</v>
      </c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</row>
    <row r="4036">
      <c r="A4036" s="125" t="s">
        <v>461</v>
      </c>
      <c r="B4036" s="125" t="s">
        <v>576</v>
      </c>
      <c r="C4036" s="125" t="s">
        <v>463</v>
      </c>
      <c r="D4036" s="125" t="s">
        <v>454</v>
      </c>
      <c r="E4036" s="125" t="s">
        <v>284</v>
      </c>
      <c r="F4036" s="126">
        <v>41600.0</v>
      </c>
      <c r="G4036" s="127">
        <v>8.45E8</v>
      </c>
      <c r="H4036" s="126">
        <v>41614.0</v>
      </c>
      <c r="I4036" s="128">
        <v>1174.0</v>
      </c>
      <c r="J4036" s="128">
        <v>205.7</v>
      </c>
      <c r="K4036" s="128">
        <v>117.11</v>
      </c>
      <c r="L4036" s="128">
        <v>241491.8</v>
      </c>
      <c r="M4036" s="128">
        <v>137487.1</v>
      </c>
      <c r="N4036" s="128">
        <v>104004.7</v>
      </c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</row>
    <row r="4037">
      <c r="A4037" s="125" t="s">
        <v>475</v>
      </c>
      <c r="B4037" s="125" t="s">
        <v>507</v>
      </c>
      <c r="C4037" s="125" t="s">
        <v>468</v>
      </c>
      <c r="D4037" s="125" t="s">
        <v>457</v>
      </c>
      <c r="E4037" s="125" t="s">
        <v>472</v>
      </c>
      <c r="F4037" s="126">
        <v>41673.0</v>
      </c>
      <c r="G4037" s="127">
        <v>6.84E8</v>
      </c>
      <c r="H4037" s="126">
        <v>41704.0</v>
      </c>
      <c r="I4037" s="128">
        <v>2271.0</v>
      </c>
      <c r="J4037" s="128">
        <v>81.73</v>
      </c>
      <c r="K4037" s="128">
        <v>56.67</v>
      </c>
      <c r="L4037" s="128">
        <v>185608.8</v>
      </c>
      <c r="M4037" s="128">
        <v>128697.6</v>
      </c>
      <c r="N4037" s="128">
        <v>56911.26</v>
      </c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</row>
    <row r="4038">
      <c r="A4038" s="125" t="s">
        <v>458</v>
      </c>
      <c r="B4038" s="125" t="s">
        <v>538</v>
      </c>
      <c r="C4038" s="125" t="s">
        <v>480</v>
      </c>
      <c r="D4038" s="125" t="s">
        <v>454</v>
      </c>
      <c r="E4038" s="125" t="s">
        <v>472</v>
      </c>
      <c r="F4038" s="126">
        <v>40937.0</v>
      </c>
      <c r="G4038" s="127">
        <v>2.02E8</v>
      </c>
      <c r="H4038" s="126">
        <v>40974.0</v>
      </c>
      <c r="I4038" s="128">
        <v>9053.0</v>
      </c>
      <c r="J4038" s="128">
        <v>437.2</v>
      </c>
      <c r="K4038" s="128">
        <v>263.33</v>
      </c>
      <c r="L4038" s="128">
        <v>3957972.0</v>
      </c>
      <c r="M4038" s="128">
        <v>2383926.0</v>
      </c>
      <c r="N4038" s="128">
        <v>1574045.0</v>
      </c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</row>
    <row r="4039">
      <c r="A4039" s="125" t="s">
        <v>469</v>
      </c>
      <c r="B4039" s="125" t="s">
        <v>569</v>
      </c>
      <c r="C4039" s="125" t="s">
        <v>468</v>
      </c>
      <c r="D4039" s="125" t="s">
        <v>457</v>
      </c>
      <c r="E4039" s="125" t="s">
        <v>464</v>
      </c>
      <c r="F4039" s="126">
        <v>42305.0</v>
      </c>
      <c r="G4039" s="127">
        <v>6.05E8</v>
      </c>
      <c r="H4039" s="126">
        <v>42309.0</v>
      </c>
      <c r="I4039" s="128">
        <v>2148.0</v>
      </c>
      <c r="J4039" s="128">
        <v>81.73</v>
      </c>
      <c r="K4039" s="128">
        <v>56.67</v>
      </c>
      <c r="L4039" s="128">
        <v>175556.0</v>
      </c>
      <c r="M4039" s="128">
        <v>121727.2</v>
      </c>
      <c r="N4039" s="128">
        <v>53828.88</v>
      </c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</row>
    <row r="4040">
      <c r="A4040" s="125" t="s">
        <v>458</v>
      </c>
      <c r="B4040" s="125" t="s">
        <v>582</v>
      </c>
      <c r="C4040" s="125" t="s">
        <v>494</v>
      </c>
      <c r="D4040" s="125" t="s">
        <v>454</v>
      </c>
      <c r="E4040" s="125" t="s">
        <v>464</v>
      </c>
      <c r="F4040" s="126">
        <v>40782.0</v>
      </c>
      <c r="G4040" s="127">
        <v>9.2E8</v>
      </c>
      <c r="H4040" s="126">
        <v>40804.0</v>
      </c>
      <c r="I4040" s="128">
        <v>4219.0</v>
      </c>
      <c r="J4040" s="128">
        <v>9.33</v>
      </c>
      <c r="K4040" s="128">
        <v>6.92</v>
      </c>
      <c r="L4040" s="128">
        <v>39363.27</v>
      </c>
      <c r="M4040" s="128">
        <v>29195.48</v>
      </c>
      <c r="N4040" s="128">
        <v>10167.79</v>
      </c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</row>
    <row r="4041">
      <c r="A4041" s="125" t="s">
        <v>458</v>
      </c>
      <c r="B4041" s="125" t="s">
        <v>597</v>
      </c>
      <c r="C4041" s="125" t="s">
        <v>460</v>
      </c>
      <c r="D4041" s="125" t="s">
        <v>457</v>
      </c>
      <c r="E4041" s="125" t="s">
        <v>472</v>
      </c>
      <c r="F4041" s="126">
        <v>41442.0</v>
      </c>
      <c r="G4041" s="127">
        <v>2.43E8</v>
      </c>
      <c r="H4041" s="126">
        <v>41458.0</v>
      </c>
      <c r="I4041" s="128">
        <v>4958.0</v>
      </c>
      <c r="J4041" s="128">
        <v>47.45</v>
      </c>
      <c r="K4041" s="128">
        <v>31.79</v>
      </c>
      <c r="L4041" s="128">
        <v>235257.1</v>
      </c>
      <c r="M4041" s="128">
        <v>157614.8</v>
      </c>
      <c r="N4041" s="128">
        <v>77642.28</v>
      </c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</row>
    <row r="4042">
      <c r="A4042" s="125" t="s">
        <v>475</v>
      </c>
      <c r="B4042" s="125" t="s">
        <v>656</v>
      </c>
      <c r="C4042" s="125" t="s">
        <v>514</v>
      </c>
      <c r="D4042" s="125" t="s">
        <v>457</v>
      </c>
      <c r="E4042" s="125" t="s">
        <v>189</v>
      </c>
      <c r="F4042" s="126">
        <v>41449.0</v>
      </c>
      <c r="G4042" s="127">
        <v>8.92E8</v>
      </c>
      <c r="H4042" s="126">
        <v>41472.0</v>
      </c>
      <c r="I4042" s="128">
        <v>6088.0</v>
      </c>
      <c r="J4042" s="128">
        <v>668.27</v>
      </c>
      <c r="K4042" s="128">
        <v>502.54</v>
      </c>
      <c r="L4042" s="128">
        <v>4068428.0</v>
      </c>
      <c r="M4042" s="128">
        <v>3059464.0</v>
      </c>
      <c r="N4042" s="128">
        <v>1008964.0</v>
      </c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</row>
    <row r="4043">
      <c r="A4043" s="125" t="s">
        <v>466</v>
      </c>
      <c r="B4043" s="125" t="s">
        <v>531</v>
      </c>
      <c r="C4043" s="125" t="s">
        <v>453</v>
      </c>
      <c r="D4043" s="125" t="s">
        <v>454</v>
      </c>
      <c r="E4043" s="125" t="s">
        <v>472</v>
      </c>
      <c r="F4043" s="126">
        <v>42507.0</v>
      </c>
      <c r="G4043" s="127">
        <v>7.55E8</v>
      </c>
      <c r="H4043" s="126">
        <v>42529.0</v>
      </c>
      <c r="I4043" s="128">
        <v>6364.0</v>
      </c>
      <c r="J4043" s="128">
        <v>255.28</v>
      </c>
      <c r="K4043" s="128">
        <v>159.42</v>
      </c>
      <c r="L4043" s="128">
        <v>1624602.0</v>
      </c>
      <c r="M4043" s="128">
        <v>1014549.0</v>
      </c>
      <c r="N4043" s="128">
        <v>610053.0</v>
      </c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</row>
    <row r="4044">
      <c r="A4044" s="125" t="s">
        <v>475</v>
      </c>
      <c r="B4044" s="125" t="s">
        <v>532</v>
      </c>
      <c r="C4044" s="125" t="s">
        <v>480</v>
      </c>
      <c r="D4044" s="125" t="s">
        <v>454</v>
      </c>
      <c r="E4044" s="125" t="s">
        <v>284</v>
      </c>
      <c r="F4044" s="126">
        <v>41176.0</v>
      </c>
      <c r="G4044" s="127">
        <v>9.38E8</v>
      </c>
      <c r="H4044" s="126">
        <v>41178.0</v>
      </c>
      <c r="I4044" s="128">
        <v>6573.0</v>
      </c>
      <c r="J4044" s="128">
        <v>437.2</v>
      </c>
      <c r="K4044" s="128">
        <v>263.33</v>
      </c>
      <c r="L4044" s="128">
        <v>2873716.0</v>
      </c>
      <c r="M4044" s="128">
        <v>1730868.0</v>
      </c>
      <c r="N4044" s="128">
        <v>1142848.0</v>
      </c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</row>
    <row r="4045">
      <c r="A4045" s="125" t="s">
        <v>451</v>
      </c>
      <c r="B4045" s="125" t="s">
        <v>482</v>
      </c>
      <c r="C4045" s="125" t="s">
        <v>506</v>
      </c>
      <c r="D4045" s="125" t="s">
        <v>454</v>
      </c>
      <c r="E4045" s="125" t="s">
        <v>189</v>
      </c>
      <c r="F4045" s="126">
        <v>41319.0</v>
      </c>
      <c r="G4045" s="127">
        <v>8.21E8</v>
      </c>
      <c r="H4045" s="126">
        <v>41362.0</v>
      </c>
      <c r="I4045" s="128">
        <v>4531.0</v>
      </c>
      <c r="J4045" s="128">
        <v>154.06</v>
      </c>
      <c r="K4045" s="128">
        <v>90.93</v>
      </c>
      <c r="L4045" s="128">
        <v>698045.9</v>
      </c>
      <c r="M4045" s="128">
        <v>412003.8</v>
      </c>
      <c r="N4045" s="128">
        <v>286042.0</v>
      </c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</row>
    <row r="4046">
      <c r="A4046" s="125" t="s">
        <v>461</v>
      </c>
      <c r="B4046" s="125" t="s">
        <v>511</v>
      </c>
      <c r="C4046" s="125" t="s">
        <v>478</v>
      </c>
      <c r="D4046" s="125" t="s">
        <v>454</v>
      </c>
      <c r="E4046" s="125" t="s">
        <v>189</v>
      </c>
      <c r="F4046" s="126">
        <v>41659.0</v>
      </c>
      <c r="G4046" s="127">
        <v>3.02E8</v>
      </c>
      <c r="H4046" s="126">
        <v>41695.0</v>
      </c>
      <c r="I4046" s="128">
        <v>88.0</v>
      </c>
      <c r="J4046" s="128">
        <v>651.21</v>
      </c>
      <c r="K4046" s="128">
        <v>524.96</v>
      </c>
      <c r="L4046" s="128">
        <v>57306.48</v>
      </c>
      <c r="M4046" s="128">
        <v>46196.48</v>
      </c>
      <c r="N4046" s="128">
        <v>11110.0</v>
      </c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</row>
    <row r="4047">
      <c r="A4047" s="125" t="s">
        <v>458</v>
      </c>
      <c r="B4047" s="125" t="s">
        <v>553</v>
      </c>
      <c r="C4047" s="125" t="s">
        <v>471</v>
      </c>
      <c r="D4047" s="125" t="s">
        <v>454</v>
      </c>
      <c r="E4047" s="125" t="s">
        <v>189</v>
      </c>
      <c r="F4047" s="126">
        <v>42687.0</v>
      </c>
      <c r="G4047" s="127">
        <v>2.5E8</v>
      </c>
      <c r="H4047" s="126">
        <v>42698.0</v>
      </c>
      <c r="I4047" s="128">
        <v>123.0</v>
      </c>
      <c r="J4047" s="128">
        <v>109.28</v>
      </c>
      <c r="K4047" s="128">
        <v>35.84</v>
      </c>
      <c r="L4047" s="128">
        <v>13441.44</v>
      </c>
      <c r="M4047" s="128">
        <v>4408.32</v>
      </c>
      <c r="N4047" s="128">
        <v>9033.12</v>
      </c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</row>
    <row r="4048">
      <c r="A4048" s="125" t="s">
        <v>458</v>
      </c>
      <c r="B4048" s="125" t="s">
        <v>652</v>
      </c>
      <c r="C4048" s="125" t="s">
        <v>460</v>
      </c>
      <c r="D4048" s="125" t="s">
        <v>454</v>
      </c>
      <c r="E4048" s="125" t="s">
        <v>472</v>
      </c>
      <c r="F4048" s="126">
        <v>42521.0</v>
      </c>
      <c r="G4048" s="127">
        <v>2.53E8</v>
      </c>
      <c r="H4048" s="126">
        <v>42533.0</v>
      </c>
      <c r="I4048" s="128">
        <v>3548.0</v>
      </c>
      <c r="J4048" s="128">
        <v>47.45</v>
      </c>
      <c r="K4048" s="128">
        <v>31.79</v>
      </c>
      <c r="L4048" s="128">
        <v>168352.6</v>
      </c>
      <c r="M4048" s="128">
        <v>112790.9</v>
      </c>
      <c r="N4048" s="128">
        <v>55561.68</v>
      </c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</row>
    <row r="4049">
      <c r="A4049" s="125" t="s">
        <v>475</v>
      </c>
      <c r="B4049" s="125" t="s">
        <v>605</v>
      </c>
      <c r="C4049" s="125" t="s">
        <v>463</v>
      </c>
      <c r="D4049" s="125" t="s">
        <v>454</v>
      </c>
      <c r="E4049" s="125" t="s">
        <v>472</v>
      </c>
      <c r="F4049" s="126">
        <v>41047.0</v>
      </c>
      <c r="G4049" s="127">
        <v>8.72E8</v>
      </c>
      <c r="H4049" s="126">
        <v>41068.0</v>
      </c>
      <c r="I4049" s="128">
        <v>6304.0</v>
      </c>
      <c r="J4049" s="128">
        <v>205.7</v>
      </c>
      <c r="K4049" s="128">
        <v>117.11</v>
      </c>
      <c r="L4049" s="128">
        <v>1296733.0</v>
      </c>
      <c r="M4049" s="128">
        <v>738261.4</v>
      </c>
      <c r="N4049" s="128">
        <v>558471.4</v>
      </c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</row>
    <row r="4050">
      <c r="A4050" s="125" t="s">
        <v>461</v>
      </c>
      <c r="B4050" s="125" t="s">
        <v>629</v>
      </c>
      <c r="C4050" s="125" t="s">
        <v>471</v>
      </c>
      <c r="D4050" s="125" t="s">
        <v>454</v>
      </c>
      <c r="E4050" s="125" t="s">
        <v>472</v>
      </c>
      <c r="F4050" s="126">
        <v>41308.0</v>
      </c>
      <c r="G4050" s="127">
        <v>4.85E8</v>
      </c>
      <c r="H4050" s="126">
        <v>41340.0</v>
      </c>
      <c r="I4050" s="128">
        <v>6366.0</v>
      </c>
      <c r="J4050" s="128">
        <v>109.28</v>
      </c>
      <c r="K4050" s="128">
        <v>35.84</v>
      </c>
      <c r="L4050" s="128">
        <v>695676.5</v>
      </c>
      <c r="M4050" s="128">
        <v>228157.4</v>
      </c>
      <c r="N4050" s="128">
        <v>467519.0</v>
      </c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</row>
    <row r="4051">
      <c r="A4051" s="125" t="s">
        <v>458</v>
      </c>
      <c r="B4051" s="125" t="s">
        <v>498</v>
      </c>
      <c r="C4051" s="125" t="s">
        <v>460</v>
      </c>
      <c r="D4051" s="125" t="s">
        <v>457</v>
      </c>
      <c r="E4051" s="125" t="s">
        <v>284</v>
      </c>
      <c r="F4051" s="126">
        <v>42588.0</v>
      </c>
      <c r="G4051" s="127">
        <v>2.43E8</v>
      </c>
      <c r="H4051" s="126">
        <v>42617.0</v>
      </c>
      <c r="I4051" s="128">
        <v>8739.0</v>
      </c>
      <c r="J4051" s="128">
        <v>47.45</v>
      </c>
      <c r="K4051" s="128">
        <v>31.79</v>
      </c>
      <c r="L4051" s="128">
        <v>414665.6</v>
      </c>
      <c r="M4051" s="128">
        <v>277812.8</v>
      </c>
      <c r="N4051" s="128">
        <v>136852.7</v>
      </c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</row>
    <row r="4052">
      <c r="A4052" s="125" t="s">
        <v>469</v>
      </c>
      <c r="B4052" s="125" t="s">
        <v>501</v>
      </c>
      <c r="C4052" s="125" t="s">
        <v>456</v>
      </c>
      <c r="D4052" s="125" t="s">
        <v>454</v>
      </c>
      <c r="E4052" s="125" t="s">
        <v>472</v>
      </c>
      <c r="F4052" s="126">
        <v>41792.0</v>
      </c>
      <c r="G4052" s="127">
        <v>9.17E8</v>
      </c>
      <c r="H4052" s="126">
        <v>41801.0</v>
      </c>
      <c r="I4052" s="128">
        <v>457.0</v>
      </c>
      <c r="J4052" s="128">
        <v>152.58</v>
      </c>
      <c r="K4052" s="128">
        <v>97.44</v>
      </c>
      <c r="L4052" s="128">
        <v>69729.06</v>
      </c>
      <c r="M4052" s="128">
        <v>44530.08</v>
      </c>
      <c r="N4052" s="128">
        <v>25198.98</v>
      </c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</row>
    <row r="4053">
      <c r="A4053" s="125" t="s">
        <v>461</v>
      </c>
      <c r="B4053" s="125" t="s">
        <v>639</v>
      </c>
      <c r="C4053" s="125" t="s">
        <v>478</v>
      </c>
      <c r="D4053" s="125" t="s">
        <v>454</v>
      </c>
      <c r="E4053" s="125" t="s">
        <v>189</v>
      </c>
      <c r="F4053" s="126">
        <v>40364.0</v>
      </c>
      <c r="G4053" s="127">
        <v>6.47E8</v>
      </c>
      <c r="H4053" s="126">
        <v>40370.0</v>
      </c>
      <c r="I4053" s="128">
        <v>5590.0</v>
      </c>
      <c r="J4053" s="128">
        <v>651.21</v>
      </c>
      <c r="K4053" s="128">
        <v>524.96</v>
      </c>
      <c r="L4053" s="128">
        <v>3640264.0</v>
      </c>
      <c r="M4053" s="128">
        <v>2934526.0</v>
      </c>
      <c r="N4053" s="128">
        <v>705737.5</v>
      </c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</row>
    <row r="4054">
      <c r="A4054" s="125" t="s">
        <v>469</v>
      </c>
      <c r="B4054" s="125" t="s">
        <v>647</v>
      </c>
      <c r="C4054" s="125" t="s">
        <v>456</v>
      </c>
      <c r="D4054" s="125" t="s">
        <v>454</v>
      </c>
      <c r="E4054" s="125" t="s">
        <v>284</v>
      </c>
      <c r="F4054" s="126">
        <v>42902.0</v>
      </c>
      <c r="G4054" s="127">
        <v>7.94E8</v>
      </c>
      <c r="H4054" s="126">
        <v>42922.0</v>
      </c>
      <c r="I4054" s="128">
        <v>235.0</v>
      </c>
      <c r="J4054" s="128">
        <v>152.58</v>
      </c>
      <c r="K4054" s="128">
        <v>97.44</v>
      </c>
      <c r="L4054" s="128">
        <v>35856.3</v>
      </c>
      <c r="M4054" s="128">
        <v>22898.4</v>
      </c>
      <c r="N4054" s="128">
        <v>12957.9</v>
      </c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</row>
    <row r="4055">
      <c r="A4055" s="125" t="s">
        <v>458</v>
      </c>
      <c r="B4055" s="125" t="s">
        <v>459</v>
      </c>
      <c r="C4055" s="125" t="s">
        <v>514</v>
      </c>
      <c r="D4055" s="125" t="s">
        <v>457</v>
      </c>
      <c r="E4055" s="125" t="s">
        <v>472</v>
      </c>
      <c r="F4055" s="126">
        <v>41949.0</v>
      </c>
      <c r="G4055" s="127">
        <v>9.89E8</v>
      </c>
      <c r="H4055" s="126">
        <v>41984.0</v>
      </c>
      <c r="I4055" s="128">
        <v>7522.0</v>
      </c>
      <c r="J4055" s="128">
        <v>668.27</v>
      </c>
      <c r="K4055" s="128">
        <v>502.54</v>
      </c>
      <c r="L4055" s="128">
        <v>5026727.0</v>
      </c>
      <c r="M4055" s="128">
        <v>3780106.0</v>
      </c>
      <c r="N4055" s="128">
        <v>1246621.0</v>
      </c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</row>
    <row r="4056">
      <c r="A4056" s="125" t="s">
        <v>475</v>
      </c>
      <c r="B4056" s="125" t="s">
        <v>600</v>
      </c>
      <c r="C4056" s="125" t="s">
        <v>463</v>
      </c>
      <c r="D4056" s="125" t="s">
        <v>454</v>
      </c>
      <c r="E4056" s="125" t="s">
        <v>472</v>
      </c>
      <c r="F4056" s="126">
        <v>41496.0</v>
      </c>
      <c r="G4056" s="127">
        <v>4.84E8</v>
      </c>
      <c r="H4056" s="126">
        <v>41497.0</v>
      </c>
      <c r="I4056" s="128">
        <v>2613.0</v>
      </c>
      <c r="J4056" s="128">
        <v>205.7</v>
      </c>
      <c r="K4056" s="128">
        <v>117.11</v>
      </c>
      <c r="L4056" s="128">
        <v>537494.1</v>
      </c>
      <c r="M4056" s="128">
        <v>306008.4</v>
      </c>
      <c r="N4056" s="128">
        <v>231485.7</v>
      </c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</row>
    <row r="4057">
      <c r="A4057" s="125" t="s">
        <v>461</v>
      </c>
      <c r="B4057" s="125" t="s">
        <v>557</v>
      </c>
      <c r="C4057" s="125" t="s">
        <v>485</v>
      </c>
      <c r="D4057" s="125" t="s">
        <v>454</v>
      </c>
      <c r="E4057" s="125" t="s">
        <v>472</v>
      </c>
      <c r="F4057" s="126">
        <v>41778.0</v>
      </c>
      <c r="G4057" s="127">
        <v>4.0E8</v>
      </c>
      <c r="H4057" s="126">
        <v>41786.0</v>
      </c>
      <c r="I4057" s="128">
        <v>7700.0</v>
      </c>
      <c r="J4057" s="128">
        <v>421.89</v>
      </c>
      <c r="K4057" s="128">
        <v>364.69</v>
      </c>
      <c r="L4057" s="128">
        <v>3248553.0</v>
      </c>
      <c r="M4057" s="128">
        <v>2808113.0</v>
      </c>
      <c r="N4057" s="128">
        <v>440440.0</v>
      </c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</row>
    <row r="4058">
      <c r="A4058" s="125" t="s">
        <v>458</v>
      </c>
      <c r="B4058" s="125" t="s">
        <v>559</v>
      </c>
      <c r="C4058" s="125" t="s">
        <v>456</v>
      </c>
      <c r="D4058" s="125" t="s">
        <v>454</v>
      </c>
      <c r="E4058" s="125" t="s">
        <v>189</v>
      </c>
      <c r="F4058" s="126">
        <v>40651.0</v>
      </c>
      <c r="G4058" s="127">
        <v>5.81E8</v>
      </c>
      <c r="H4058" s="126">
        <v>40657.0</v>
      </c>
      <c r="I4058" s="128">
        <v>7006.0</v>
      </c>
      <c r="J4058" s="128">
        <v>152.58</v>
      </c>
      <c r="K4058" s="128">
        <v>97.44</v>
      </c>
      <c r="L4058" s="128">
        <v>1068975.0</v>
      </c>
      <c r="M4058" s="128">
        <v>682664.6</v>
      </c>
      <c r="N4058" s="128">
        <v>386310.8</v>
      </c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</row>
    <row r="4059">
      <c r="A4059" s="125" t="s">
        <v>451</v>
      </c>
      <c r="B4059" s="125" t="s">
        <v>620</v>
      </c>
      <c r="C4059" s="125" t="s">
        <v>478</v>
      </c>
      <c r="D4059" s="125" t="s">
        <v>454</v>
      </c>
      <c r="E4059" s="125" t="s">
        <v>464</v>
      </c>
      <c r="F4059" s="126">
        <v>40510.0</v>
      </c>
      <c r="G4059" s="127">
        <v>9.39E8</v>
      </c>
      <c r="H4059" s="126">
        <v>40546.0</v>
      </c>
      <c r="I4059" s="128">
        <v>1787.0</v>
      </c>
      <c r="J4059" s="128">
        <v>651.21</v>
      </c>
      <c r="K4059" s="128">
        <v>524.96</v>
      </c>
      <c r="L4059" s="128">
        <v>1163712.0</v>
      </c>
      <c r="M4059" s="128">
        <v>938103.5</v>
      </c>
      <c r="N4059" s="128">
        <v>225608.8</v>
      </c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/>
    </row>
    <row r="4060">
      <c r="A4060" s="125" t="s">
        <v>461</v>
      </c>
      <c r="B4060" s="125" t="s">
        <v>525</v>
      </c>
      <c r="C4060" s="125" t="s">
        <v>460</v>
      </c>
      <c r="D4060" s="125" t="s">
        <v>454</v>
      </c>
      <c r="E4060" s="125" t="s">
        <v>464</v>
      </c>
      <c r="F4060" s="126">
        <v>41373.0</v>
      </c>
      <c r="G4060" s="127">
        <v>1.06E8</v>
      </c>
      <c r="H4060" s="126">
        <v>41421.0</v>
      </c>
      <c r="I4060" s="128">
        <v>5328.0</v>
      </c>
      <c r="J4060" s="128">
        <v>47.45</v>
      </c>
      <c r="K4060" s="128">
        <v>31.79</v>
      </c>
      <c r="L4060" s="128">
        <v>252813.6</v>
      </c>
      <c r="M4060" s="128">
        <v>169377.1</v>
      </c>
      <c r="N4060" s="128">
        <v>83436.48</v>
      </c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</row>
    <row r="4061">
      <c r="A4061" s="125" t="s">
        <v>466</v>
      </c>
      <c r="B4061" s="125" t="s">
        <v>467</v>
      </c>
      <c r="C4061" s="125" t="s">
        <v>468</v>
      </c>
      <c r="D4061" s="125" t="s">
        <v>454</v>
      </c>
      <c r="E4061" s="125" t="s">
        <v>472</v>
      </c>
      <c r="F4061" s="126">
        <v>42263.0</v>
      </c>
      <c r="G4061" s="127">
        <v>3.85E8</v>
      </c>
      <c r="H4061" s="126">
        <v>42298.0</v>
      </c>
      <c r="I4061" s="128">
        <v>7947.0</v>
      </c>
      <c r="J4061" s="128">
        <v>81.73</v>
      </c>
      <c r="K4061" s="128">
        <v>56.67</v>
      </c>
      <c r="L4061" s="128">
        <v>649508.3</v>
      </c>
      <c r="M4061" s="128">
        <v>450356.5</v>
      </c>
      <c r="N4061" s="128">
        <v>199151.8</v>
      </c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</row>
    <row r="4062">
      <c r="A4062" s="125" t="s">
        <v>458</v>
      </c>
      <c r="B4062" s="125" t="s">
        <v>541</v>
      </c>
      <c r="C4062" s="125" t="s">
        <v>463</v>
      </c>
      <c r="D4062" s="125" t="s">
        <v>457</v>
      </c>
      <c r="E4062" s="125" t="s">
        <v>284</v>
      </c>
      <c r="F4062" s="126">
        <v>42593.0</v>
      </c>
      <c r="G4062" s="127">
        <v>1.01E8</v>
      </c>
      <c r="H4062" s="126">
        <v>42593.0</v>
      </c>
      <c r="I4062" s="128">
        <v>1993.0</v>
      </c>
      <c r="J4062" s="128">
        <v>205.7</v>
      </c>
      <c r="K4062" s="128">
        <v>117.11</v>
      </c>
      <c r="L4062" s="128">
        <v>409960.1</v>
      </c>
      <c r="M4062" s="128">
        <v>233400.2</v>
      </c>
      <c r="N4062" s="128">
        <v>176559.9</v>
      </c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</row>
    <row r="4063">
      <c r="A4063" s="125" t="s">
        <v>451</v>
      </c>
      <c r="B4063" s="125" t="s">
        <v>482</v>
      </c>
      <c r="C4063" s="125" t="s">
        <v>480</v>
      </c>
      <c r="D4063" s="125" t="s">
        <v>457</v>
      </c>
      <c r="E4063" s="125" t="s">
        <v>464</v>
      </c>
      <c r="F4063" s="126">
        <v>40780.0</v>
      </c>
      <c r="G4063" s="127">
        <v>3.47E8</v>
      </c>
      <c r="H4063" s="126">
        <v>40819.0</v>
      </c>
      <c r="I4063" s="128">
        <v>6845.0</v>
      </c>
      <c r="J4063" s="128">
        <v>437.2</v>
      </c>
      <c r="K4063" s="128">
        <v>263.33</v>
      </c>
      <c r="L4063" s="128">
        <v>2992634.0</v>
      </c>
      <c r="M4063" s="128">
        <v>1802494.0</v>
      </c>
      <c r="N4063" s="128">
        <v>1190140.0</v>
      </c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</row>
    <row r="4064">
      <c r="A4064" s="125" t="s">
        <v>458</v>
      </c>
      <c r="B4064" s="125" t="s">
        <v>540</v>
      </c>
      <c r="C4064" s="125" t="s">
        <v>468</v>
      </c>
      <c r="D4064" s="125" t="s">
        <v>457</v>
      </c>
      <c r="E4064" s="125" t="s">
        <v>464</v>
      </c>
      <c r="F4064" s="126">
        <v>41165.0</v>
      </c>
      <c r="G4064" s="127">
        <v>9.36E8</v>
      </c>
      <c r="H4064" s="126">
        <v>41169.0</v>
      </c>
      <c r="I4064" s="128">
        <v>3915.0</v>
      </c>
      <c r="J4064" s="128">
        <v>81.73</v>
      </c>
      <c r="K4064" s="128">
        <v>56.67</v>
      </c>
      <c r="L4064" s="128">
        <v>319973.0</v>
      </c>
      <c r="M4064" s="128">
        <v>221863.1</v>
      </c>
      <c r="N4064" s="128">
        <v>98109.9</v>
      </c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/>
    </row>
    <row r="4065">
      <c r="A4065" s="125" t="s">
        <v>475</v>
      </c>
      <c r="B4065" s="125" t="s">
        <v>513</v>
      </c>
      <c r="C4065" s="125" t="s">
        <v>460</v>
      </c>
      <c r="D4065" s="125" t="s">
        <v>457</v>
      </c>
      <c r="E4065" s="125" t="s">
        <v>472</v>
      </c>
      <c r="F4065" s="126">
        <v>41561.0</v>
      </c>
      <c r="G4065" s="127">
        <v>8.55E8</v>
      </c>
      <c r="H4065" s="126">
        <v>41604.0</v>
      </c>
      <c r="I4065" s="128">
        <v>1644.0</v>
      </c>
      <c r="J4065" s="128">
        <v>47.45</v>
      </c>
      <c r="K4065" s="128">
        <v>31.79</v>
      </c>
      <c r="L4065" s="128">
        <v>78007.8</v>
      </c>
      <c r="M4065" s="128">
        <v>52262.76</v>
      </c>
      <c r="N4065" s="128">
        <v>25745.04</v>
      </c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</row>
    <row r="4066">
      <c r="A4066" s="125" t="s">
        <v>475</v>
      </c>
      <c r="B4066" s="125" t="s">
        <v>548</v>
      </c>
      <c r="C4066" s="125" t="s">
        <v>514</v>
      </c>
      <c r="D4066" s="125" t="s">
        <v>454</v>
      </c>
      <c r="E4066" s="125" t="s">
        <v>189</v>
      </c>
      <c r="F4066" s="126">
        <v>42936.0</v>
      </c>
      <c r="G4066" s="127">
        <v>5.06E8</v>
      </c>
      <c r="H4066" s="126">
        <v>42946.0</v>
      </c>
      <c r="I4066" s="128">
        <v>508.0</v>
      </c>
      <c r="J4066" s="128">
        <v>668.27</v>
      </c>
      <c r="K4066" s="128">
        <v>502.54</v>
      </c>
      <c r="L4066" s="128">
        <v>339481.2</v>
      </c>
      <c r="M4066" s="128">
        <v>255290.3</v>
      </c>
      <c r="N4066" s="128">
        <v>84190.84</v>
      </c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</row>
    <row r="4067">
      <c r="A4067" s="125" t="s">
        <v>475</v>
      </c>
      <c r="B4067" s="125" t="s">
        <v>572</v>
      </c>
      <c r="C4067" s="125" t="s">
        <v>506</v>
      </c>
      <c r="D4067" s="125" t="s">
        <v>454</v>
      </c>
      <c r="E4067" s="125" t="s">
        <v>189</v>
      </c>
      <c r="F4067" s="126">
        <v>42498.0</v>
      </c>
      <c r="G4067" s="127">
        <v>3.66E8</v>
      </c>
      <c r="H4067" s="126">
        <v>42501.0</v>
      </c>
      <c r="I4067" s="128">
        <v>8009.0</v>
      </c>
      <c r="J4067" s="128">
        <v>154.06</v>
      </c>
      <c r="K4067" s="128">
        <v>90.93</v>
      </c>
      <c r="L4067" s="128">
        <v>1233867.0</v>
      </c>
      <c r="M4067" s="128">
        <v>728258.4</v>
      </c>
      <c r="N4067" s="128">
        <v>505608.2</v>
      </c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/>
    </row>
    <row r="4068">
      <c r="A4068" s="125" t="s">
        <v>466</v>
      </c>
      <c r="B4068" s="125" t="s">
        <v>534</v>
      </c>
      <c r="C4068" s="125" t="s">
        <v>480</v>
      </c>
      <c r="D4068" s="125" t="s">
        <v>457</v>
      </c>
      <c r="E4068" s="125" t="s">
        <v>472</v>
      </c>
      <c r="F4068" s="126">
        <v>40612.0</v>
      </c>
      <c r="G4068" s="127">
        <v>5.29E8</v>
      </c>
      <c r="H4068" s="126">
        <v>40643.0</v>
      </c>
      <c r="I4068" s="128">
        <v>3686.0</v>
      </c>
      <c r="J4068" s="128">
        <v>437.2</v>
      </c>
      <c r="K4068" s="128">
        <v>263.33</v>
      </c>
      <c r="L4068" s="128">
        <v>1611519.0</v>
      </c>
      <c r="M4068" s="128">
        <v>970634.4</v>
      </c>
      <c r="N4068" s="128">
        <v>640884.8</v>
      </c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</row>
    <row r="4069">
      <c r="A4069" s="125" t="s">
        <v>458</v>
      </c>
      <c r="B4069" s="125" t="s">
        <v>473</v>
      </c>
      <c r="C4069" s="125" t="s">
        <v>514</v>
      </c>
      <c r="D4069" s="125" t="s">
        <v>457</v>
      </c>
      <c r="E4069" s="125" t="s">
        <v>189</v>
      </c>
      <c r="F4069" s="126">
        <v>42177.0</v>
      </c>
      <c r="G4069" s="127">
        <v>2.62E8</v>
      </c>
      <c r="H4069" s="126">
        <v>42217.0</v>
      </c>
      <c r="I4069" s="128">
        <v>4104.0</v>
      </c>
      <c r="J4069" s="128">
        <v>668.27</v>
      </c>
      <c r="K4069" s="128">
        <v>502.54</v>
      </c>
      <c r="L4069" s="128">
        <v>2742580.0</v>
      </c>
      <c r="M4069" s="128">
        <v>2062424.0</v>
      </c>
      <c r="N4069" s="128">
        <v>680155.9</v>
      </c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</row>
    <row r="4070">
      <c r="A4070" s="125" t="s">
        <v>475</v>
      </c>
      <c r="B4070" s="125" t="s">
        <v>548</v>
      </c>
      <c r="C4070" s="125" t="s">
        <v>456</v>
      </c>
      <c r="D4070" s="125" t="s">
        <v>454</v>
      </c>
      <c r="E4070" s="125" t="s">
        <v>464</v>
      </c>
      <c r="F4070" s="126">
        <v>41421.0</v>
      </c>
      <c r="G4070" s="127">
        <v>2.5E8</v>
      </c>
      <c r="H4070" s="126">
        <v>41463.0</v>
      </c>
      <c r="I4070" s="128">
        <v>7863.0</v>
      </c>
      <c r="J4070" s="128">
        <v>152.58</v>
      </c>
      <c r="K4070" s="128">
        <v>97.44</v>
      </c>
      <c r="L4070" s="128">
        <v>1199737.0</v>
      </c>
      <c r="M4070" s="128">
        <v>766170.7</v>
      </c>
      <c r="N4070" s="128">
        <v>433565.8</v>
      </c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</row>
    <row r="4071">
      <c r="A4071" s="125" t="s">
        <v>475</v>
      </c>
      <c r="B4071" s="125" t="s">
        <v>562</v>
      </c>
      <c r="C4071" s="125" t="s">
        <v>453</v>
      </c>
      <c r="D4071" s="125" t="s">
        <v>457</v>
      </c>
      <c r="E4071" s="125" t="s">
        <v>464</v>
      </c>
      <c r="F4071" s="126">
        <v>42640.0</v>
      </c>
      <c r="G4071" s="127">
        <v>3.49E8</v>
      </c>
      <c r="H4071" s="126">
        <v>42676.0</v>
      </c>
      <c r="I4071" s="128">
        <v>592.0</v>
      </c>
      <c r="J4071" s="128">
        <v>255.28</v>
      </c>
      <c r="K4071" s="128">
        <v>159.42</v>
      </c>
      <c r="L4071" s="128">
        <v>151125.8</v>
      </c>
      <c r="M4071" s="128">
        <v>94376.64</v>
      </c>
      <c r="N4071" s="128">
        <v>56749.12</v>
      </c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</row>
    <row r="4072">
      <c r="A4072" s="125" t="s">
        <v>475</v>
      </c>
      <c r="B4072" s="125" t="s">
        <v>476</v>
      </c>
      <c r="C4072" s="125" t="s">
        <v>453</v>
      </c>
      <c r="D4072" s="125" t="s">
        <v>454</v>
      </c>
      <c r="E4072" s="125" t="s">
        <v>284</v>
      </c>
      <c r="F4072" s="126">
        <v>42220.0</v>
      </c>
      <c r="G4072" s="127">
        <v>9.37E8</v>
      </c>
      <c r="H4072" s="126">
        <v>42253.0</v>
      </c>
      <c r="I4072" s="128">
        <v>9953.0</v>
      </c>
      <c r="J4072" s="128">
        <v>255.28</v>
      </c>
      <c r="K4072" s="128">
        <v>159.42</v>
      </c>
      <c r="L4072" s="128">
        <v>2540802.0</v>
      </c>
      <c r="M4072" s="128">
        <v>1586707.0</v>
      </c>
      <c r="N4072" s="128">
        <v>954094.6</v>
      </c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</row>
    <row r="4073">
      <c r="A4073" s="125" t="s">
        <v>461</v>
      </c>
      <c r="B4073" s="125" t="s">
        <v>578</v>
      </c>
      <c r="C4073" s="125" t="s">
        <v>463</v>
      </c>
      <c r="D4073" s="125" t="s">
        <v>457</v>
      </c>
      <c r="E4073" s="125" t="s">
        <v>189</v>
      </c>
      <c r="F4073" s="126">
        <v>41087.0</v>
      </c>
      <c r="G4073" s="127">
        <v>6.59E8</v>
      </c>
      <c r="H4073" s="126">
        <v>41122.0</v>
      </c>
      <c r="I4073" s="128">
        <v>638.0</v>
      </c>
      <c r="J4073" s="128">
        <v>205.7</v>
      </c>
      <c r="K4073" s="128">
        <v>117.11</v>
      </c>
      <c r="L4073" s="128">
        <v>131236.6</v>
      </c>
      <c r="M4073" s="128">
        <v>74716.18</v>
      </c>
      <c r="N4073" s="128">
        <v>56520.42</v>
      </c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</row>
    <row r="4074">
      <c r="A4074" s="125" t="s">
        <v>475</v>
      </c>
      <c r="B4074" s="125" t="s">
        <v>528</v>
      </c>
      <c r="C4074" s="125" t="s">
        <v>460</v>
      </c>
      <c r="D4074" s="125" t="s">
        <v>454</v>
      </c>
      <c r="E4074" s="125" t="s">
        <v>472</v>
      </c>
      <c r="F4074" s="126">
        <v>40556.0</v>
      </c>
      <c r="G4074" s="127">
        <v>4.85E8</v>
      </c>
      <c r="H4074" s="126">
        <v>40560.0</v>
      </c>
      <c r="I4074" s="128">
        <v>9370.0</v>
      </c>
      <c r="J4074" s="128">
        <v>47.45</v>
      </c>
      <c r="K4074" s="128">
        <v>31.79</v>
      </c>
      <c r="L4074" s="128">
        <v>444606.5</v>
      </c>
      <c r="M4074" s="128">
        <v>297872.3</v>
      </c>
      <c r="N4074" s="128">
        <v>146734.2</v>
      </c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</row>
    <row r="4075">
      <c r="A4075" s="125" t="s">
        <v>451</v>
      </c>
      <c r="B4075" s="125" t="s">
        <v>497</v>
      </c>
      <c r="C4075" s="125" t="s">
        <v>478</v>
      </c>
      <c r="D4075" s="125" t="s">
        <v>457</v>
      </c>
      <c r="E4075" s="125" t="s">
        <v>464</v>
      </c>
      <c r="F4075" s="126">
        <v>40945.0</v>
      </c>
      <c r="G4075" s="127">
        <v>5.5E8</v>
      </c>
      <c r="H4075" s="126">
        <v>40990.0</v>
      </c>
      <c r="I4075" s="128">
        <v>9905.0</v>
      </c>
      <c r="J4075" s="128">
        <v>651.21</v>
      </c>
      <c r="K4075" s="128">
        <v>524.96</v>
      </c>
      <c r="L4075" s="128">
        <v>6450235.0</v>
      </c>
      <c r="M4075" s="128">
        <v>5199729.0</v>
      </c>
      <c r="N4075" s="128">
        <v>1250506.0</v>
      </c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</row>
    <row r="4076">
      <c r="A4076" s="125" t="s">
        <v>451</v>
      </c>
      <c r="B4076" s="125" t="s">
        <v>546</v>
      </c>
      <c r="C4076" s="125" t="s">
        <v>506</v>
      </c>
      <c r="D4076" s="125" t="s">
        <v>457</v>
      </c>
      <c r="E4076" s="125" t="s">
        <v>189</v>
      </c>
      <c r="F4076" s="126">
        <v>40199.0</v>
      </c>
      <c r="G4076" s="127">
        <v>6.12E8</v>
      </c>
      <c r="H4076" s="126">
        <v>40219.0</v>
      </c>
      <c r="I4076" s="128">
        <v>8029.0</v>
      </c>
      <c r="J4076" s="128">
        <v>154.06</v>
      </c>
      <c r="K4076" s="128">
        <v>90.93</v>
      </c>
      <c r="L4076" s="128">
        <v>1236948.0</v>
      </c>
      <c r="M4076" s="128">
        <v>730077.0</v>
      </c>
      <c r="N4076" s="128">
        <v>506870.8</v>
      </c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</row>
    <row r="4077">
      <c r="A4077" s="125" t="s">
        <v>451</v>
      </c>
      <c r="B4077" s="125" t="s">
        <v>543</v>
      </c>
      <c r="C4077" s="125" t="s">
        <v>506</v>
      </c>
      <c r="D4077" s="125" t="s">
        <v>454</v>
      </c>
      <c r="E4077" s="125" t="s">
        <v>472</v>
      </c>
      <c r="F4077" s="126">
        <v>40798.0</v>
      </c>
      <c r="G4077" s="127">
        <v>5.01E8</v>
      </c>
      <c r="H4077" s="126">
        <v>40833.0</v>
      </c>
      <c r="I4077" s="128">
        <v>6559.0</v>
      </c>
      <c r="J4077" s="128">
        <v>154.06</v>
      </c>
      <c r="K4077" s="128">
        <v>90.93</v>
      </c>
      <c r="L4077" s="128">
        <v>1010480.0</v>
      </c>
      <c r="M4077" s="128">
        <v>596409.9</v>
      </c>
      <c r="N4077" s="128">
        <v>414069.7</v>
      </c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</row>
    <row r="4078">
      <c r="A4078" s="125" t="s">
        <v>458</v>
      </c>
      <c r="B4078" s="125" t="s">
        <v>515</v>
      </c>
      <c r="C4078" s="125" t="s">
        <v>453</v>
      </c>
      <c r="D4078" s="125" t="s">
        <v>457</v>
      </c>
      <c r="E4078" s="125" t="s">
        <v>464</v>
      </c>
      <c r="F4078" s="126">
        <v>42846.0</v>
      </c>
      <c r="G4078" s="127">
        <v>5.64E8</v>
      </c>
      <c r="H4078" s="126">
        <v>42851.0</v>
      </c>
      <c r="I4078" s="128">
        <v>343.0</v>
      </c>
      <c r="J4078" s="128">
        <v>255.28</v>
      </c>
      <c r="K4078" s="128">
        <v>159.42</v>
      </c>
      <c r="L4078" s="128">
        <v>87561.04</v>
      </c>
      <c r="M4078" s="128">
        <v>54681.06</v>
      </c>
      <c r="N4078" s="128">
        <v>32879.98</v>
      </c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</row>
    <row r="4079">
      <c r="A4079" s="125" t="s">
        <v>475</v>
      </c>
      <c r="B4079" s="125" t="s">
        <v>636</v>
      </c>
      <c r="C4079" s="125" t="s">
        <v>456</v>
      </c>
      <c r="D4079" s="125" t="s">
        <v>457</v>
      </c>
      <c r="E4079" s="125" t="s">
        <v>189</v>
      </c>
      <c r="F4079" s="126">
        <v>42687.0</v>
      </c>
      <c r="G4079" s="127">
        <v>3.21E8</v>
      </c>
      <c r="H4079" s="126">
        <v>42725.0</v>
      </c>
      <c r="I4079" s="128">
        <v>1262.0</v>
      </c>
      <c r="J4079" s="128">
        <v>152.58</v>
      </c>
      <c r="K4079" s="128">
        <v>97.44</v>
      </c>
      <c r="L4079" s="128">
        <v>192556.0</v>
      </c>
      <c r="M4079" s="128">
        <v>122969.3</v>
      </c>
      <c r="N4079" s="128">
        <v>69586.68</v>
      </c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</row>
    <row r="4080">
      <c r="A4080" s="125" t="s">
        <v>461</v>
      </c>
      <c r="B4080" s="125" t="s">
        <v>615</v>
      </c>
      <c r="C4080" s="125" t="s">
        <v>494</v>
      </c>
      <c r="D4080" s="125" t="s">
        <v>454</v>
      </c>
      <c r="E4080" s="125" t="s">
        <v>189</v>
      </c>
      <c r="F4080" s="126">
        <v>42586.0</v>
      </c>
      <c r="G4080" s="127">
        <v>7.09E8</v>
      </c>
      <c r="H4080" s="126">
        <v>42636.0</v>
      </c>
      <c r="I4080" s="128">
        <v>3227.0</v>
      </c>
      <c r="J4080" s="128">
        <v>9.33</v>
      </c>
      <c r="K4080" s="128">
        <v>6.92</v>
      </c>
      <c r="L4080" s="128">
        <v>30107.91</v>
      </c>
      <c r="M4080" s="128">
        <v>22330.84</v>
      </c>
      <c r="N4080" s="128">
        <v>7777.07</v>
      </c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</row>
    <row r="4081">
      <c r="A4081" s="125" t="s">
        <v>466</v>
      </c>
      <c r="B4081" s="125" t="s">
        <v>467</v>
      </c>
      <c r="C4081" s="125" t="s">
        <v>471</v>
      </c>
      <c r="D4081" s="125" t="s">
        <v>457</v>
      </c>
      <c r="E4081" s="125" t="s">
        <v>189</v>
      </c>
      <c r="F4081" s="126">
        <v>41049.0</v>
      </c>
      <c r="G4081" s="127">
        <v>9.4E8</v>
      </c>
      <c r="H4081" s="126">
        <v>41097.0</v>
      </c>
      <c r="I4081" s="128">
        <v>7180.0</v>
      </c>
      <c r="J4081" s="128">
        <v>109.28</v>
      </c>
      <c r="K4081" s="128">
        <v>35.84</v>
      </c>
      <c r="L4081" s="128">
        <v>784630.4</v>
      </c>
      <c r="M4081" s="128">
        <v>257331.2</v>
      </c>
      <c r="N4081" s="128">
        <v>527299.2</v>
      </c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</row>
    <row r="4082">
      <c r="A4082" s="125" t="s">
        <v>451</v>
      </c>
      <c r="B4082" s="125" t="s">
        <v>592</v>
      </c>
      <c r="C4082" s="125" t="s">
        <v>506</v>
      </c>
      <c r="D4082" s="125" t="s">
        <v>454</v>
      </c>
      <c r="E4082" s="125" t="s">
        <v>472</v>
      </c>
      <c r="F4082" s="126">
        <v>42500.0</v>
      </c>
      <c r="G4082" s="127">
        <v>7.42E8</v>
      </c>
      <c r="H4082" s="126">
        <v>42502.0</v>
      </c>
      <c r="I4082" s="128">
        <v>6094.0</v>
      </c>
      <c r="J4082" s="128">
        <v>154.06</v>
      </c>
      <c r="K4082" s="128">
        <v>90.93</v>
      </c>
      <c r="L4082" s="128">
        <v>938841.6</v>
      </c>
      <c r="M4082" s="128">
        <v>554127.4</v>
      </c>
      <c r="N4082" s="128">
        <v>384714.2</v>
      </c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</row>
    <row r="4083">
      <c r="A4083" s="125" t="s">
        <v>475</v>
      </c>
      <c r="B4083" s="125" t="s">
        <v>552</v>
      </c>
      <c r="C4083" s="125" t="s">
        <v>485</v>
      </c>
      <c r="D4083" s="125" t="s">
        <v>457</v>
      </c>
      <c r="E4083" s="125" t="s">
        <v>464</v>
      </c>
      <c r="F4083" s="126">
        <v>42074.0</v>
      </c>
      <c r="G4083" s="127">
        <v>8.15E8</v>
      </c>
      <c r="H4083" s="126">
        <v>42096.0</v>
      </c>
      <c r="I4083" s="128">
        <v>9975.0</v>
      </c>
      <c r="J4083" s="128">
        <v>421.89</v>
      </c>
      <c r="K4083" s="128">
        <v>364.69</v>
      </c>
      <c r="L4083" s="128">
        <v>4208353.0</v>
      </c>
      <c r="M4083" s="128">
        <v>3637783.0</v>
      </c>
      <c r="N4083" s="128">
        <v>570570.0</v>
      </c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</row>
    <row r="4084">
      <c r="A4084" s="125" t="s">
        <v>458</v>
      </c>
      <c r="B4084" s="125" t="s">
        <v>538</v>
      </c>
      <c r="C4084" s="125" t="s">
        <v>463</v>
      </c>
      <c r="D4084" s="125" t="s">
        <v>457</v>
      </c>
      <c r="E4084" s="125" t="s">
        <v>284</v>
      </c>
      <c r="F4084" s="126">
        <v>40826.0</v>
      </c>
      <c r="G4084" s="127">
        <v>5.8E8</v>
      </c>
      <c r="H4084" s="126">
        <v>40855.0</v>
      </c>
      <c r="I4084" s="128">
        <v>859.0</v>
      </c>
      <c r="J4084" s="128">
        <v>205.7</v>
      </c>
      <c r="K4084" s="128">
        <v>117.11</v>
      </c>
      <c r="L4084" s="128">
        <v>176696.3</v>
      </c>
      <c r="M4084" s="128">
        <v>100597.5</v>
      </c>
      <c r="N4084" s="128">
        <v>76098.81</v>
      </c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</row>
    <row r="4085">
      <c r="A4085" s="125" t="s">
        <v>458</v>
      </c>
      <c r="B4085" s="125" t="s">
        <v>603</v>
      </c>
      <c r="C4085" s="125" t="s">
        <v>478</v>
      </c>
      <c r="D4085" s="125" t="s">
        <v>457</v>
      </c>
      <c r="E4085" s="125" t="s">
        <v>189</v>
      </c>
      <c r="F4085" s="126">
        <v>41582.0</v>
      </c>
      <c r="G4085" s="127">
        <v>4.28E8</v>
      </c>
      <c r="H4085" s="126">
        <v>41613.0</v>
      </c>
      <c r="I4085" s="128">
        <v>7813.0</v>
      </c>
      <c r="J4085" s="128">
        <v>651.21</v>
      </c>
      <c r="K4085" s="128">
        <v>524.96</v>
      </c>
      <c r="L4085" s="128">
        <v>5087904.0</v>
      </c>
      <c r="M4085" s="128">
        <v>4101512.0</v>
      </c>
      <c r="N4085" s="128">
        <v>986391.3</v>
      </c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</row>
    <row r="4086">
      <c r="A4086" s="125" t="s">
        <v>466</v>
      </c>
      <c r="B4086" s="125" t="s">
        <v>568</v>
      </c>
      <c r="C4086" s="125" t="s">
        <v>480</v>
      </c>
      <c r="D4086" s="125" t="s">
        <v>454</v>
      </c>
      <c r="E4086" s="125" t="s">
        <v>464</v>
      </c>
      <c r="F4086" s="126">
        <v>42025.0</v>
      </c>
      <c r="G4086" s="127">
        <v>3.7E8</v>
      </c>
      <c r="H4086" s="126">
        <v>42028.0</v>
      </c>
      <c r="I4086" s="128">
        <v>1936.0</v>
      </c>
      <c r="J4086" s="128">
        <v>437.2</v>
      </c>
      <c r="K4086" s="128">
        <v>263.33</v>
      </c>
      <c r="L4086" s="128">
        <v>846419.2</v>
      </c>
      <c r="M4086" s="128">
        <v>509806.9</v>
      </c>
      <c r="N4086" s="128">
        <v>336612.3</v>
      </c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</row>
    <row r="4087">
      <c r="A4087" s="125" t="s">
        <v>466</v>
      </c>
      <c r="B4087" s="125" t="s">
        <v>491</v>
      </c>
      <c r="C4087" s="125" t="s">
        <v>485</v>
      </c>
      <c r="D4087" s="125" t="s">
        <v>457</v>
      </c>
      <c r="E4087" s="125" t="s">
        <v>464</v>
      </c>
      <c r="F4087" s="126">
        <v>41613.0</v>
      </c>
      <c r="G4087" s="127">
        <v>4.86E8</v>
      </c>
      <c r="H4087" s="126">
        <v>41619.0</v>
      </c>
      <c r="I4087" s="128">
        <v>1357.0</v>
      </c>
      <c r="J4087" s="128">
        <v>421.89</v>
      </c>
      <c r="K4087" s="128">
        <v>364.69</v>
      </c>
      <c r="L4087" s="128">
        <v>572504.7</v>
      </c>
      <c r="M4087" s="128">
        <v>494884.3</v>
      </c>
      <c r="N4087" s="128">
        <v>77620.4</v>
      </c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</row>
    <row r="4088">
      <c r="A4088" s="125" t="s">
        <v>458</v>
      </c>
      <c r="B4088" s="125" t="s">
        <v>545</v>
      </c>
      <c r="C4088" s="125" t="s">
        <v>453</v>
      </c>
      <c r="D4088" s="125" t="s">
        <v>457</v>
      </c>
      <c r="E4088" s="125" t="s">
        <v>284</v>
      </c>
      <c r="F4088" s="126">
        <v>40189.0</v>
      </c>
      <c r="G4088" s="127">
        <v>4.79E8</v>
      </c>
      <c r="H4088" s="126">
        <v>40205.0</v>
      </c>
      <c r="I4088" s="128">
        <v>6238.0</v>
      </c>
      <c r="J4088" s="128">
        <v>255.28</v>
      </c>
      <c r="K4088" s="128">
        <v>159.42</v>
      </c>
      <c r="L4088" s="128">
        <v>1592437.0</v>
      </c>
      <c r="M4088" s="128">
        <v>994462.0</v>
      </c>
      <c r="N4088" s="128">
        <v>597974.7</v>
      </c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</row>
    <row r="4089">
      <c r="A4089" s="125" t="s">
        <v>458</v>
      </c>
      <c r="B4089" s="125" t="s">
        <v>590</v>
      </c>
      <c r="C4089" s="125" t="s">
        <v>468</v>
      </c>
      <c r="D4089" s="125" t="s">
        <v>454</v>
      </c>
      <c r="E4089" s="125" t="s">
        <v>472</v>
      </c>
      <c r="F4089" s="126">
        <v>42137.0</v>
      </c>
      <c r="G4089" s="127">
        <v>1.2E8</v>
      </c>
      <c r="H4089" s="126">
        <v>42181.0</v>
      </c>
      <c r="I4089" s="128">
        <v>3771.0</v>
      </c>
      <c r="J4089" s="128">
        <v>81.73</v>
      </c>
      <c r="K4089" s="128">
        <v>56.67</v>
      </c>
      <c r="L4089" s="128">
        <v>308203.8</v>
      </c>
      <c r="M4089" s="128">
        <v>213702.6</v>
      </c>
      <c r="N4089" s="128">
        <v>94501.26</v>
      </c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</row>
    <row r="4090">
      <c r="A4090" s="125" t="s">
        <v>458</v>
      </c>
      <c r="B4090" s="125" t="s">
        <v>616</v>
      </c>
      <c r="C4090" s="125" t="s">
        <v>471</v>
      </c>
      <c r="D4090" s="125" t="s">
        <v>457</v>
      </c>
      <c r="E4090" s="125" t="s">
        <v>189</v>
      </c>
      <c r="F4090" s="126">
        <v>41163.0</v>
      </c>
      <c r="G4090" s="127">
        <v>6.02E8</v>
      </c>
      <c r="H4090" s="126">
        <v>41179.0</v>
      </c>
      <c r="I4090" s="128">
        <v>3180.0</v>
      </c>
      <c r="J4090" s="128">
        <v>109.28</v>
      </c>
      <c r="K4090" s="128">
        <v>35.84</v>
      </c>
      <c r="L4090" s="128">
        <v>347510.4</v>
      </c>
      <c r="M4090" s="128">
        <v>113971.2</v>
      </c>
      <c r="N4090" s="128">
        <v>233539.2</v>
      </c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/>
    </row>
    <row r="4091">
      <c r="A4091" s="125" t="s">
        <v>461</v>
      </c>
      <c r="B4091" s="125" t="s">
        <v>581</v>
      </c>
      <c r="C4091" s="125" t="s">
        <v>480</v>
      </c>
      <c r="D4091" s="125" t="s">
        <v>454</v>
      </c>
      <c r="E4091" s="125" t="s">
        <v>189</v>
      </c>
      <c r="F4091" s="126">
        <v>41045.0</v>
      </c>
      <c r="G4091" s="127">
        <v>4.87E8</v>
      </c>
      <c r="H4091" s="126">
        <v>41094.0</v>
      </c>
      <c r="I4091" s="128">
        <v>719.0</v>
      </c>
      <c r="J4091" s="128">
        <v>437.2</v>
      </c>
      <c r="K4091" s="128">
        <v>263.33</v>
      </c>
      <c r="L4091" s="128">
        <v>314346.8</v>
      </c>
      <c r="M4091" s="128">
        <v>189334.3</v>
      </c>
      <c r="N4091" s="128">
        <v>125012.5</v>
      </c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</row>
    <row r="4092">
      <c r="A4092" s="125" t="s">
        <v>466</v>
      </c>
      <c r="B4092" s="125" t="s">
        <v>612</v>
      </c>
      <c r="C4092" s="125" t="s">
        <v>494</v>
      </c>
      <c r="D4092" s="125" t="s">
        <v>454</v>
      </c>
      <c r="E4092" s="125" t="s">
        <v>284</v>
      </c>
      <c r="F4092" s="126">
        <v>40418.0</v>
      </c>
      <c r="G4092" s="127">
        <v>6.58E8</v>
      </c>
      <c r="H4092" s="126">
        <v>40437.0</v>
      </c>
      <c r="I4092" s="128">
        <v>4675.0</v>
      </c>
      <c r="J4092" s="128">
        <v>9.33</v>
      </c>
      <c r="K4092" s="128">
        <v>6.92</v>
      </c>
      <c r="L4092" s="128">
        <v>43617.75</v>
      </c>
      <c r="M4092" s="128">
        <v>32351.0</v>
      </c>
      <c r="N4092" s="128">
        <v>11266.75</v>
      </c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</row>
    <row r="4093">
      <c r="A4093" s="125" t="s">
        <v>475</v>
      </c>
      <c r="B4093" s="125" t="s">
        <v>504</v>
      </c>
      <c r="C4093" s="125" t="s">
        <v>485</v>
      </c>
      <c r="D4093" s="125" t="s">
        <v>454</v>
      </c>
      <c r="E4093" s="125" t="s">
        <v>284</v>
      </c>
      <c r="F4093" s="126">
        <v>42455.0</v>
      </c>
      <c r="G4093" s="127">
        <v>2.69E8</v>
      </c>
      <c r="H4093" s="126">
        <v>42498.0</v>
      </c>
      <c r="I4093" s="128">
        <v>366.0</v>
      </c>
      <c r="J4093" s="128">
        <v>421.89</v>
      </c>
      <c r="K4093" s="128">
        <v>364.69</v>
      </c>
      <c r="L4093" s="128">
        <v>154411.7</v>
      </c>
      <c r="M4093" s="128">
        <v>133476.5</v>
      </c>
      <c r="N4093" s="128">
        <v>20935.2</v>
      </c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</row>
    <row r="4094">
      <c r="A4094" s="125" t="s">
        <v>451</v>
      </c>
      <c r="B4094" s="125" t="s">
        <v>482</v>
      </c>
      <c r="C4094" s="125" t="s">
        <v>494</v>
      </c>
      <c r="D4094" s="125" t="s">
        <v>454</v>
      </c>
      <c r="E4094" s="125" t="s">
        <v>189</v>
      </c>
      <c r="F4094" s="126">
        <v>42418.0</v>
      </c>
      <c r="G4094" s="127">
        <v>7.92E8</v>
      </c>
      <c r="H4094" s="126">
        <v>42468.0</v>
      </c>
      <c r="I4094" s="128">
        <v>5139.0</v>
      </c>
      <c r="J4094" s="128">
        <v>9.33</v>
      </c>
      <c r="K4094" s="128">
        <v>6.92</v>
      </c>
      <c r="L4094" s="128">
        <v>47946.87</v>
      </c>
      <c r="M4094" s="128">
        <v>35561.88</v>
      </c>
      <c r="N4094" s="128">
        <v>12384.99</v>
      </c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</row>
    <row r="4095">
      <c r="A4095" s="125" t="s">
        <v>461</v>
      </c>
      <c r="B4095" s="125" t="s">
        <v>638</v>
      </c>
      <c r="C4095" s="125" t="s">
        <v>514</v>
      </c>
      <c r="D4095" s="125" t="s">
        <v>457</v>
      </c>
      <c r="E4095" s="125" t="s">
        <v>472</v>
      </c>
      <c r="F4095" s="126">
        <v>42876.0</v>
      </c>
      <c r="G4095" s="127">
        <v>1.71E8</v>
      </c>
      <c r="H4095" s="126">
        <v>42882.0</v>
      </c>
      <c r="I4095" s="128">
        <v>3375.0</v>
      </c>
      <c r="J4095" s="128">
        <v>668.27</v>
      </c>
      <c r="K4095" s="128">
        <v>502.54</v>
      </c>
      <c r="L4095" s="128">
        <v>2255411.0</v>
      </c>
      <c r="M4095" s="128">
        <v>1696073.0</v>
      </c>
      <c r="N4095" s="128">
        <v>559338.8</v>
      </c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</row>
    <row r="4096">
      <c r="A4096" s="125" t="s">
        <v>458</v>
      </c>
      <c r="B4096" s="125" t="s">
        <v>573</v>
      </c>
      <c r="C4096" s="125" t="s">
        <v>453</v>
      </c>
      <c r="D4096" s="125" t="s">
        <v>454</v>
      </c>
      <c r="E4096" s="125" t="s">
        <v>189</v>
      </c>
      <c r="F4096" s="126">
        <v>41252.0</v>
      </c>
      <c r="G4096" s="127">
        <v>4.71E8</v>
      </c>
      <c r="H4096" s="126">
        <v>41298.0</v>
      </c>
      <c r="I4096" s="128">
        <v>1485.0</v>
      </c>
      <c r="J4096" s="128">
        <v>255.28</v>
      </c>
      <c r="K4096" s="128">
        <v>159.42</v>
      </c>
      <c r="L4096" s="128">
        <v>379090.8</v>
      </c>
      <c r="M4096" s="128">
        <v>236738.7</v>
      </c>
      <c r="N4096" s="128">
        <v>142352.1</v>
      </c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</row>
    <row r="4097">
      <c r="A4097" s="125" t="s">
        <v>469</v>
      </c>
      <c r="B4097" s="125" t="s">
        <v>650</v>
      </c>
      <c r="C4097" s="125" t="s">
        <v>478</v>
      </c>
      <c r="D4097" s="125" t="s">
        <v>457</v>
      </c>
      <c r="E4097" s="125" t="s">
        <v>472</v>
      </c>
      <c r="F4097" s="126">
        <v>42276.0</v>
      </c>
      <c r="G4097" s="127">
        <v>2.27E8</v>
      </c>
      <c r="H4097" s="126">
        <v>42312.0</v>
      </c>
      <c r="I4097" s="128">
        <v>2911.0</v>
      </c>
      <c r="J4097" s="128">
        <v>651.21</v>
      </c>
      <c r="K4097" s="128">
        <v>524.96</v>
      </c>
      <c r="L4097" s="128">
        <v>1895672.0</v>
      </c>
      <c r="M4097" s="128">
        <v>1528159.0</v>
      </c>
      <c r="N4097" s="128">
        <v>367513.8</v>
      </c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</row>
    <row r="4098">
      <c r="A4098" s="125" t="s">
        <v>458</v>
      </c>
      <c r="B4098" s="125" t="s">
        <v>583</v>
      </c>
      <c r="C4098" s="125" t="s">
        <v>456</v>
      </c>
      <c r="D4098" s="125" t="s">
        <v>457</v>
      </c>
      <c r="E4098" s="125" t="s">
        <v>189</v>
      </c>
      <c r="F4098" s="126">
        <v>42767.0</v>
      </c>
      <c r="G4098" s="127">
        <v>2.92E8</v>
      </c>
      <c r="H4098" s="126">
        <v>42776.0</v>
      </c>
      <c r="I4098" s="128">
        <v>3126.0</v>
      </c>
      <c r="J4098" s="128">
        <v>152.58</v>
      </c>
      <c r="K4098" s="128">
        <v>97.44</v>
      </c>
      <c r="L4098" s="128">
        <v>476965.1</v>
      </c>
      <c r="M4098" s="128">
        <v>304597.4</v>
      </c>
      <c r="N4098" s="128">
        <v>172367.6</v>
      </c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</row>
    <row r="4099">
      <c r="A4099" s="125" t="s">
        <v>458</v>
      </c>
      <c r="B4099" s="125" t="s">
        <v>554</v>
      </c>
      <c r="C4099" s="125" t="s">
        <v>506</v>
      </c>
      <c r="D4099" s="125" t="s">
        <v>457</v>
      </c>
      <c r="E4099" s="125" t="s">
        <v>189</v>
      </c>
      <c r="F4099" s="126">
        <v>41315.0</v>
      </c>
      <c r="G4099" s="127">
        <v>6.91E8</v>
      </c>
      <c r="H4099" s="126">
        <v>41352.0</v>
      </c>
      <c r="I4099" s="128">
        <v>4637.0</v>
      </c>
      <c r="J4099" s="128">
        <v>154.06</v>
      </c>
      <c r="K4099" s="128">
        <v>90.93</v>
      </c>
      <c r="L4099" s="128">
        <v>714376.2</v>
      </c>
      <c r="M4099" s="128">
        <v>421642.4</v>
      </c>
      <c r="N4099" s="128">
        <v>292733.8</v>
      </c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</row>
    <row r="4100">
      <c r="A4100" s="125" t="s">
        <v>461</v>
      </c>
      <c r="B4100" s="125" t="s">
        <v>511</v>
      </c>
      <c r="C4100" s="125" t="s">
        <v>468</v>
      </c>
      <c r="D4100" s="125" t="s">
        <v>457</v>
      </c>
      <c r="E4100" s="125" t="s">
        <v>189</v>
      </c>
      <c r="F4100" s="126">
        <v>42433.0</v>
      </c>
      <c r="G4100" s="127">
        <v>1.71E8</v>
      </c>
      <c r="H4100" s="126">
        <v>42436.0</v>
      </c>
      <c r="I4100" s="128">
        <v>1978.0</v>
      </c>
      <c r="J4100" s="128">
        <v>81.73</v>
      </c>
      <c r="K4100" s="128">
        <v>56.67</v>
      </c>
      <c r="L4100" s="128">
        <v>161661.9</v>
      </c>
      <c r="M4100" s="128">
        <v>112093.3</v>
      </c>
      <c r="N4100" s="128">
        <v>49568.68</v>
      </c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</row>
    <row r="4101">
      <c r="A4101" s="125" t="s">
        <v>466</v>
      </c>
      <c r="B4101" s="125" t="s">
        <v>491</v>
      </c>
      <c r="C4101" s="125" t="s">
        <v>468</v>
      </c>
      <c r="D4101" s="125" t="s">
        <v>457</v>
      </c>
      <c r="E4101" s="125" t="s">
        <v>189</v>
      </c>
      <c r="F4101" s="126">
        <v>41342.0</v>
      </c>
      <c r="G4101" s="127">
        <v>2.47E8</v>
      </c>
      <c r="H4101" s="126">
        <v>41373.0</v>
      </c>
      <c r="I4101" s="128">
        <v>6717.0</v>
      </c>
      <c r="J4101" s="128">
        <v>81.73</v>
      </c>
      <c r="K4101" s="128">
        <v>56.67</v>
      </c>
      <c r="L4101" s="128">
        <v>548980.4</v>
      </c>
      <c r="M4101" s="128">
        <v>380652.4</v>
      </c>
      <c r="N4101" s="128">
        <v>168328.0</v>
      </c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</row>
    <row r="4102">
      <c r="A4102" s="125" t="s">
        <v>469</v>
      </c>
      <c r="B4102" s="125" t="s">
        <v>647</v>
      </c>
      <c r="C4102" s="125" t="s">
        <v>456</v>
      </c>
      <c r="D4102" s="125" t="s">
        <v>454</v>
      </c>
      <c r="E4102" s="125" t="s">
        <v>464</v>
      </c>
      <c r="F4102" s="126">
        <v>41949.0</v>
      </c>
      <c r="G4102" s="127">
        <v>2.55E8</v>
      </c>
      <c r="H4102" s="126">
        <v>41953.0</v>
      </c>
      <c r="I4102" s="128">
        <v>2454.0</v>
      </c>
      <c r="J4102" s="128">
        <v>152.58</v>
      </c>
      <c r="K4102" s="128">
        <v>97.44</v>
      </c>
      <c r="L4102" s="128">
        <v>374431.3</v>
      </c>
      <c r="M4102" s="128">
        <v>239117.8</v>
      </c>
      <c r="N4102" s="128">
        <v>135313.6</v>
      </c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</row>
    <row r="4103">
      <c r="A4103" s="125" t="s">
        <v>475</v>
      </c>
      <c r="B4103" s="125" t="s">
        <v>476</v>
      </c>
      <c r="C4103" s="125" t="s">
        <v>480</v>
      </c>
      <c r="D4103" s="125" t="s">
        <v>457</v>
      </c>
      <c r="E4103" s="125" t="s">
        <v>464</v>
      </c>
      <c r="F4103" s="126">
        <v>41635.0</v>
      </c>
      <c r="G4103" s="127">
        <v>5.01E8</v>
      </c>
      <c r="H4103" s="126">
        <v>41684.0</v>
      </c>
      <c r="I4103" s="128">
        <v>9817.0</v>
      </c>
      <c r="J4103" s="128">
        <v>437.2</v>
      </c>
      <c r="K4103" s="128">
        <v>263.33</v>
      </c>
      <c r="L4103" s="128">
        <v>4291992.0</v>
      </c>
      <c r="M4103" s="128">
        <v>2585111.0</v>
      </c>
      <c r="N4103" s="128">
        <v>1706882.0</v>
      </c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</row>
    <row r="4104">
      <c r="A4104" s="125" t="s">
        <v>475</v>
      </c>
      <c r="B4104" s="125" t="s">
        <v>527</v>
      </c>
      <c r="C4104" s="125" t="s">
        <v>463</v>
      </c>
      <c r="D4104" s="125" t="s">
        <v>454</v>
      </c>
      <c r="E4104" s="125" t="s">
        <v>189</v>
      </c>
      <c r="F4104" s="126">
        <v>40935.0</v>
      </c>
      <c r="G4104" s="127">
        <v>9.11E8</v>
      </c>
      <c r="H4104" s="126">
        <v>40935.0</v>
      </c>
      <c r="I4104" s="128">
        <v>1468.0</v>
      </c>
      <c r="J4104" s="128">
        <v>205.7</v>
      </c>
      <c r="K4104" s="128">
        <v>117.11</v>
      </c>
      <c r="L4104" s="128">
        <v>301967.6</v>
      </c>
      <c r="M4104" s="128">
        <v>171917.5</v>
      </c>
      <c r="N4104" s="128">
        <v>130050.1</v>
      </c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</row>
    <row r="4105">
      <c r="A4105" s="125" t="s">
        <v>461</v>
      </c>
      <c r="B4105" s="125" t="s">
        <v>611</v>
      </c>
      <c r="C4105" s="125" t="s">
        <v>463</v>
      </c>
      <c r="D4105" s="125" t="s">
        <v>454</v>
      </c>
      <c r="E4105" s="125" t="s">
        <v>189</v>
      </c>
      <c r="F4105" s="126">
        <v>42159.0</v>
      </c>
      <c r="G4105" s="127">
        <v>5.83E8</v>
      </c>
      <c r="H4105" s="126">
        <v>42195.0</v>
      </c>
      <c r="I4105" s="128">
        <v>7099.0</v>
      </c>
      <c r="J4105" s="128">
        <v>205.7</v>
      </c>
      <c r="K4105" s="128">
        <v>117.11</v>
      </c>
      <c r="L4105" s="128">
        <v>1460264.0</v>
      </c>
      <c r="M4105" s="128">
        <v>831363.9</v>
      </c>
      <c r="N4105" s="128">
        <v>628900.4</v>
      </c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</row>
    <row r="4106">
      <c r="A4106" s="125" t="s">
        <v>475</v>
      </c>
      <c r="B4106" s="125" t="s">
        <v>636</v>
      </c>
      <c r="C4106" s="125" t="s">
        <v>478</v>
      </c>
      <c r="D4106" s="125" t="s">
        <v>457</v>
      </c>
      <c r="E4106" s="125" t="s">
        <v>189</v>
      </c>
      <c r="F4106" s="126">
        <v>42472.0</v>
      </c>
      <c r="G4106" s="127">
        <v>9.35E8</v>
      </c>
      <c r="H4106" s="126">
        <v>42515.0</v>
      </c>
      <c r="I4106" s="128">
        <v>8434.0</v>
      </c>
      <c r="J4106" s="128">
        <v>651.21</v>
      </c>
      <c r="K4106" s="128">
        <v>524.96</v>
      </c>
      <c r="L4106" s="128">
        <v>5492305.0</v>
      </c>
      <c r="M4106" s="128">
        <v>4427513.0</v>
      </c>
      <c r="N4106" s="128">
        <v>1064793.0</v>
      </c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</row>
    <row r="4107">
      <c r="A4107" s="125" t="s">
        <v>466</v>
      </c>
      <c r="B4107" s="125" t="s">
        <v>625</v>
      </c>
      <c r="C4107" s="125" t="s">
        <v>468</v>
      </c>
      <c r="D4107" s="125" t="s">
        <v>457</v>
      </c>
      <c r="E4107" s="125" t="s">
        <v>284</v>
      </c>
      <c r="F4107" s="126">
        <v>40810.0</v>
      </c>
      <c r="G4107" s="127">
        <v>7.52E8</v>
      </c>
      <c r="H4107" s="126">
        <v>40859.0</v>
      </c>
      <c r="I4107" s="128">
        <v>4228.0</v>
      </c>
      <c r="J4107" s="128">
        <v>81.73</v>
      </c>
      <c r="K4107" s="128">
        <v>56.67</v>
      </c>
      <c r="L4107" s="128">
        <v>345554.4</v>
      </c>
      <c r="M4107" s="128">
        <v>239600.8</v>
      </c>
      <c r="N4107" s="128">
        <v>105953.7</v>
      </c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</row>
    <row r="4108">
      <c r="A4108" s="125" t="s">
        <v>466</v>
      </c>
      <c r="B4108" s="125" t="s">
        <v>534</v>
      </c>
      <c r="C4108" s="125" t="s">
        <v>471</v>
      </c>
      <c r="D4108" s="125" t="s">
        <v>454</v>
      </c>
      <c r="E4108" s="125" t="s">
        <v>472</v>
      </c>
      <c r="F4108" s="126">
        <v>42031.0</v>
      </c>
      <c r="G4108" s="127">
        <v>2.44E8</v>
      </c>
      <c r="H4108" s="126">
        <v>42076.0</v>
      </c>
      <c r="I4108" s="128">
        <v>5267.0</v>
      </c>
      <c r="J4108" s="128">
        <v>109.28</v>
      </c>
      <c r="K4108" s="128">
        <v>35.84</v>
      </c>
      <c r="L4108" s="128">
        <v>575577.8</v>
      </c>
      <c r="M4108" s="128">
        <v>188769.3</v>
      </c>
      <c r="N4108" s="128">
        <v>386808.5</v>
      </c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</row>
    <row r="4109">
      <c r="A4109" s="125" t="s">
        <v>475</v>
      </c>
      <c r="B4109" s="125" t="s">
        <v>536</v>
      </c>
      <c r="C4109" s="125" t="s">
        <v>480</v>
      </c>
      <c r="D4109" s="125" t="s">
        <v>454</v>
      </c>
      <c r="E4109" s="125" t="s">
        <v>189</v>
      </c>
      <c r="F4109" s="126">
        <v>41702.0</v>
      </c>
      <c r="G4109" s="127">
        <v>5.89E8</v>
      </c>
      <c r="H4109" s="126">
        <v>41710.0</v>
      </c>
      <c r="I4109" s="128">
        <v>9368.0</v>
      </c>
      <c r="J4109" s="128">
        <v>437.2</v>
      </c>
      <c r="K4109" s="128">
        <v>263.33</v>
      </c>
      <c r="L4109" s="128">
        <v>4095690.0</v>
      </c>
      <c r="M4109" s="128">
        <v>2466875.0</v>
      </c>
      <c r="N4109" s="128">
        <v>1628814.0</v>
      </c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</row>
    <row r="4110">
      <c r="A4110" s="125" t="s">
        <v>458</v>
      </c>
      <c r="B4110" s="125" t="s">
        <v>582</v>
      </c>
      <c r="C4110" s="125" t="s">
        <v>456</v>
      </c>
      <c r="D4110" s="125" t="s">
        <v>454</v>
      </c>
      <c r="E4110" s="125" t="s">
        <v>472</v>
      </c>
      <c r="F4110" s="126">
        <v>41310.0</v>
      </c>
      <c r="G4110" s="127">
        <v>7.84E8</v>
      </c>
      <c r="H4110" s="126">
        <v>41342.0</v>
      </c>
      <c r="I4110" s="128">
        <v>6380.0</v>
      </c>
      <c r="J4110" s="128">
        <v>152.58</v>
      </c>
      <c r="K4110" s="128">
        <v>97.44</v>
      </c>
      <c r="L4110" s="128">
        <v>973460.4</v>
      </c>
      <c r="M4110" s="128">
        <v>621667.2</v>
      </c>
      <c r="N4110" s="128">
        <v>351793.2</v>
      </c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</row>
    <row r="4111">
      <c r="A4111" s="125" t="s">
        <v>458</v>
      </c>
      <c r="B4111" s="125" t="s">
        <v>613</v>
      </c>
      <c r="C4111" s="125" t="s">
        <v>471</v>
      </c>
      <c r="D4111" s="125" t="s">
        <v>454</v>
      </c>
      <c r="E4111" s="125" t="s">
        <v>284</v>
      </c>
      <c r="F4111" s="126">
        <v>41347.0</v>
      </c>
      <c r="G4111" s="127">
        <v>7.99E8</v>
      </c>
      <c r="H4111" s="126">
        <v>41393.0</v>
      </c>
      <c r="I4111" s="128">
        <v>3183.0</v>
      </c>
      <c r="J4111" s="128">
        <v>109.28</v>
      </c>
      <c r="K4111" s="128">
        <v>35.84</v>
      </c>
      <c r="L4111" s="128">
        <v>347838.2</v>
      </c>
      <c r="M4111" s="128">
        <v>114078.7</v>
      </c>
      <c r="N4111" s="128">
        <v>233759.5</v>
      </c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</row>
    <row r="4112">
      <c r="A4112" s="125" t="s">
        <v>458</v>
      </c>
      <c r="B4112" s="125" t="s">
        <v>573</v>
      </c>
      <c r="C4112" s="125" t="s">
        <v>460</v>
      </c>
      <c r="D4112" s="125" t="s">
        <v>454</v>
      </c>
      <c r="E4112" s="125" t="s">
        <v>464</v>
      </c>
      <c r="F4112" s="126">
        <v>42695.0</v>
      </c>
      <c r="G4112" s="127">
        <v>2.23E8</v>
      </c>
      <c r="H4112" s="126">
        <v>42739.0</v>
      </c>
      <c r="I4112" s="128">
        <v>8687.0</v>
      </c>
      <c r="J4112" s="128">
        <v>47.45</v>
      </c>
      <c r="K4112" s="128">
        <v>31.79</v>
      </c>
      <c r="L4112" s="128">
        <v>412198.2</v>
      </c>
      <c r="M4112" s="128">
        <v>276159.7</v>
      </c>
      <c r="N4112" s="128">
        <v>136038.4</v>
      </c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</row>
    <row r="4113">
      <c r="A4113" s="125" t="s">
        <v>469</v>
      </c>
      <c r="B4113" s="125" t="s">
        <v>634</v>
      </c>
      <c r="C4113" s="125" t="s">
        <v>480</v>
      </c>
      <c r="D4113" s="125" t="s">
        <v>457</v>
      </c>
      <c r="E4113" s="125" t="s">
        <v>189</v>
      </c>
      <c r="F4113" s="126">
        <v>42477.0</v>
      </c>
      <c r="G4113" s="127">
        <v>5.16E8</v>
      </c>
      <c r="H4113" s="126">
        <v>42483.0</v>
      </c>
      <c r="I4113" s="128">
        <v>8836.0</v>
      </c>
      <c r="J4113" s="128">
        <v>437.2</v>
      </c>
      <c r="K4113" s="128">
        <v>263.33</v>
      </c>
      <c r="L4113" s="128">
        <v>3863099.0</v>
      </c>
      <c r="M4113" s="128">
        <v>2326784.0</v>
      </c>
      <c r="N4113" s="128">
        <v>1536315.0</v>
      </c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</row>
    <row r="4114">
      <c r="A4114" s="125" t="s">
        <v>461</v>
      </c>
      <c r="B4114" s="125" t="s">
        <v>611</v>
      </c>
      <c r="C4114" s="125" t="s">
        <v>480</v>
      </c>
      <c r="D4114" s="125" t="s">
        <v>457</v>
      </c>
      <c r="E4114" s="125" t="s">
        <v>189</v>
      </c>
      <c r="F4114" s="126">
        <v>40969.0</v>
      </c>
      <c r="G4114" s="127">
        <v>9.56E8</v>
      </c>
      <c r="H4114" s="126">
        <v>40999.0</v>
      </c>
      <c r="I4114" s="128">
        <v>1603.0</v>
      </c>
      <c r="J4114" s="128">
        <v>437.2</v>
      </c>
      <c r="K4114" s="128">
        <v>263.33</v>
      </c>
      <c r="L4114" s="128">
        <v>700831.6</v>
      </c>
      <c r="M4114" s="128">
        <v>422118.0</v>
      </c>
      <c r="N4114" s="128">
        <v>278713.6</v>
      </c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</row>
    <row r="4115">
      <c r="A4115" s="125" t="s">
        <v>451</v>
      </c>
      <c r="B4115" s="125" t="s">
        <v>482</v>
      </c>
      <c r="C4115" s="125" t="s">
        <v>456</v>
      </c>
      <c r="D4115" s="125" t="s">
        <v>457</v>
      </c>
      <c r="E4115" s="125" t="s">
        <v>284</v>
      </c>
      <c r="F4115" s="126">
        <v>40221.0</v>
      </c>
      <c r="G4115" s="127">
        <v>8.95E8</v>
      </c>
      <c r="H4115" s="126">
        <v>40269.0</v>
      </c>
      <c r="I4115" s="128">
        <v>1993.0</v>
      </c>
      <c r="J4115" s="128">
        <v>152.58</v>
      </c>
      <c r="K4115" s="128">
        <v>97.44</v>
      </c>
      <c r="L4115" s="128">
        <v>304091.9</v>
      </c>
      <c r="M4115" s="128">
        <v>194197.9</v>
      </c>
      <c r="N4115" s="128">
        <v>109894.0</v>
      </c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</row>
    <row r="4116">
      <c r="A4116" s="125" t="s">
        <v>475</v>
      </c>
      <c r="B4116" s="125" t="s">
        <v>504</v>
      </c>
      <c r="C4116" s="125" t="s">
        <v>468</v>
      </c>
      <c r="D4116" s="125" t="s">
        <v>454</v>
      </c>
      <c r="E4116" s="125" t="s">
        <v>284</v>
      </c>
      <c r="F4116" s="126">
        <v>42669.0</v>
      </c>
      <c r="G4116" s="127">
        <v>2.02E8</v>
      </c>
      <c r="H4116" s="126">
        <v>42674.0</v>
      </c>
      <c r="I4116" s="128">
        <v>7042.0</v>
      </c>
      <c r="J4116" s="128">
        <v>81.73</v>
      </c>
      <c r="K4116" s="128">
        <v>56.67</v>
      </c>
      <c r="L4116" s="128">
        <v>575542.7</v>
      </c>
      <c r="M4116" s="128">
        <v>399070.1</v>
      </c>
      <c r="N4116" s="128">
        <v>176472.5</v>
      </c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</row>
    <row r="4117">
      <c r="A4117" s="125" t="s">
        <v>475</v>
      </c>
      <c r="B4117" s="125" t="s">
        <v>528</v>
      </c>
      <c r="C4117" s="125" t="s">
        <v>480</v>
      </c>
      <c r="D4117" s="125" t="s">
        <v>454</v>
      </c>
      <c r="E4117" s="125" t="s">
        <v>189</v>
      </c>
      <c r="F4117" s="126">
        <v>41460.0</v>
      </c>
      <c r="G4117" s="127">
        <v>6.18E8</v>
      </c>
      <c r="H4117" s="126">
        <v>41498.0</v>
      </c>
      <c r="I4117" s="128">
        <v>817.0</v>
      </c>
      <c r="J4117" s="128">
        <v>437.2</v>
      </c>
      <c r="K4117" s="128">
        <v>263.33</v>
      </c>
      <c r="L4117" s="128">
        <v>357192.4</v>
      </c>
      <c r="M4117" s="128">
        <v>215140.6</v>
      </c>
      <c r="N4117" s="128">
        <v>142051.8</v>
      </c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</row>
    <row r="4118">
      <c r="A4118" s="125" t="s">
        <v>466</v>
      </c>
      <c r="B4118" s="125" t="s">
        <v>535</v>
      </c>
      <c r="C4118" s="125" t="s">
        <v>456</v>
      </c>
      <c r="D4118" s="125" t="s">
        <v>454</v>
      </c>
      <c r="E4118" s="125" t="s">
        <v>284</v>
      </c>
      <c r="F4118" s="126">
        <v>41192.0</v>
      </c>
      <c r="G4118" s="127">
        <v>8.04E8</v>
      </c>
      <c r="H4118" s="126">
        <v>41237.0</v>
      </c>
      <c r="I4118" s="128">
        <v>9417.0</v>
      </c>
      <c r="J4118" s="128">
        <v>152.58</v>
      </c>
      <c r="K4118" s="128">
        <v>97.44</v>
      </c>
      <c r="L4118" s="128">
        <v>1436846.0</v>
      </c>
      <c r="M4118" s="128">
        <v>917592.5</v>
      </c>
      <c r="N4118" s="128">
        <v>519253.4</v>
      </c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</row>
    <row r="4119">
      <c r="A4119" s="125" t="s">
        <v>458</v>
      </c>
      <c r="B4119" s="125" t="s">
        <v>653</v>
      </c>
      <c r="C4119" s="125" t="s">
        <v>463</v>
      </c>
      <c r="D4119" s="125" t="s">
        <v>457</v>
      </c>
      <c r="E4119" s="125" t="s">
        <v>472</v>
      </c>
      <c r="F4119" s="126">
        <v>42704.0</v>
      </c>
      <c r="G4119" s="127">
        <v>3.92E8</v>
      </c>
      <c r="H4119" s="126">
        <v>42715.0</v>
      </c>
      <c r="I4119" s="128">
        <v>5972.0</v>
      </c>
      <c r="J4119" s="128">
        <v>205.7</v>
      </c>
      <c r="K4119" s="128">
        <v>117.11</v>
      </c>
      <c r="L4119" s="128">
        <v>1228440.0</v>
      </c>
      <c r="M4119" s="128">
        <v>699380.9</v>
      </c>
      <c r="N4119" s="128">
        <v>529059.5</v>
      </c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</row>
    <row r="4120">
      <c r="A4120" s="125" t="s">
        <v>469</v>
      </c>
      <c r="B4120" s="125" t="s">
        <v>634</v>
      </c>
      <c r="C4120" s="125" t="s">
        <v>480</v>
      </c>
      <c r="D4120" s="125" t="s">
        <v>454</v>
      </c>
      <c r="E4120" s="125" t="s">
        <v>472</v>
      </c>
      <c r="F4120" s="126">
        <v>41692.0</v>
      </c>
      <c r="G4120" s="127">
        <v>4.33E8</v>
      </c>
      <c r="H4120" s="126">
        <v>41729.0</v>
      </c>
      <c r="I4120" s="128">
        <v>5643.0</v>
      </c>
      <c r="J4120" s="128">
        <v>437.2</v>
      </c>
      <c r="K4120" s="128">
        <v>263.33</v>
      </c>
      <c r="L4120" s="128">
        <v>2467120.0</v>
      </c>
      <c r="M4120" s="128">
        <v>1485971.0</v>
      </c>
      <c r="N4120" s="128">
        <v>981148.4</v>
      </c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</row>
    <row r="4121">
      <c r="A4121" s="125" t="s">
        <v>469</v>
      </c>
      <c r="B4121" s="125" t="s">
        <v>530</v>
      </c>
      <c r="C4121" s="125" t="s">
        <v>485</v>
      </c>
      <c r="D4121" s="125" t="s">
        <v>454</v>
      </c>
      <c r="E4121" s="125" t="s">
        <v>472</v>
      </c>
      <c r="F4121" s="126">
        <v>41156.0</v>
      </c>
      <c r="G4121" s="127">
        <v>2.48E8</v>
      </c>
      <c r="H4121" s="126">
        <v>41166.0</v>
      </c>
      <c r="I4121" s="128">
        <v>623.0</v>
      </c>
      <c r="J4121" s="128">
        <v>421.89</v>
      </c>
      <c r="K4121" s="128">
        <v>364.69</v>
      </c>
      <c r="L4121" s="128">
        <v>262837.5</v>
      </c>
      <c r="M4121" s="128">
        <v>227201.9</v>
      </c>
      <c r="N4121" s="128">
        <v>35635.6</v>
      </c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</row>
    <row r="4122">
      <c r="A4122" s="125" t="s">
        <v>466</v>
      </c>
      <c r="B4122" s="125" t="s">
        <v>584</v>
      </c>
      <c r="C4122" s="125" t="s">
        <v>460</v>
      </c>
      <c r="D4122" s="125" t="s">
        <v>454</v>
      </c>
      <c r="E4122" s="125" t="s">
        <v>464</v>
      </c>
      <c r="F4122" s="126">
        <v>41717.0</v>
      </c>
      <c r="G4122" s="127">
        <v>5.81E8</v>
      </c>
      <c r="H4122" s="126">
        <v>41750.0</v>
      </c>
      <c r="I4122" s="128">
        <v>5134.0</v>
      </c>
      <c r="J4122" s="128">
        <v>47.45</v>
      </c>
      <c r="K4122" s="128">
        <v>31.79</v>
      </c>
      <c r="L4122" s="128">
        <v>243608.3</v>
      </c>
      <c r="M4122" s="128">
        <v>163209.9</v>
      </c>
      <c r="N4122" s="128">
        <v>80398.44</v>
      </c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</row>
    <row r="4123">
      <c r="A4123" s="125" t="s">
        <v>469</v>
      </c>
      <c r="B4123" s="125" t="s">
        <v>519</v>
      </c>
      <c r="C4123" s="125" t="s">
        <v>471</v>
      </c>
      <c r="D4123" s="125" t="s">
        <v>454</v>
      </c>
      <c r="E4123" s="125" t="s">
        <v>472</v>
      </c>
      <c r="F4123" s="126">
        <v>40239.0</v>
      </c>
      <c r="G4123" s="127">
        <v>4.44E8</v>
      </c>
      <c r="H4123" s="126">
        <v>40284.0</v>
      </c>
      <c r="I4123" s="128">
        <v>432.0</v>
      </c>
      <c r="J4123" s="128">
        <v>109.28</v>
      </c>
      <c r="K4123" s="128">
        <v>35.84</v>
      </c>
      <c r="L4123" s="128">
        <v>47208.96</v>
      </c>
      <c r="M4123" s="128">
        <v>15482.88</v>
      </c>
      <c r="N4123" s="128">
        <v>31726.08</v>
      </c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</row>
    <row r="4124">
      <c r="A4124" s="125" t="s">
        <v>466</v>
      </c>
      <c r="B4124" s="125" t="s">
        <v>508</v>
      </c>
      <c r="C4124" s="125" t="s">
        <v>456</v>
      </c>
      <c r="D4124" s="125" t="s">
        <v>457</v>
      </c>
      <c r="E4124" s="125" t="s">
        <v>189</v>
      </c>
      <c r="F4124" s="126">
        <v>42272.0</v>
      </c>
      <c r="G4124" s="127">
        <v>2.69E8</v>
      </c>
      <c r="H4124" s="126">
        <v>42319.0</v>
      </c>
      <c r="I4124" s="128">
        <v>9804.0</v>
      </c>
      <c r="J4124" s="128">
        <v>152.58</v>
      </c>
      <c r="K4124" s="128">
        <v>97.44</v>
      </c>
      <c r="L4124" s="128">
        <v>1495894.0</v>
      </c>
      <c r="M4124" s="128">
        <v>955301.8</v>
      </c>
      <c r="N4124" s="128">
        <v>540592.6</v>
      </c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</row>
    <row r="4125">
      <c r="A4125" s="125" t="s">
        <v>451</v>
      </c>
      <c r="B4125" s="125" t="s">
        <v>490</v>
      </c>
      <c r="C4125" s="125" t="s">
        <v>494</v>
      </c>
      <c r="D4125" s="125" t="s">
        <v>454</v>
      </c>
      <c r="E4125" s="125" t="s">
        <v>472</v>
      </c>
      <c r="F4125" s="126">
        <v>41306.0</v>
      </c>
      <c r="G4125" s="127">
        <v>5.6E8</v>
      </c>
      <c r="H4125" s="126">
        <v>41338.0</v>
      </c>
      <c r="I4125" s="128">
        <v>3565.0</v>
      </c>
      <c r="J4125" s="128">
        <v>9.33</v>
      </c>
      <c r="K4125" s="128">
        <v>6.92</v>
      </c>
      <c r="L4125" s="128">
        <v>33261.45</v>
      </c>
      <c r="M4125" s="128">
        <v>24669.8</v>
      </c>
      <c r="N4125" s="128">
        <v>8591.65</v>
      </c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</row>
    <row r="4126">
      <c r="A4126" s="125" t="s">
        <v>451</v>
      </c>
      <c r="B4126" s="125" t="s">
        <v>608</v>
      </c>
      <c r="C4126" s="125" t="s">
        <v>514</v>
      </c>
      <c r="D4126" s="125" t="s">
        <v>457</v>
      </c>
      <c r="E4126" s="125" t="s">
        <v>472</v>
      </c>
      <c r="F4126" s="126">
        <v>42287.0</v>
      </c>
      <c r="G4126" s="127">
        <v>5.4E8</v>
      </c>
      <c r="H4126" s="126">
        <v>42291.0</v>
      </c>
      <c r="I4126" s="128">
        <v>4066.0</v>
      </c>
      <c r="J4126" s="128">
        <v>668.27</v>
      </c>
      <c r="K4126" s="128">
        <v>502.54</v>
      </c>
      <c r="L4126" s="128">
        <v>2717186.0</v>
      </c>
      <c r="M4126" s="128">
        <v>2043328.0</v>
      </c>
      <c r="N4126" s="128">
        <v>673858.2</v>
      </c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</row>
    <row r="4127">
      <c r="A4127" s="125" t="s">
        <v>475</v>
      </c>
      <c r="B4127" s="125" t="s">
        <v>570</v>
      </c>
      <c r="C4127" s="125" t="s">
        <v>453</v>
      </c>
      <c r="D4127" s="125" t="s">
        <v>454</v>
      </c>
      <c r="E4127" s="125" t="s">
        <v>472</v>
      </c>
      <c r="F4127" s="126">
        <v>40866.0</v>
      </c>
      <c r="G4127" s="127">
        <v>4.04E8</v>
      </c>
      <c r="H4127" s="126">
        <v>40872.0</v>
      </c>
      <c r="I4127" s="128">
        <v>686.0</v>
      </c>
      <c r="J4127" s="128">
        <v>255.28</v>
      </c>
      <c r="K4127" s="128">
        <v>159.42</v>
      </c>
      <c r="L4127" s="128">
        <v>175122.1</v>
      </c>
      <c r="M4127" s="128">
        <v>109362.1</v>
      </c>
      <c r="N4127" s="128">
        <v>65759.96</v>
      </c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</row>
    <row r="4128">
      <c r="A4128" s="125" t="s">
        <v>461</v>
      </c>
      <c r="B4128" s="125" t="s">
        <v>599</v>
      </c>
      <c r="C4128" s="125" t="s">
        <v>456</v>
      </c>
      <c r="D4128" s="125" t="s">
        <v>454</v>
      </c>
      <c r="E4128" s="125" t="s">
        <v>189</v>
      </c>
      <c r="F4128" s="126">
        <v>41383.0</v>
      </c>
      <c r="G4128" s="127">
        <v>8.64E8</v>
      </c>
      <c r="H4128" s="126">
        <v>41427.0</v>
      </c>
      <c r="I4128" s="128">
        <v>4836.0</v>
      </c>
      <c r="J4128" s="128">
        <v>152.58</v>
      </c>
      <c r="K4128" s="128">
        <v>97.44</v>
      </c>
      <c r="L4128" s="128">
        <v>737876.9</v>
      </c>
      <c r="M4128" s="128">
        <v>471219.8</v>
      </c>
      <c r="N4128" s="128">
        <v>266657.0</v>
      </c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</row>
    <row r="4129">
      <c r="A4129" s="125" t="s">
        <v>458</v>
      </c>
      <c r="B4129" s="125" t="s">
        <v>631</v>
      </c>
      <c r="C4129" s="125" t="s">
        <v>471</v>
      </c>
      <c r="D4129" s="125" t="s">
        <v>454</v>
      </c>
      <c r="E4129" s="125" t="s">
        <v>472</v>
      </c>
      <c r="F4129" s="126">
        <v>41652.0</v>
      </c>
      <c r="G4129" s="127">
        <v>9.07E8</v>
      </c>
      <c r="H4129" s="126">
        <v>41662.0</v>
      </c>
      <c r="I4129" s="128">
        <v>4958.0</v>
      </c>
      <c r="J4129" s="128">
        <v>109.28</v>
      </c>
      <c r="K4129" s="128">
        <v>35.84</v>
      </c>
      <c r="L4129" s="128">
        <v>541810.2</v>
      </c>
      <c r="M4129" s="128">
        <v>177694.7</v>
      </c>
      <c r="N4129" s="128">
        <v>364115.5</v>
      </c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</row>
    <row r="4130">
      <c r="A4130" s="125" t="s">
        <v>451</v>
      </c>
      <c r="B4130" s="125" t="s">
        <v>482</v>
      </c>
      <c r="C4130" s="125" t="s">
        <v>506</v>
      </c>
      <c r="D4130" s="125" t="s">
        <v>454</v>
      </c>
      <c r="E4130" s="125" t="s">
        <v>284</v>
      </c>
      <c r="F4130" s="126">
        <v>42641.0</v>
      </c>
      <c r="G4130" s="127">
        <v>9.35E8</v>
      </c>
      <c r="H4130" s="126">
        <v>42656.0</v>
      </c>
      <c r="I4130" s="128">
        <v>1526.0</v>
      </c>
      <c r="J4130" s="128">
        <v>154.06</v>
      </c>
      <c r="K4130" s="128">
        <v>90.93</v>
      </c>
      <c r="L4130" s="128">
        <v>235095.6</v>
      </c>
      <c r="M4130" s="128">
        <v>138759.2</v>
      </c>
      <c r="N4130" s="128">
        <v>96336.38</v>
      </c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</row>
    <row r="4131">
      <c r="A4131" s="125" t="s">
        <v>458</v>
      </c>
      <c r="B4131" s="125" t="s">
        <v>614</v>
      </c>
      <c r="C4131" s="125" t="s">
        <v>463</v>
      </c>
      <c r="D4131" s="125" t="s">
        <v>457</v>
      </c>
      <c r="E4131" s="125" t="s">
        <v>189</v>
      </c>
      <c r="F4131" s="126">
        <v>41557.0</v>
      </c>
      <c r="G4131" s="127">
        <v>5.25E8</v>
      </c>
      <c r="H4131" s="126">
        <v>41560.0</v>
      </c>
      <c r="I4131" s="128">
        <v>2045.0</v>
      </c>
      <c r="J4131" s="128">
        <v>205.7</v>
      </c>
      <c r="K4131" s="128">
        <v>117.11</v>
      </c>
      <c r="L4131" s="128">
        <v>420656.5</v>
      </c>
      <c r="M4131" s="128">
        <v>239490.0</v>
      </c>
      <c r="N4131" s="128">
        <v>181166.6</v>
      </c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</row>
    <row r="4132">
      <c r="A4132" s="125" t="s">
        <v>475</v>
      </c>
      <c r="B4132" s="125" t="s">
        <v>562</v>
      </c>
      <c r="C4132" s="125" t="s">
        <v>494</v>
      </c>
      <c r="D4132" s="125" t="s">
        <v>457</v>
      </c>
      <c r="E4132" s="125" t="s">
        <v>189</v>
      </c>
      <c r="F4132" s="126">
        <v>41532.0</v>
      </c>
      <c r="G4132" s="127">
        <v>6.71E8</v>
      </c>
      <c r="H4132" s="126">
        <v>41565.0</v>
      </c>
      <c r="I4132" s="128">
        <v>6052.0</v>
      </c>
      <c r="J4132" s="128">
        <v>9.33</v>
      </c>
      <c r="K4132" s="128">
        <v>6.92</v>
      </c>
      <c r="L4132" s="128">
        <v>56465.16</v>
      </c>
      <c r="M4132" s="128">
        <v>41879.84</v>
      </c>
      <c r="N4132" s="128">
        <v>14585.32</v>
      </c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</row>
    <row r="4133">
      <c r="A4133" s="125" t="s">
        <v>458</v>
      </c>
      <c r="B4133" s="125" t="s">
        <v>627</v>
      </c>
      <c r="C4133" s="125" t="s">
        <v>494</v>
      </c>
      <c r="D4133" s="125" t="s">
        <v>454</v>
      </c>
      <c r="E4133" s="125" t="s">
        <v>472</v>
      </c>
      <c r="F4133" s="126">
        <v>41933.0</v>
      </c>
      <c r="G4133" s="127">
        <v>6.4E8</v>
      </c>
      <c r="H4133" s="126">
        <v>41936.0</v>
      </c>
      <c r="I4133" s="128">
        <v>112.0</v>
      </c>
      <c r="J4133" s="128">
        <v>9.33</v>
      </c>
      <c r="K4133" s="128">
        <v>6.92</v>
      </c>
      <c r="L4133" s="128">
        <v>1044.96</v>
      </c>
      <c r="M4133" s="128">
        <v>775.04</v>
      </c>
      <c r="N4133" s="128">
        <v>269.92</v>
      </c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</row>
    <row r="4134">
      <c r="A4134" s="125" t="s">
        <v>475</v>
      </c>
      <c r="B4134" s="125" t="s">
        <v>636</v>
      </c>
      <c r="C4134" s="125" t="s">
        <v>480</v>
      </c>
      <c r="D4134" s="125" t="s">
        <v>454</v>
      </c>
      <c r="E4134" s="125" t="s">
        <v>472</v>
      </c>
      <c r="F4134" s="126">
        <v>42520.0</v>
      </c>
      <c r="G4134" s="127">
        <v>2.18E8</v>
      </c>
      <c r="H4134" s="126">
        <v>42544.0</v>
      </c>
      <c r="I4134" s="128">
        <v>2826.0</v>
      </c>
      <c r="J4134" s="128">
        <v>437.2</v>
      </c>
      <c r="K4134" s="128">
        <v>263.33</v>
      </c>
      <c r="L4134" s="128">
        <v>1235527.0</v>
      </c>
      <c r="M4134" s="128">
        <v>744170.6</v>
      </c>
      <c r="N4134" s="128">
        <v>491356.6</v>
      </c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</row>
    <row r="4135">
      <c r="A4135" s="125" t="s">
        <v>461</v>
      </c>
      <c r="B4135" s="125" t="s">
        <v>576</v>
      </c>
      <c r="C4135" s="125" t="s">
        <v>494</v>
      </c>
      <c r="D4135" s="125" t="s">
        <v>454</v>
      </c>
      <c r="E4135" s="125" t="s">
        <v>464</v>
      </c>
      <c r="F4135" s="126">
        <v>42055.0</v>
      </c>
      <c r="G4135" s="127">
        <v>1.6E8</v>
      </c>
      <c r="H4135" s="126">
        <v>42099.0</v>
      </c>
      <c r="I4135" s="128">
        <v>9823.0</v>
      </c>
      <c r="J4135" s="128">
        <v>9.33</v>
      </c>
      <c r="K4135" s="128">
        <v>6.92</v>
      </c>
      <c r="L4135" s="128">
        <v>91648.59</v>
      </c>
      <c r="M4135" s="128">
        <v>67975.16</v>
      </c>
      <c r="N4135" s="128">
        <v>23673.43</v>
      </c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</row>
    <row r="4136">
      <c r="A4136" s="125" t="s">
        <v>475</v>
      </c>
      <c r="B4136" s="125" t="s">
        <v>566</v>
      </c>
      <c r="C4136" s="125" t="s">
        <v>478</v>
      </c>
      <c r="D4136" s="125" t="s">
        <v>457</v>
      </c>
      <c r="E4136" s="125" t="s">
        <v>189</v>
      </c>
      <c r="F4136" s="126">
        <v>42460.0</v>
      </c>
      <c r="G4136" s="127">
        <v>8.43E8</v>
      </c>
      <c r="H4136" s="126">
        <v>42485.0</v>
      </c>
      <c r="I4136" s="128">
        <v>8764.0</v>
      </c>
      <c r="J4136" s="128">
        <v>651.21</v>
      </c>
      <c r="K4136" s="128">
        <v>524.96</v>
      </c>
      <c r="L4136" s="128">
        <v>5707204.0</v>
      </c>
      <c r="M4136" s="128">
        <v>4600749.0</v>
      </c>
      <c r="N4136" s="128">
        <v>1106455.0</v>
      </c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</row>
    <row r="4137">
      <c r="A4137" s="125" t="s">
        <v>466</v>
      </c>
      <c r="B4137" s="125" t="s">
        <v>496</v>
      </c>
      <c r="C4137" s="125" t="s">
        <v>456</v>
      </c>
      <c r="D4137" s="125" t="s">
        <v>454</v>
      </c>
      <c r="E4137" s="125" t="s">
        <v>189</v>
      </c>
      <c r="F4137" s="126">
        <v>41891.0</v>
      </c>
      <c r="G4137" s="127">
        <v>9.15E8</v>
      </c>
      <c r="H4137" s="126">
        <v>41909.0</v>
      </c>
      <c r="I4137" s="128">
        <v>4342.0</v>
      </c>
      <c r="J4137" s="128">
        <v>152.58</v>
      </c>
      <c r="K4137" s="128">
        <v>97.44</v>
      </c>
      <c r="L4137" s="128">
        <v>662502.4</v>
      </c>
      <c r="M4137" s="128">
        <v>423084.5</v>
      </c>
      <c r="N4137" s="128">
        <v>239417.9</v>
      </c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</row>
    <row r="4138">
      <c r="A4138" s="125" t="s">
        <v>451</v>
      </c>
      <c r="B4138" s="125" t="s">
        <v>452</v>
      </c>
      <c r="C4138" s="125" t="s">
        <v>494</v>
      </c>
      <c r="D4138" s="125" t="s">
        <v>454</v>
      </c>
      <c r="E4138" s="125" t="s">
        <v>284</v>
      </c>
      <c r="F4138" s="126">
        <v>41665.0</v>
      </c>
      <c r="G4138" s="127">
        <v>4.42E8</v>
      </c>
      <c r="H4138" s="126">
        <v>41703.0</v>
      </c>
      <c r="I4138" s="128">
        <v>3279.0</v>
      </c>
      <c r="J4138" s="128">
        <v>9.33</v>
      </c>
      <c r="K4138" s="128">
        <v>6.92</v>
      </c>
      <c r="L4138" s="128">
        <v>30593.07</v>
      </c>
      <c r="M4138" s="128">
        <v>22690.68</v>
      </c>
      <c r="N4138" s="128">
        <v>7902.39</v>
      </c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</row>
    <row r="4139">
      <c r="A4139" s="125" t="s">
        <v>466</v>
      </c>
      <c r="B4139" s="125" t="s">
        <v>607</v>
      </c>
      <c r="C4139" s="125" t="s">
        <v>468</v>
      </c>
      <c r="D4139" s="125" t="s">
        <v>454</v>
      </c>
      <c r="E4139" s="125" t="s">
        <v>284</v>
      </c>
      <c r="F4139" s="126">
        <v>42100.0</v>
      </c>
      <c r="G4139" s="127">
        <v>4.63E8</v>
      </c>
      <c r="H4139" s="126">
        <v>42136.0</v>
      </c>
      <c r="I4139" s="128">
        <v>9332.0</v>
      </c>
      <c r="J4139" s="128">
        <v>81.73</v>
      </c>
      <c r="K4139" s="128">
        <v>56.67</v>
      </c>
      <c r="L4139" s="128">
        <v>762704.4</v>
      </c>
      <c r="M4139" s="128">
        <v>528844.4</v>
      </c>
      <c r="N4139" s="128">
        <v>233859.9</v>
      </c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</row>
    <row r="4140">
      <c r="A4140" s="125" t="s">
        <v>458</v>
      </c>
      <c r="B4140" s="125" t="s">
        <v>538</v>
      </c>
      <c r="C4140" s="125" t="s">
        <v>485</v>
      </c>
      <c r="D4140" s="125" t="s">
        <v>454</v>
      </c>
      <c r="E4140" s="125" t="s">
        <v>189</v>
      </c>
      <c r="F4140" s="126">
        <v>41141.0</v>
      </c>
      <c r="G4140" s="127">
        <v>7.34E8</v>
      </c>
      <c r="H4140" s="126">
        <v>41167.0</v>
      </c>
      <c r="I4140" s="128">
        <v>8286.0</v>
      </c>
      <c r="J4140" s="128">
        <v>421.89</v>
      </c>
      <c r="K4140" s="128">
        <v>364.69</v>
      </c>
      <c r="L4140" s="128">
        <v>3495781.0</v>
      </c>
      <c r="M4140" s="128">
        <v>3021821.0</v>
      </c>
      <c r="N4140" s="128">
        <v>473959.2</v>
      </c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</row>
    <row r="4141">
      <c r="A4141" s="125" t="s">
        <v>458</v>
      </c>
      <c r="B4141" s="125" t="s">
        <v>473</v>
      </c>
      <c r="C4141" s="125" t="s">
        <v>456</v>
      </c>
      <c r="D4141" s="125" t="s">
        <v>454</v>
      </c>
      <c r="E4141" s="125" t="s">
        <v>464</v>
      </c>
      <c r="F4141" s="126">
        <v>41267.0</v>
      </c>
      <c r="G4141" s="127">
        <v>1.84E8</v>
      </c>
      <c r="H4141" s="126">
        <v>41281.0</v>
      </c>
      <c r="I4141" s="128">
        <v>2958.0</v>
      </c>
      <c r="J4141" s="128">
        <v>152.58</v>
      </c>
      <c r="K4141" s="128">
        <v>97.44</v>
      </c>
      <c r="L4141" s="128">
        <v>451331.6</v>
      </c>
      <c r="M4141" s="128">
        <v>288227.5</v>
      </c>
      <c r="N4141" s="128">
        <v>163104.1</v>
      </c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</row>
    <row r="4142">
      <c r="A4142" s="125" t="s">
        <v>466</v>
      </c>
      <c r="B4142" s="125" t="s">
        <v>484</v>
      </c>
      <c r="C4142" s="125" t="s">
        <v>460</v>
      </c>
      <c r="D4142" s="125" t="s">
        <v>454</v>
      </c>
      <c r="E4142" s="125" t="s">
        <v>472</v>
      </c>
      <c r="F4142" s="126">
        <v>42583.0</v>
      </c>
      <c r="G4142" s="127">
        <v>9.61E8</v>
      </c>
      <c r="H4142" s="126">
        <v>42599.0</v>
      </c>
      <c r="I4142" s="128">
        <v>8198.0</v>
      </c>
      <c r="J4142" s="128">
        <v>47.45</v>
      </c>
      <c r="K4142" s="128">
        <v>31.79</v>
      </c>
      <c r="L4142" s="128">
        <v>388995.1</v>
      </c>
      <c r="M4142" s="128">
        <v>260614.4</v>
      </c>
      <c r="N4142" s="128">
        <v>128380.7</v>
      </c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</row>
    <row r="4143">
      <c r="A4143" s="125" t="s">
        <v>466</v>
      </c>
      <c r="B4143" s="125" t="s">
        <v>502</v>
      </c>
      <c r="C4143" s="125" t="s">
        <v>485</v>
      </c>
      <c r="D4143" s="125" t="s">
        <v>457</v>
      </c>
      <c r="E4143" s="125" t="s">
        <v>189</v>
      </c>
      <c r="F4143" s="126">
        <v>41433.0</v>
      </c>
      <c r="G4143" s="127">
        <v>7.86E8</v>
      </c>
      <c r="H4143" s="126">
        <v>41470.0</v>
      </c>
      <c r="I4143" s="128">
        <v>5884.0</v>
      </c>
      <c r="J4143" s="128">
        <v>421.89</v>
      </c>
      <c r="K4143" s="128">
        <v>364.69</v>
      </c>
      <c r="L4143" s="128">
        <v>2482401.0</v>
      </c>
      <c r="M4143" s="128">
        <v>2145836.0</v>
      </c>
      <c r="N4143" s="128">
        <v>336564.8</v>
      </c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</row>
    <row r="4144">
      <c r="A4144" s="125" t="s">
        <v>458</v>
      </c>
      <c r="B4144" s="125" t="s">
        <v>505</v>
      </c>
      <c r="C4144" s="125" t="s">
        <v>456</v>
      </c>
      <c r="D4144" s="125" t="s">
        <v>457</v>
      </c>
      <c r="E4144" s="125" t="s">
        <v>189</v>
      </c>
      <c r="F4144" s="126">
        <v>42847.0</v>
      </c>
      <c r="G4144" s="127">
        <v>5.95E8</v>
      </c>
      <c r="H4144" s="126">
        <v>42892.0</v>
      </c>
      <c r="I4144" s="128">
        <v>9929.0</v>
      </c>
      <c r="J4144" s="128">
        <v>152.58</v>
      </c>
      <c r="K4144" s="128">
        <v>97.44</v>
      </c>
      <c r="L4144" s="128">
        <v>1514967.0</v>
      </c>
      <c r="M4144" s="128">
        <v>967481.8</v>
      </c>
      <c r="N4144" s="128">
        <v>547485.1</v>
      </c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</row>
    <row r="4145">
      <c r="A4145" s="125" t="s">
        <v>469</v>
      </c>
      <c r="B4145" s="125" t="s">
        <v>569</v>
      </c>
      <c r="C4145" s="125" t="s">
        <v>506</v>
      </c>
      <c r="D4145" s="125" t="s">
        <v>457</v>
      </c>
      <c r="E4145" s="125" t="s">
        <v>189</v>
      </c>
      <c r="F4145" s="126">
        <v>42566.0</v>
      </c>
      <c r="G4145" s="127">
        <v>4.99E8</v>
      </c>
      <c r="H4145" s="126">
        <v>42614.0</v>
      </c>
      <c r="I4145" s="128">
        <v>1274.0</v>
      </c>
      <c r="J4145" s="128">
        <v>154.06</v>
      </c>
      <c r="K4145" s="128">
        <v>90.93</v>
      </c>
      <c r="L4145" s="128">
        <v>196272.4</v>
      </c>
      <c r="M4145" s="128">
        <v>115844.8</v>
      </c>
      <c r="N4145" s="128">
        <v>80427.62</v>
      </c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</row>
    <row r="4146">
      <c r="A4146" s="125" t="s">
        <v>466</v>
      </c>
      <c r="B4146" s="125" t="s">
        <v>580</v>
      </c>
      <c r="C4146" s="125" t="s">
        <v>506</v>
      </c>
      <c r="D4146" s="125" t="s">
        <v>454</v>
      </c>
      <c r="E4146" s="125" t="s">
        <v>284</v>
      </c>
      <c r="F4146" s="126">
        <v>42248.0</v>
      </c>
      <c r="G4146" s="127">
        <v>2.28E8</v>
      </c>
      <c r="H4146" s="126">
        <v>42262.0</v>
      </c>
      <c r="I4146" s="128">
        <v>2894.0</v>
      </c>
      <c r="J4146" s="128">
        <v>154.06</v>
      </c>
      <c r="K4146" s="128">
        <v>90.93</v>
      </c>
      <c r="L4146" s="128">
        <v>445849.6</v>
      </c>
      <c r="M4146" s="128">
        <v>263151.4</v>
      </c>
      <c r="N4146" s="128">
        <v>182698.2</v>
      </c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</row>
    <row r="4147">
      <c r="A4147" s="125" t="s">
        <v>451</v>
      </c>
      <c r="B4147" s="125" t="s">
        <v>483</v>
      </c>
      <c r="C4147" s="125" t="s">
        <v>453</v>
      </c>
      <c r="D4147" s="125" t="s">
        <v>457</v>
      </c>
      <c r="E4147" s="125" t="s">
        <v>189</v>
      </c>
      <c r="F4147" s="126">
        <v>42559.0</v>
      </c>
      <c r="G4147" s="127">
        <v>4.82E8</v>
      </c>
      <c r="H4147" s="126">
        <v>42563.0</v>
      </c>
      <c r="I4147" s="128">
        <v>4793.0</v>
      </c>
      <c r="J4147" s="128">
        <v>255.28</v>
      </c>
      <c r="K4147" s="128">
        <v>159.42</v>
      </c>
      <c r="L4147" s="128">
        <v>1223557.0</v>
      </c>
      <c r="M4147" s="128">
        <v>764100.1</v>
      </c>
      <c r="N4147" s="128">
        <v>459457.0</v>
      </c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</row>
    <row r="4148">
      <c r="A4148" s="125" t="s">
        <v>475</v>
      </c>
      <c r="B4148" s="125" t="s">
        <v>628</v>
      </c>
      <c r="C4148" s="125" t="s">
        <v>478</v>
      </c>
      <c r="D4148" s="125" t="s">
        <v>457</v>
      </c>
      <c r="E4148" s="125" t="s">
        <v>189</v>
      </c>
      <c r="F4148" s="126">
        <v>41789.0</v>
      </c>
      <c r="G4148" s="127">
        <v>6.81E8</v>
      </c>
      <c r="H4148" s="126">
        <v>41828.0</v>
      </c>
      <c r="I4148" s="128">
        <v>9006.0</v>
      </c>
      <c r="J4148" s="128">
        <v>651.21</v>
      </c>
      <c r="K4148" s="128">
        <v>524.96</v>
      </c>
      <c r="L4148" s="128">
        <v>5864797.0</v>
      </c>
      <c r="M4148" s="128">
        <v>4727790.0</v>
      </c>
      <c r="N4148" s="128">
        <v>1137008.0</v>
      </c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</row>
    <row r="4149">
      <c r="A4149" s="125" t="s">
        <v>475</v>
      </c>
      <c r="B4149" s="125" t="s">
        <v>549</v>
      </c>
      <c r="C4149" s="125" t="s">
        <v>471</v>
      </c>
      <c r="D4149" s="125" t="s">
        <v>457</v>
      </c>
      <c r="E4149" s="125" t="s">
        <v>472</v>
      </c>
      <c r="F4149" s="126">
        <v>42764.0</v>
      </c>
      <c r="G4149" s="127">
        <v>3.15E8</v>
      </c>
      <c r="H4149" s="126">
        <v>42791.0</v>
      </c>
      <c r="I4149" s="128">
        <v>4603.0</v>
      </c>
      <c r="J4149" s="128">
        <v>109.28</v>
      </c>
      <c r="K4149" s="128">
        <v>35.84</v>
      </c>
      <c r="L4149" s="128">
        <v>503015.8</v>
      </c>
      <c r="M4149" s="128">
        <v>164971.5</v>
      </c>
      <c r="N4149" s="128">
        <v>338044.3</v>
      </c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</row>
    <row r="4150">
      <c r="A4150" s="125" t="s">
        <v>469</v>
      </c>
      <c r="B4150" s="125" t="s">
        <v>650</v>
      </c>
      <c r="C4150" s="125" t="s">
        <v>471</v>
      </c>
      <c r="D4150" s="125" t="s">
        <v>454</v>
      </c>
      <c r="E4150" s="125" t="s">
        <v>189</v>
      </c>
      <c r="F4150" s="126">
        <v>40401.0</v>
      </c>
      <c r="G4150" s="127">
        <v>2.96E8</v>
      </c>
      <c r="H4150" s="126">
        <v>40444.0</v>
      </c>
      <c r="I4150" s="128">
        <v>2680.0</v>
      </c>
      <c r="J4150" s="128">
        <v>109.28</v>
      </c>
      <c r="K4150" s="128">
        <v>35.84</v>
      </c>
      <c r="L4150" s="128">
        <v>292870.4</v>
      </c>
      <c r="M4150" s="128">
        <v>96051.2</v>
      </c>
      <c r="N4150" s="128">
        <v>196819.2</v>
      </c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</row>
    <row r="4151">
      <c r="A4151" s="125" t="s">
        <v>475</v>
      </c>
      <c r="B4151" s="125" t="s">
        <v>635</v>
      </c>
      <c r="C4151" s="125" t="s">
        <v>485</v>
      </c>
      <c r="D4151" s="125" t="s">
        <v>457</v>
      </c>
      <c r="E4151" s="125" t="s">
        <v>189</v>
      </c>
      <c r="F4151" s="126">
        <v>42455.0</v>
      </c>
      <c r="G4151" s="127">
        <v>7.05E8</v>
      </c>
      <c r="H4151" s="126">
        <v>42502.0</v>
      </c>
      <c r="I4151" s="128">
        <v>1369.0</v>
      </c>
      <c r="J4151" s="128">
        <v>421.89</v>
      </c>
      <c r="K4151" s="128">
        <v>364.69</v>
      </c>
      <c r="L4151" s="128">
        <v>577567.4</v>
      </c>
      <c r="M4151" s="128">
        <v>499260.6</v>
      </c>
      <c r="N4151" s="128">
        <v>78306.8</v>
      </c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</row>
    <row r="4152">
      <c r="A4152" s="125" t="s">
        <v>466</v>
      </c>
      <c r="B4152" s="125" t="s">
        <v>508</v>
      </c>
      <c r="C4152" s="125" t="s">
        <v>514</v>
      </c>
      <c r="D4152" s="125" t="s">
        <v>457</v>
      </c>
      <c r="E4152" s="125" t="s">
        <v>464</v>
      </c>
      <c r="F4152" s="126">
        <v>40472.0</v>
      </c>
      <c r="G4152" s="127">
        <v>3.44E8</v>
      </c>
      <c r="H4152" s="126">
        <v>40487.0</v>
      </c>
      <c r="I4152" s="128">
        <v>830.0</v>
      </c>
      <c r="J4152" s="128">
        <v>668.27</v>
      </c>
      <c r="K4152" s="128">
        <v>502.54</v>
      </c>
      <c r="L4152" s="128">
        <v>554664.1</v>
      </c>
      <c r="M4152" s="128">
        <v>417108.2</v>
      </c>
      <c r="N4152" s="128">
        <v>137555.9</v>
      </c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</row>
    <row r="4153">
      <c r="A4153" s="125" t="s">
        <v>475</v>
      </c>
      <c r="B4153" s="125" t="s">
        <v>513</v>
      </c>
      <c r="C4153" s="125" t="s">
        <v>480</v>
      </c>
      <c r="D4153" s="125" t="s">
        <v>457</v>
      </c>
      <c r="E4153" s="125" t="s">
        <v>472</v>
      </c>
      <c r="F4153" s="126">
        <v>41601.0</v>
      </c>
      <c r="G4153" s="127">
        <v>7.84E8</v>
      </c>
      <c r="H4153" s="126">
        <v>41610.0</v>
      </c>
      <c r="I4153" s="128">
        <v>8256.0</v>
      </c>
      <c r="J4153" s="128">
        <v>437.2</v>
      </c>
      <c r="K4153" s="128">
        <v>263.33</v>
      </c>
      <c r="L4153" s="128">
        <v>3609523.0</v>
      </c>
      <c r="M4153" s="128">
        <v>2174052.0</v>
      </c>
      <c r="N4153" s="128">
        <v>1435471.0</v>
      </c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</row>
    <row r="4154">
      <c r="A4154" s="125" t="s">
        <v>475</v>
      </c>
      <c r="B4154" s="125" t="s">
        <v>585</v>
      </c>
      <c r="C4154" s="125" t="s">
        <v>478</v>
      </c>
      <c r="D4154" s="125" t="s">
        <v>457</v>
      </c>
      <c r="E4154" s="125" t="s">
        <v>189</v>
      </c>
      <c r="F4154" s="126">
        <v>42315.0</v>
      </c>
      <c r="G4154" s="127">
        <v>5.18E8</v>
      </c>
      <c r="H4154" s="126">
        <v>42322.0</v>
      </c>
      <c r="I4154" s="128">
        <v>2870.0</v>
      </c>
      <c r="J4154" s="128">
        <v>651.21</v>
      </c>
      <c r="K4154" s="128">
        <v>524.96</v>
      </c>
      <c r="L4154" s="128">
        <v>1868973.0</v>
      </c>
      <c r="M4154" s="128">
        <v>1506635.0</v>
      </c>
      <c r="N4154" s="128">
        <v>362337.5</v>
      </c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</row>
    <row r="4155">
      <c r="A4155" s="125" t="s">
        <v>461</v>
      </c>
      <c r="B4155" s="125" t="s">
        <v>556</v>
      </c>
      <c r="C4155" s="125" t="s">
        <v>480</v>
      </c>
      <c r="D4155" s="125" t="s">
        <v>454</v>
      </c>
      <c r="E4155" s="125" t="s">
        <v>464</v>
      </c>
      <c r="F4155" s="126">
        <v>40860.0</v>
      </c>
      <c r="G4155" s="127">
        <v>8.08E8</v>
      </c>
      <c r="H4155" s="126">
        <v>40882.0</v>
      </c>
      <c r="I4155" s="128">
        <v>927.0</v>
      </c>
      <c r="J4155" s="128">
        <v>437.2</v>
      </c>
      <c r="K4155" s="128">
        <v>263.33</v>
      </c>
      <c r="L4155" s="128">
        <v>405284.4</v>
      </c>
      <c r="M4155" s="128">
        <v>244106.9</v>
      </c>
      <c r="N4155" s="128">
        <v>161177.5</v>
      </c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</row>
    <row r="4156">
      <c r="A4156" s="125" t="s">
        <v>469</v>
      </c>
      <c r="B4156" s="125" t="s">
        <v>569</v>
      </c>
      <c r="C4156" s="125" t="s">
        <v>471</v>
      </c>
      <c r="D4156" s="125" t="s">
        <v>457</v>
      </c>
      <c r="E4156" s="125" t="s">
        <v>472</v>
      </c>
      <c r="F4156" s="126">
        <v>41403.0</v>
      </c>
      <c r="G4156" s="127">
        <v>7.38E8</v>
      </c>
      <c r="H4156" s="126">
        <v>41435.0</v>
      </c>
      <c r="I4156" s="128">
        <v>713.0</v>
      </c>
      <c r="J4156" s="128">
        <v>109.28</v>
      </c>
      <c r="K4156" s="128">
        <v>35.84</v>
      </c>
      <c r="L4156" s="128">
        <v>77916.64</v>
      </c>
      <c r="M4156" s="128">
        <v>25553.92</v>
      </c>
      <c r="N4156" s="128">
        <v>52362.72</v>
      </c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</row>
    <row r="4157">
      <c r="A4157" s="125" t="s">
        <v>475</v>
      </c>
      <c r="B4157" s="125" t="s">
        <v>500</v>
      </c>
      <c r="C4157" s="125" t="s">
        <v>471</v>
      </c>
      <c r="D4157" s="125" t="s">
        <v>454</v>
      </c>
      <c r="E4157" s="125" t="s">
        <v>189</v>
      </c>
      <c r="F4157" s="126">
        <v>41584.0</v>
      </c>
      <c r="G4157" s="127">
        <v>3.59E8</v>
      </c>
      <c r="H4157" s="126">
        <v>41587.0</v>
      </c>
      <c r="I4157" s="128">
        <v>7546.0</v>
      </c>
      <c r="J4157" s="128">
        <v>109.28</v>
      </c>
      <c r="K4157" s="128">
        <v>35.84</v>
      </c>
      <c r="L4157" s="128">
        <v>824626.9</v>
      </c>
      <c r="M4157" s="128">
        <v>270448.6</v>
      </c>
      <c r="N4157" s="128">
        <v>554178.2</v>
      </c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</row>
    <row r="4158">
      <c r="A4158" s="125" t="s">
        <v>458</v>
      </c>
      <c r="B4158" s="125" t="s">
        <v>594</v>
      </c>
      <c r="C4158" s="125" t="s">
        <v>478</v>
      </c>
      <c r="D4158" s="125" t="s">
        <v>454</v>
      </c>
      <c r="E4158" s="125" t="s">
        <v>472</v>
      </c>
      <c r="F4158" s="126">
        <v>42198.0</v>
      </c>
      <c r="G4158" s="127">
        <v>2.47E8</v>
      </c>
      <c r="H4158" s="126">
        <v>42214.0</v>
      </c>
      <c r="I4158" s="128">
        <v>8775.0</v>
      </c>
      <c r="J4158" s="128">
        <v>651.21</v>
      </c>
      <c r="K4158" s="128">
        <v>524.96</v>
      </c>
      <c r="L4158" s="128">
        <v>5714368.0</v>
      </c>
      <c r="M4158" s="128">
        <v>4606524.0</v>
      </c>
      <c r="N4158" s="128">
        <v>1107844.0</v>
      </c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</row>
    <row r="4159">
      <c r="A4159" s="125" t="s">
        <v>475</v>
      </c>
      <c r="B4159" s="125" t="s">
        <v>649</v>
      </c>
      <c r="C4159" s="125" t="s">
        <v>463</v>
      </c>
      <c r="D4159" s="125" t="s">
        <v>454</v>
      </c>
      <c r="E4159" s="125" t="s">
        <v>472</v>
      </c>
      <c r="F4159" s="126">
        <v>40282.0</v>
      </c>
      <c r="G4159" s="127">
        <v>1.44E8</v>
      </c>
      <c r="H4159" s="126">
        <v>40320.0</v>
      </c>
      <c r="I4159" s="128">
        <v>8778.0</v>
      </c>
      <c r="J4159" s="128">
        <v>205.7</v>
      </c>
      <c r="K4159" s="128">
        <v>117.11</v>
      </c>
      <c r="L4159" s="128">
        <v>1805635.0</v>
      </c>
      <c r="M4159" s="128">
        <v>1027992.0</v>
      </c>
      <c r="N4159" s="128">
        <v>777643.0</v>
      </c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</row>
    <row r="4160">
      <c r="A4160" s="125" t="s">
        <v>458</v>
      </c>
      <c r="B4160" s="125" t="s">
        <v>633</v>
      </c>
      <c r="C4160" s="125" t="s">
        <v>456</v>
      </c>
      <c r="D4160" s="125" t="s">
        <v>457</v>
      </c>
      <c r="E4160" s="125" t="s">
        <v>464</v>
      </c>
      <c r="F4160" s="126">
        <v>41557.0</v>
      </c>
      <c r="G4160" s="127">
        <v>3.15E8</v>
      </c>
      <c r="H4160" s="126">
        <v>41606.0</v>
      </c>
      <c r="I4160" s="128">
        <v>3968.0</v>
      </c>
      <c r="J4160" s="128">
        <v>152.58</v>
      </c>
      <c r="K4160" s="128">
        <v>97.44</v>
      </c>
      <c r="L4160" s="128">
        <v>605437.4</v>
      </c>
      <c r="M4160" s="128">
        <v>386641.9</v>
      </c>
      <c r="N4160" s="128">
        <v>218795.5</v>
      </c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</row>
    <row r="4161">
      <c r="A4161" s="125" t="s">
        <v>469</v>
      </c>
      <c r="B4161" s="125" t="s">
        <v>634</v>
      </c>
      <c r="C4161" s="125" t="s">
        <v>460</v>
      </c>
      <c r="D4161" s="125" t="s">
        <v>454</v>
      </c>
      <c r="E4161" s="125" t="s">
        <v>284</v>
      </c>
      <c r="F4161" s="126">
        <v>42454.0</v>
      </c>
      <c r="G4161" s="127">
        <v>1.94E8</v>
      </c>
      <c r="H4161" s="126">
        <v>42471.0</v>
      </c>
      <c r="I4161" s="128">
        <v>7786.0</v>
      </c>
      <c r="J4161" s="128">
        <v>47.45</v>
      </c>
      <c r="K4161" s="128">
        <v>31.79</v>
      </c>
      <c r="L4161" s="128">
        <v>369445.7</v>
      </c>
      <c r="M4161" s="128">
        <v>247516.9</v>
      </c>
      <c r="N4161" s="128">
        <v>121928.8</v>
      </c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</row>
    <row r="4162">
      <c r="A4162" s="125" t="s">
        <v>475</v>
      </c>
      <c r="B4162" s="125" t="s">
        <v>558</v>
      </c>
      <c r="C4162" s="125" t="s">
        <v>480</v>
      </c>
      <c r="D4162" s="125" t="s">
        <v>457</v>
      </c>
      <c r="E4162" s="125" t="s">
        <v>464</v>
      </c>
      <c r="F4162" s="126">
        <v>42558.0</v>
      </c>
      <c r="G4162" s="127">
        <v>6.36E8</v>
      </c>
      <c r="H4162" s="126">
        <v>42586.0</v>
      </c>
      <c r="I4162" s="128">
        <v>5707.0</v>
      </c>
      <c r="J4162" s="128">
        <v>437.2</v>
      </c>
      <c r="K4162" s="128">
        <v>263.33</v>
      </c>
      <c r="L4162" s="128">
        <v>2495100.0</v>
      </c>
      <c r="M4162" s="128">
        <v>1502824.0</v>
      </c>
      <c r="N4162" s="128">
        <v>992276.1</v>
      </c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</row>
    <row r="4163">
      <c r="A4163" s="125" t="s">
        <v>458</v>
      </c>
      <c r="B4163" s="125" t="s">
        <v>610</v>
      </c>
      <c r="C4163" s="125" t="s">
        <v>514</v>
      </c>
      <c r="D4163" s="125" t="s">
        <v>457</v>
      </c>
      <c r="E4163" s="125" t="s">
        <v>284</v>
      </c>
      <c r="F4163" s="126">
        <v>40460.0</v>
      </c>
      <c r="G4163" s="127">
        <v>7.66E8</v>
      </c>
      <c r="H4163" s="126">
        <v>40461.0</v>
      </c>
      <c r="I4163" s="128">
        <v>235.0</v>
      </c>
      <c r="J4163" s="128">
        <v>668.27</v>
      </c>
      <c r="K4163" s="128">
        <v>502.54</v>
      </c>
      <c r="L4163" s="128">
        <v>157043.5</v>
      </c>
      <c r="M4163" s="128">
        <v>118096.9</v>
      </c>
      <c r="N4163" s="128">
        <v>38946.55</v>
      </c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</row>
    <row r="4164">
      <c r="A4164" s="125" t="s">
        <v>466</v>
      </c>
      <c r="B4164" s="125" t="s">
        <v>637</v>
      </c>
      <c r="C4164" s="125" t="s">
        <v>494</v>
      </c>
      <c r="D4164" s="125" t="s">
        <v>457</v>
      </c>
      <c r="E4164" s="125" t="s">
        <v>189</v>
      </c>
      <c r="F4164" s="126">
        <v>40674.0</v>
      </c>
      <c r="G4164" s="127">
        <v>2.29E8</v>
      </c>
      <c r="H4164" s="126">
        <v>40694.0</v>
      </c>
      <c r="I4164" s="128">
        <v>5906.0</v>
      </c>
      <c r="J4164" s="128">
        <v>9.33</v>
      </c>
      <c r="K4164" s="128">
        <v>6.92</v>
      </c>
      <c r="L4164" s="128">
        <v>55102.98</v>
      </c>
      <c r="M4164" s="128">
        <v>40869.52</v>
      </c>
      <c r="N4164" s="128">
        <v>14233.46</v>
      </c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</row>
    <row r="4165">
      <c r="A4165" s="125" t="s">
        <v>475</v>
      </c>
      <c r="B4165" s="125" t="s">
        <v>513</v>
      </c>
      <c r="C4165" s="125" t="s">
        <v>514</v>
      </c>
      <c r="D4165" s="125" t="s">
        <v>454</v>
      </c>
      <c r="E4165" s="125" t="s">
        <v>284</v>
      </c>
      <c r="F4165" s="126">
        <v>41185.0</v>
      </c>
      <c r="G4165" s="127">
        <v>5.42E8</v>
      </c>
      <c r="H4165" s="126">
        <v>41193.0</v>
      </c>
      <c r="I4165" s="128">
        <v>4289.0</v>
      </c>
      <c r="J4165" s="128">
        <v>668.27</v>
      </c>
      <c r="K4165" s="128">
        <v>502.54</v>
      </c>
      <c r="L4165" s="128">
        <v>2866210.0</v>
      </c>
      <c r="M4165" s="128">
        <v>2155394.0</v>
      </c>
      <c r="N4165" s="128">
        <v>710816.0</v>
      </c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</row>
    <row r="4166">
      <c r="A4166" s="125" t="s">
        <v>458</v>
      </c>
      <c r="B4166" s="125" t="s">
        <v>533</v>
      </c>
      <c r="C4166" s="125" t="s">
        <v>471</v>
      </c>
      <c r="D4166" s="125" t="s">
        <v>457</v>
      </c>
      <c r="E4166" s="125" t="s">
        <v>464</v>
      </c>
      <c r="F4166" s="126">
        <v>40368.0</v>
      </c>
      <c r="G4166" s="127">
        <v>1.39E8</v>
      </c>
      <c r="H4166" s="126">
        <v>40368.0</v>
      </c>
      <c r="I4166" s="128">
        <v>8980.0</v>
      </c>
      <c r="J4166" s="128">
        <v>109.28</v>
      </c>
      <c r="K4166" s="128">
        <v>35.84</v>
      </c>
      <c r="L4166" s="128">
        <v>981334.4</v>
      </c>
      <c r="M4166" s="128">
        <v>321843.2</v>
      </c>
      <c r="N4166" s="128">
        <v>659491.2</v>
      </c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</row>
    <row r="4167">
      <c r="A4167" s="125" t="s">
        <v>451</v>
      </c>
      <c r="B4167" s="125" t="s">
        <v>655</v>
      </c>
      <c r="C4167" s="125" t="s">
        <v>453</v>
      </c>
      <c r="D4167" s="125" t="s">
        <v>454</v>
      </c>
      <c r="E4167" s="125" t="s">
        <v>472</v>
      </c>
      <c r="F4167" s="126">
        <v>41137.0</v>
      </c>
      <c r="G4167" s="127">
        <v>2.27E8</v>
      </c>
      <c r="H4167" s="126">
        <v>41158.0</v>
      </c>
      <c r="I4167" s="128">
        <v>611.0</v>
      </c>
      <c r="J4167" s="128">
        <v>255.28</v>
      </c>
      <c r="K4167" s="128">
        <v>159.42</v>
      </c>
      <c r="L4167" s="128">
        <v>155976.1</v>
      </c>
      <c r="M4167" s="128">
        <v>97405.62</v>
      </c>
      <c r="N4167" s="128">
        <v>58570.46</v>
      </c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</row>
    <row r="4168">
      <c r="A4168" s="125" t="s">
        <v>458</v>
      </c>
      <c r="B4168" s="125" t="s">
        <v>505</v>
      </c>
      <c r="C4168" s="125" t="s">
        <v>463</v>
      </c>
      <c r="D4168" s="125" t="s">
        <v>454</v>
      </c>
      <c r="E4168" s="125" t="s">
        <v>189</v>
      </c>
      <c r="F4168" s="126">
        <v>41261.0</v>
      </c>
      <c r="G4168" s="127">
        <v>7.34E8</v>
      </c>
      <c r="H4168" s="126">
        <v>41267.0</v>
      </c>
      <c r="I4168" s="128">
        <v>1842.0</v>
      </c>
      <c r="J4168" s="128">
        <v>205.7</v>
      </c>
      <c r="K4168" s="128">
        <v>117.11</v>
      </c>
      <c r="L4168" s="128">
        <v>378899.4</v>
      </c>
      <c r="M4168" s="128">
        <v>215716.6</v>
      </c>
      <c r="N4168" s="128">
        <v>163182.8</v>
      </c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</row>
    <row r="4169">
      <c r="A4169" s="125" t="s">
        <v>475</v>
      </c>
      <c r="B4169" s="125" t="s">
        <v>588</v>
      </c>
      <c r="C4169" s="125" t="s">
        <v>478</v>
      </c>
      <c r="D4169" s="125" t="s">
        <v>454</v>
      </c>
      <c r="E4169" s="125" t="s">
        <v>472</v>
      </c>
      <c r="F4169" s="126">
        <v>40284.0</v>
      </c>
      <c r="G4169" s="127">
        <v>7.55E8</v>
      </c>
      <c r="H4169" s="126">
        <v>40318.0</v>
      </c>
      <c r="I4169" s="128">
        <v>2366.0</v>
      </c>
      <c r="J4169" s="128">
        <v>651.21</v>
      </c>
      <c r="K4169" s="128">
        <v>524.96</v>
      </c>
      <c r="L4169" s="128">
        <v>1540763.0</v>
      </c>
      <c r="M4169" s="128">
        <v>1242055.0</v>
      </c>
      <c r="N4169" s="128">
        <v>298707.5</v>
      </c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</row>
    <row r="4170">
      <c r="A4170" s="125" t="s">
        <v>461</v>
      </c>
      <c r="B4170" s="125" t="s">
        <v>611</v>
      </c>
      <c r="C4170" s="125" t="s">
        <v>506</v>
      </c>
      <c r="D4170" s="125" t="s">
        <v>457</v>
      </c>
      <c r="E4170" s="125" t="s">
        <v>464</v>
      </c>
      <c r="F4170" s="126">
        <v>40901.0</v>
      </c>
      <c r="G4170" s="127">
        <v>8.08E8</v>
      </c>
      <c r="H4170" s="126">
        <v>40942.0</v>
      </c>
      <c r="I4170" s="128">
        <v>3906.0</v>
      </c>
      <c r="J4170" s="128">
        <v>154.06</v>
      </c>
      <c r="K4170" s="128">
        <v>90.93</v>
      </c>
      <c r="L4170" s="128">
        <v>601758.4</v>
      </c>
      <c r="M4170" s="128">
        <v>355172.6</v>
      </c>
      <c r="N4170" s="128">
        <v>246585.8</v>
      </c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</row>
    <row r="4171">
      <c r="A4171" s="125" t="s">
        <v>458</v>
      </c>
      <c r="B4171" s="125" t="s">
        <v>582</v>
      </c>
      <c r="C4171" s="125" t="s">
        <v>478</v>
      </c>
      <c r="D4171" s="125" t="s">
        <v>454</v>
      </c>
      <c r="E4171" s="125" t="s">
        <v>284</v>
      </c>
      <c r="F4171" s="126">
        <v>42051.0</v>
      </c>
      <c r="G4171" s="127">
        <v>5.81E8</v>
      </c>
      <c r="H4171" s="126">
        <v>42055.0</v>
      </c>
      <c r="I4171" s="128">
        <v>5217.0</v>
      </c>
      <c r="J4171" s="128">
        <v>651.21</v>
      </c>
      <c r="K4171" s="128">
        <v>524.96</v>
      </c>
      <c r="L4171" s="128">
        <v>3397363.0</v>
      </c>
      <c r="M4171" s="128">
        <v>2738716.0</v>
      </c>
      <c r="N4171" s="128">
        <v>658646.3</v>
      </c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</row>
    <row r="4172">
      <c r="A4172" s="125" t="s">
        <v>451</v>
      </c>
      <c r="B4172" s="125" t="s">
        <v>592</v>
      </c>
      <c r="C4172" s="125" t="s">
        <v>468</v>
      </c>
      <c r="D4172" s="125" t="s">
        <v>457</v>
      </c>
      <c r="E4172" s="125" t="s">
        <v>284</v>
      </c>
      <c r="F4172" s="126">
        <v>40293.0</v>
      </c>
      <c r="G4172" s="127">
        <v>2.81E8</v>
      </c>
      <c r="H4172" s="126">
        <v>40308.0</v>
      </c>
      <c r="I4172" s="128">
        <v>7086.0</v>
      </c>
      <c r="J4172" s="128">
        <v>81.73</v>
      </c>
      <c r="K4172" s="128">
        <v>56.67</v>
      </c>
      <c r="L4172" s="128">
        <v>579138.8</v>
      </c>
      <c r="M4172" s="128">
        <v>401563.6</v>
      </c>
      <c r="N4172" s="128">
        <v>177575.2</v>
      </c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</row>
    <row r="4173">
      <c r="A4173" s="125" t="s">
        <v>461</v>
      </c>
      <c r="B4173" s="125" t="s">
        <v>525</v>
      </c>
      <c r="C4173" s="125" t="s">
        <v>494</v>
      </c>
      <c r="D4173" s="125" t="s">
        <v>454</v>
      </c>
      <c r="E4173" s="125" t="s">
        <v>284</v>
      </c>
      <c r="F4173" s="126">
        <v>42258.0</v>
      </c>
      <c r="G4173" s="127">
        <v>1.87E8</v>
      </c>
      <c r="H4173" s="126">
        <v>42259.0</v>
      </c>
      <c r="I4173" s="128">
        <v>7330.0</v>
      </c>
      <c r="J4173" s="128">
        <v>9.33</v>
      </c>
      <c r="K4173" s="128">
        <v>6.92</v>
      </c>
      <c r="L4173" s="128">
        <v>68388.9</v>
      </c>
      <c r="M4173" s="128">
        <v>50723.6</v>
      </c>
      <c r="N4173" s="128">
        <v>17665.3</v>
      </c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</row>
    <row r="4174">
      <c r="A4174" s="125" t="s">
        <v>475</v>
      </c>
      <c r="B4174" s="125" t="s">
        <v>624</v>
      </c>
      <c r="C4174" s="125" t="s">
        <v>506</v>
      </c>
      <c r="D4174" s="125" t="s">
        <v>457</v>
      </c>
      <c r="E4174" s="125" t="s">
        <v>189</v>
      </c>
      <c r="F4174" s="126">
        <v>41133.0</v>
      </c>
      <c r="G4174" s="127">
        <v>1.97E8</v>
      </c>
      <c r="H4174" s="126">
        <v>41139.0</v>
      </c>
      <c r="I4174" s="128">
        <v>5797.0</v>
      </c>
      <c r="J4174" s="128">
        <v>154.06</v>
      </c>
      <c r="K4174" s="128">
        <v>90.93</v>
      </c>
      <c r="L4174" s="128">
        <v>893085.8</v>
      </c>
      <c r="M4174" s="128">
        <v>527121.2</v>
      </c>
      <c r="N4174" s="128">
        <v>365964.6</v>
      </c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</row>
    <row r="4175">
      <c r="A4175" s="125" t="s">
        <v>458</v>
      </c>
      <c r="B4175" s="125" t="s">
        <v>583</v>
      </c>
      <c r="C4175" s="125" t="s">
        <v>453</v>
      </c>
      <c r="D4175" s="125" t="s">
        <v>457</v>
      </c>
      <c r="E4175" s="125" t="s">
        <v>284</v>
      </c>
      <c r="F4175" s="126">
        <v>40179.0</v>
      </c>
      <c r="G4175" s="127">
        <v>2.8E8</v>
      </c>
      <c r="H4175" s="126">
        <v>40188.0</v>
      </c>
      <c r="I4175" s="128">
        <v>9367.0</v>
      </c>
      <c r="J4175" s="128">
        <v>255.28</v>
      </c>
      <c r="K4175" s="128">
        <v>159.42</v>
      </c>
      <c r="L4175" s="128">
        <v>2391208.0</v>
      </c>
      <c r="M4175" s="128">
        <v>1493287.0</v>
      </c>
      <c r="N4175" s="128">
        <v>897920.6</v>
      </c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</row>
    <row r="4176">
      <c r="A4176" s="125" t="s">
        <v>466</v>
      </c>
      <c r="B4176" s="125" t="s">
        <v>477</v>
      </c>
      <c r="C4176" s="125" t="s">
        <v>453</v>
      </c>
      <c r="D4176" s="125" t="s">
        <v>457</v>
      </c>
      <c r="E4176" s="125" t="s">
        <v>189</v>
      </c>
      <c r="F4176" s="126">
        <v>40277.0</v>
      </c>
      <c r="G4176" s="127">
        <v>9.25E8</v>
      </c>
      <c r="H4176" s="126">
        <v>40280.0</v>
      </c>
      <c r="I4176" s="128">
        <v>6952.0</v>
      </c>
      <c r="J4176" s="128">
        <v>255.28</v>
      </c>
      <c r="K4176" s="128">
        <v>159.42</v>
      </c>
      <c r="L4176" s="128">
        <v>1774707.0</v>
      </c>
      <c r="M4176" s="128">
        <v>1108288.0</v>
      </c>
      <c r="N4176" s="128">
        <v>666418.7</v>
      </c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</row>
    <row r="4177">
      <c r="A4177" s="125" t="s">
        <v>466</v>
      </c>
      <c r="B4177" s="125" t="s">
        <v>612</v>
      </c>
      <c r="C4177" s="125" t="s">
        <v>478</v>
      </c>
      <c r="D4177" s="125" t="s">
        <v>454</v>
      </c>
      <c r="E4177" s="125" t="s">
        <v>284</v>
      </c>
      <c r="F4177" s="126">
        <v>41315.0</v>
      </c>
      <c r="G4177" s="127">
        <v>8.91E8</v>
      </c>
      <c r="H4177" s="126">
        <v>41335.0</v>
      </c>
      <c r="I4177" s="128">
        <v>4494.0</v>
      </c>
      <c r="J4177" s="128">
        <v>651.21</v>
      </c>
      <c r="K4177" s="128">
        <v>524.96</v>
      </c>
      <c r="L4177" s="128">
        <v>2926538.0</v>
      </c>
      <c r="M4177" s="128">
        <v>2359170.0</v>
      </c>
      <c r="N4177" s="128">
        <v>567367.5</v>
      </c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</row>
    <row r="4178">
      <c r="A4178" s="125" t="s">
        <v>461</v>
      </c>
      <c r="B4178" s="125" t="s">
        <v>618</v>
      </c>
      <c r="C4178" s="125" t="s">
        <v>471</v>
      </c>
      <c r="D4178" s="125" t="s">
        <v>454</v>
      </c>
      <c r="E4178" s="125" t="s">
        <v>284</v>
      </c>
      <c r="F4178" s="126">
        <v>40804.0</v>
      </c>
      <c r="G4178" s="127">
        <v>3.58E8</v>
      </c>
      <c r="H4178" s="126">
        <v>40810.0</v>
      </c>
      <c r="I4178" s="128">
        <v>9966.0</v>
      </c>
      <c r="J4178" s="128">
        <v>109.28</v>
      </c>
      <c r="K4178" s="128">
        <v>35.84</v>
      </c>
      <c r="L4178" s="128">
        <v>1089084.0</v>
      </c>
      <c r="M4178" s="128">
        <v>357181.4</v>
      </c>
      <c r="N4178" s="128">
        <v>731903.0</v>
      </c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</row>
    <row r="4179">
      <c r="A4179" s="125" t="s">
        <v>469</v>
      </c>
      <c r="B4179" s="125" t="s">
        <v>503</v>
      </c>
      <c r="C4179" s="125" t="s">
        <v>453</v>
      </c>
      <c r="D4179" s="125" t="s">
        <v>454</v>
      </c>
      <c r="E4179" s="125" t="s">
        <v>189</v>
      </c>
      <c r="F4179" s="126">
        <v>40792.0</v>
      </c>
      <c r="G4179" s="127">
        <v>4.77E8</v>
      </c>
      <c r="H4179" s="126">
        <v>40836.0</v>
      </c>
      <c r="I4179" s="128">
        <v>8373.0</v>
      </c>
      <c r="J4179" s="128">
        <v>255.28</v>
      </c>
      <c r="K4179" s="128">
        <v>159.42</v>
      </c>
      <c r="L4179" s="128">
        <v>2137459.0</v>
      </c>
      <c r="M4179" s="128">
        <v>1334824.0</v>
      </c>
      <c r="N4179" s="128">
        <v>802635.8</v>
      </c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</row>
    <row r="4180">
      <c r="A4180" s="125" t="s">
        <v>475</v>
      </c>
      <c r="B4180" s="125" t="s">
        <v>507</v>
      </c>
      <c r="C4180" s="125" t="s">
        <v>468</v>
      </c>
      <c r="D4180" s="125" t="s">
        <v>454</v>
      </c>
      <c r="E4180" s="125" t="s">
        <v>189</v>
      </c>
      <c r="F4180" s="126">
        <v>40953.0</v>
      </c>
      <c r="G4180" s="127">
        <v>2.18E8</v>
      </c>
      <c r="H4180" s="126">
        <v>40982.0</v>
      </c>
      <c r="I4180" s="128">
        <v>6752.0</v>
      </c>
      <c r="J4180" s="128">
        <v>81.73</v>
      </c>
      <c r="K4180" s="128">
        <v>56.67</v>
      </c>
      <c r="L4180" s="128">
        <v>551841.0</v>
      </c>
      <c r="M4180" s="128">
        <v>382635.8</v>
      </c>
      <c r="N4180" s="128">
        <v>169205.1</v>
      </c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</row>
    <row r="4181">
      <c r="A4181" s="125" t="s">
        <v>475</v>
      </c>
      <c r="B4181" s="125" t="s">
        <v>561</v>
      </c>
      <c r="C4181" s="125" t="s">
        <v>463</v>
      </c>
      <c r="D4181" s="125" t="s">
        <v>454</v>
      </c>
      <c r="E4181" s="125" t="s">
        <v>464</v>
      </c>
      <c r="F4181" s="126">
        <v>42728.0</v>
      </c>
      <c r="G4181" s="127">
        <v>4.2E8</v>
      </c>
      <c r="H4181" s="126">
        <v>42776.0</v>
      </c>
      <c r="I4181" s="128">
        <v>9170.0</v>
      </c>
      <c r="J4181" s="128">
        <v>205.7</v>
      </c>
      <c r="K4181" s="128">
        <v>117.11</v>
      </c>
      <c r="L4181" s="128">
        <v>1886269.0</v>
      </c>
      <c r="M4181" s="128">
        <v>1073899.0</v>
      </c>
      <c r="N4181" s="128">
        <v>812370.3</v>
      </c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</row>
    <row r="4182">
      <c r="A4182" s="125" t="s">
        <v>458</v>
      </c>
      <c r="B4182" s="125" t="s">
        <v>547</v>
      </c>
      <c r="C4182" s="125" t="s">
        <v>453</v>
      </c>
      <c r="D4182" s="125" t="s">
        <v>457</v>
      </c>
      <c r="E4182" s="125" t="s">
        <v>472</v>
      </c>
      <c r="F4182" s="126">
        <v>42420.0</v>
      </c>
      <c r="G4182" s="127">
        <v>6.46E8</v>
      </c>
      <c r="H4182" s="126">
        <v>42468.0</v>
      </c>
      <c r="I4182" s="128">
        <v>1725.0</v>
      </c>
      <c r="J4182" s="128">
        <v>255.28</v>
      </c>
      <c r="K4182" s="128">
        <v>159.42</v>
      </c>
      <c r="L4182" s="128">
        <v>440358.0</v>
      </c>
      <c r="M4182" s="128">
        <v>274999.5</v>
      </c>
      <c r="N4182" s="128">
        <v>165358.5</v>
      </c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</row>
    <row r="4183">
      <c r="A4183" s="125" t="s">
        <v>458</v>
      </c>
      <c r="B4183" s="125" t="s">
        <v>498</v>
      </c>
      <c r="C4183" s="125" t="s">
        <v>471</v>
      </c>
      <c r="D4183" s="125" t="s">
        <v>457</v>
      </c>
      <c r="E4183" s="125" t="s">
        <v>189</v>
      </c>
      <c r="F4183" s="126">
        <v>40866.0</v>
      </c>
      <c r="G4183" s="127">
        <v>5.26E8</v>
      </c>
      <c r="H4183" s="126">
        <v>40881.0</v>
      </c>
      <c r="I4183" s="128">
        <v>7547.0</v>
      </c>
      <c r="J4183" s="128">
        <v>109.28</v>
      </c>
      <c r="K4183" s="128">
        <v>35.84</v>
      </c>
      <c r="L4183" s="128">
        <v>824736.2</v>
      </c>
      <c r="M4183" s="128">
        <v>270484.5</v>
      </c>
      <c r="N4183" s="128">
        <v>554251.7</v>
      </c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</row>
    <row r="4184">
      <c r="A4184" s="125" t="s">
        <v>458</v>
      </c>
      <c r="B4184" s="125" t="s">
        <v>626</v>
      </c>
      <c r="C4184" s="125" t="s">
        <v>485</v>
      </c>
      <c r="D4184" s="125" t="s">
        <v>454</v>
      </c>
      <c r="E4184" s="125" t="s">
        <v>464</v>
      </c>
      <c r="F4184" s="126">
        <v>42061.0</v>
      </c>
      <c r="G4184" s="127">
        <v>2.13E8</v>
      </c>
      <c r="H4184" s="126">
        <v>42061.0</v>
      </c>
      <c r="I4184" s="128">
        <v>1798.0</v>
      </c>
      <c r="J4184" s="128">
        <v>421.89</v>
      </c>
      <c r="K4184" s="128">
        <v>364.69</v>
      </c>
      <c r="L4184" s="128">
        <v>758558.2</v>
      </c>
      <c r="M4184" s="128">
        <v>655712.6</v>
      </c>
      <c r="N4184" s="128">
        <v>102845.6</v>
      </c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</row>
    <row r="4185">
      <c r="A4185" s="125" t="s">
        <v>475</v>
      </c>
      <c r="B4185" s="125" t="s">
        <v>552</v>
      </c>
      <c r="C4185" s="125" t="s">
        <v>468</v>
      </c>
      <c r="D4185" s="125" t="s">
        <v>457</v>
      </c>
      <c r="E4185" s="125" t="s">
        <v>464</v>
      </c>
      <c r="F4185" s="126">
        <v>40706.0</v>
      </c>
      <c r="G4185" s="127">
        <v>8.28E8</v>
      </c>
      <c r="H4185" s="126">
        <v>40747.0</v>
      </c>
      <c r="I4185" s="128">
        <v>6670.0</v>
      </c>
      <c r="J4185" s="128">
        <v>81.73</v>
      </c>
      <c r="K4185" s="128">
        <v>56.67</v>
      </c>
      <c r="L4185" s="128">
        <v>545139.1</v>
      </c>
      <c r="M4185" s="128">
        <v>377988.9</v>
      </c>
      <c r="N4185" s="128">
        <v>167150.2</v>
      </c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</row>
    <row r="4186">
      <c r="A4186" s="125" t="s">
        <v>466</v>
      </c>
      <c r="B4186" s="125" t="s">
        <v>568</v>
      </c>
      <c r="C4186" s="125" t="s">
        <v>480</v>
      </c>
      <c r="D4186" s="125" t="s">
        <v>454</v>
      </c>
      <c r="E4186" s="125" t="s">
        <v>189</v>
      </c>
      <c r="F4186" s="126">
        <v>40190.0</v>
      </c>
      <c r="G4186" s="127">
        <v>4.12E8</v>
      </c>
      <c r="H4186" s="126">
        <v>40228.0</v>
      </c>
      <c r="I4186" s="128">
        <v>6387.0</v>
      </c>
      <c r="J4186" s="128">
        <v>437.2</v>
      </c>
      <c r="K4186" s="128">
        <v>263.33</v>
      </c>
      <c r="L4186" s="128">
        <v>2792396.0</v>
      </c>
      <c r="M4186" s="128">
        <v>1681889.0</v>
      </c>
      <c r="N4186" s="128">
        <v>1110508.0</v>
      </c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</row>
    <row r="4187">
      <c r="A4187" s="125" t="s">
        <v>458</v>
      </c>
      <c r="B4187" s="125" t="s">
        <v>515</v>
      </c>
      <c r="C4187" s="125" t="s">
        <v>506</v>
      </c>
      <c r="D4187" s="125" t="s">
        <v>454</v>
      </c>
      <c r="E4187" s="125" t="s">
        <v>284</v>
      </c>
      <c r="F4187" s="126">
        <v>42907.0</v>
      </c>
      <c r="G4187" s="127">
        <v>6.8E8</v>
      </c>
      <c r="H4187" s="126">
        <v>42939.0</v>
      </c>
      <c r="I4187" s="128">
        <v>2203.0</v>
      </c>
      <c r="J4187" s="128">
        <v>154.06</v>
      </c>
      <c r="K4187" s="128">
        <v>90.93</v>
      </c>
      <c r="L4187" s="128">
        <v>339394.2</v>
      </c>
      <c r="M4187" s="128">
        <v>200318.8</v>
      </c>
      <c r="N4187" s="128">
        <v>139075.4</v>
      </c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</row>
    <row r="4188">
      <c r="A4188" s="125" t="s">
        <v>458</v>
      </c>
      <c r="B4188" s="125" t="s">
        <v>554</v>
      </c>
      <c r="C4188" s="125" t="s">
        <v>460</v>
      </c>
      <c r="D4188" s="125" t="s">
        <v>454</v>
      </c>
      <c r="E4188" s="125" t="s">
        <v>189</v>
      </c>
      <c r="F4188" s="126">
        <v>40577.0</v>
      </c>
      <c r="G4188" s="127">
        <v>2.64E8</v>
      </c>
      <c r="H4188" s="126">
        <v>40601.0</v>
      </c>
      <c r="I4188" s="128">
        <v>7404.0</v>
      </c>
      <c r="J4188" s="128">
        <v>47.45</v>
      </c>
      <c r="K4188" s="128">
        <v>31.79</v>
      </c>
      <c r="L4188" s="128">
        <v>351319.8</v>
      </c>
      <c r="M4188" s="128">
        <v>235373.2</v>
      </c>
      <c r="N4188" s="128">
        <v>115946.6</v>
      </c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</row>
    <row r="4189">
      <c r="A4189" s="125" t="s">
        <v>466</v>
      </c>
      <c r="B4189" s="125" t="s">
        <v>492</v>
      </c>
      <c r="C4189" s="125" t="s">
        <v>463</v>
      </c>
      <c r="D4189" s="125" t="s">
        <v>457</v>
      </c>
      <c r="E4189" s="125" t="s">
        <v>189</v>
      </c>
      <c r="F4189" s="126">
        <v>40522.0</v>
      </c>
      <c r="G4189" s="127">
        <v>5.66E8</v>
      </c>
      <c r="H4189" s="126">
        <v>40529.0</v>
      </c>
      <c r="I4189" s="128">
        <v>2308.0</v>
      </c>
      <c r="J4189" s="128">
        <v>205.7</v>
      </c>
      <c r="K4189" s="128">
        <v>117.11</v>
      </c>
      <c r="L4189" s="128">
        <v>474755.6</v>
      </c>
      <c r="M4189" s="128">
        <v>270289.9</v>
      </c>
      <c r="N4189" s="128">
        <v>204465.7</v>
      </c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</row>
    <row r="4190">
      <c r="A4190" s="125" t="s">
        <v>475</v>
      </c>
      <c r="B4190" s="125" t="s">
        <v>532</v>
      </c>
      <c r="C4190" s="125" t="s">
        <v>485</v>
      </c>
      <c r="D4190" s="125" t="s">
        <v>454</v>
      </c>
      <c r="E4190" s="125" t="s">
        <v>189</v>
      </c>
      <c r="F4190" s="126">
        <v>42153.0</v>
      </c>
      <c r="G4190" s="127">
        <v>8.11E8</v>
      </c>
      <c r="H4190" s="126">
        <v>42189.0</v>
      </c>
      <c r="I4190" s="128">
        <v>9264.0</v>
      </c>
      <c r="J4190" s="128">
        <v>421.89</v>
      </c>
      <c r="K4190" s="128">
        <v>364.69</v>
      </c>
      <c r="L4190" s="128">
        <v>3908389.0</v>
      </c>
      <c r="M4190" s="128">
        <v>3378488.0</v>
      </c>
      <c r="N4190" s="128">
        <v>529900.8</v>
      </c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</row>
    <row r="4191">
      <c r="A4191" s="125" t="s">
        <v>461</v>
      </c>
      <c r="B4191" s="125" t="s">
        <v>599</v>
      </c>
      <c r="C4191" s="125" t="s">
        <v>453</v>
      </c>
      <c r="D4191" s="125" t="s">
        <v>454</v>
      </c>
      <c r="E4191" s="125" t="s">
        <v>284</v>
      </c>
      <c r="F4191" s="126">
        <v>41124.0</v>
      </c>
      <c r="G4191" s="127">
        <v>2.92E8</v>
      </c>
      <c r="H4191" s="126">
        <v>41125.0</v>
      </c>
      <c r="I4191" s="128">
        <v>7651.0</v>
      </c>
      <c r="J4191" s="128">
        <v>255.28</v>
      </c>
      <c r="K4191" s="128">
        <v>159.42</v>
      </c>
      <c r="L4191" s="128">
        <v>1953147.0</v>
      </c>
      <c r="M4191" s="128">
        <v>1219722.0</v>
      </c>
      <c r="N4191" s="128">
        <v>733424.9</v>
      </c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</row>
    <row r="4192">
      <c r="A4192" s="125" t="s">
        <v>475</v>
      </c>
      <c r="B4192" s="125" t="s">
        <v>600</v>
      </c>
      <c r="C4192" s="125" t="s">
        <v>494</v>
      </c>
      <c r="D4192" s="125" t="s">
        <v>457</v>
      </c>
      <c r="E4192" s="125" t="s">
        <v>189</v>
      </c>
      <c r="F4192" s="126">
        <v>41774.0</v>
      </c>
      <c r="G4192" s="127">
        <v>6.24E8</v>
      </c>
      <c r="H4192" s="126">
        <v>41784.0</v>
      </c>
      <c r="I4192" s="128">
        <v>8881.0</v>
      </c>
      <c r="J4192" s="128">
        <v>9.33</v>
      </c>
      <c r="K4192" s="128">
        <v>6.92</v>
      </c>
      <c r="L4192" s="128">
        <v>82859.73</v>
      </c>
      <c r="M4192" s="128">
        <v>61456.52</v>
      </c>
      <c r="N4192" s="128">
        <v>21403.21</v>
      </c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</row>
    <row r="4193">
      <c r="A4193" s="125" t="s">
        <v>475</v>
      </c>
      <c r="B4193" s="125" t="s">
        <v>528</v>
      </c>
      <c r="C4193" s="125" t="s">
        <v>456</v>
      </c>
      <c r="D4193" s="125" t="s">
        <v>454</v>
      </c>
      <c r="E4193" s="125" t="s">
        <v>189</v>
      </c>
      <c r="F4193" s="126">
        <v>41916.0</v>
      </c>
      <c r="G4193" s="127">
        <v>7.9E8</v>
      </c>
      <c r="H4193" s="126">
        <v>41922.0</v>
      </c>
      <c r="I4193" s="128">
        <v>1396.0</v>
      </c>
      <c r="J4193" s="128">
        <v>152.58</v>
      </c>
      <c r="K4193" s="128">
        <v>97.44</v>
      </c>
      <c r="L4193" s="128">
        <v>213001.7</v>
      </c>
      <c r="M4193" s="128">
        <v>136026.2</v>
      </c>
      <c r="N4193" s="128">
        <v>76975.44</v>
      </c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</row>
    <row r="4194">
      <c r="A4194" s="125" t="s">
        <v>458</v>
      </c>
      <c r="B4194" s="125" t="s">
        <v>554</v>
      </c>
      <c r="C4194" s="125" t="s">
        <v>494</v>
      </c>
      <c r="D4194" s="125" t="s">
        <v>457</v>
      </c>
      <c r="E4194" s="125" t="s">
        <v>464</v>
      </c>
      <c r="F4194" s="126">
        <v>42518.0</v>
      </c>
      <c r="G4194" s="127">
        <v>2.95E8</v>
      </c>
      <c r="H4194" s="126">
        <v>42567.0</v>
      </c>
      <c r="I4194" s="128">
        <v>5669.0</v>
      </c>
      <c r="J4194" s="128">
        <v>9.33</v>
      </c>
      <c r="K4194" s="128">
        <v>6.92</v>
      </c>
      <c r="L4194" s="128">
        <v>52891.77</v>
      </c>
      <c r="M4194" s="128">
        <v>39229.48</v>
      </c>
      <c r="N4194" s="128">
        <v>13662.29</v>
      </c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</row>
    <row r="4195">
      <c r="A4195" s="125" t="s">
        <v>475</v>
      </c>
      <c r="B4195" s="125" t="s">
        <v>565</v>
      </c>
      <c r="C4195" s="125" t="s">
        <v>463</v>
      </c>
      <c r="D4195" s="125" t="s">
        <v>457</v>
      </c>
      <c r="E4195" s="125" t="s">
        <v>189</v>
      </c>
      <c r="F4195" s="126">
        <v>40789.0</v>
      </c>
      <c r="G4195" s="127">
        <v>5.15E8</v>
      </c>
      <c r="H4195" s="126">
        <v>40820.0</v>
      </c>
      <c r="I4195" s="128">
        <v>9206.0</v>
      </c>
      <c r="J4195" s="128">
        <v>205.7</v>
      </c>
      <c r="K4195" s="128">
        <v>117.11</v>
      </c>
      <c r="L4195" s="128">
        <v>1893674.0</v>
      </c>
      <c r="M4195" s="128">
        <v>1078115.0</v>
      </c>
      <c r="N4195" s="128">
        <v>815559.5</v>
      </c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</row>
    <row r="4196">
      <c r="A4196" s="125" t="s">
        <v>458</v>
      </c>
      <c r="B4196" s="125" t="s">
        <v>614</v>
      </c>
      <c r="C4196" s="125" t="s">
        <v>485</v>
      </c>
      <c r="D4196" s="125" t="s">
        <v>457</v>
      </c>
      <c r="E4196" s="125" t="s">
        <v>284</v>
      </c>
      <c r="F4196" s="126">
        <v>42625.0</v>
      </c>
      <c r="G4196" s="127">
        <v>6.45E8</v>
      </c>
      <c r="H4196" s="126">
        <v>42639.0</v>
      </c>
      <c r="I4196" s="128">
        <v>1543.0</v>
      </c>
      <c r="J4196" s="128">
        <v>421.89</v>
      </c>
      <c r="K4196" s="128">
        <v>364.69</v>
      </c>
      <c r="L4196" s="128">
        <v>650976.3</v>
      </c>
      <c r="M4196" s="128">
        <v>562716.7</v>
      </c>
      <c r="N4196" s="128">
        <v>88259.6</v>
      </c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</row>
    <row r="4197">
      <c r="A4197" s="125" t="s">
        <v>458</v>
      </c>
      <c r="B4197" s="125" t="s">
        <v>509</v>
      </c>
      <c r="C4197" s="125" t="s">
        <v>453</v>
      </c>
      <c r="D4197" s="125" t="s">
        <v>457</v>
      </c>
      <c r="E4197" s="125" t="s">
        <v>189</v>
      </c>
      <c r="F4197" s="126">
        <v>41862.0</v>
      </c>
      <c r="G4197" s="127">
        <v>8.51E8</v>
      </c>
      <c r="H4197" s="126">
        <v>41907.0</v>
      </c>
      <c r="I4197" s="128">
        <v>9246.0</v>
      </c>
      <c r="J4197" s="128">
        <v>255.28</v>
      </c>
      <c r="K4197" s="128">
        <v>159.42</v>
      </c>
      <c r="L4197" s="128">
        <v>2360319.0</v>
      </c>
      <c r="M4197" s="128">
        <v>1473997.0</v>
      </c>
      <c r="N4197" s="128">
        <v>886321.6</v>
      </c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</row>
    <row r="4198">
      <c r="A4198" s="125" t="s">
        <v>475</v>
      </c>
      <c r="B4198" s="125" t="s">
        <v>579</v>
      </c>
      <c r="C4198" s="125" t="s">
        <v>468</v>
      </c>
      <c r="D4198" s="125" t="s">
        <v>457</v>
      </c>
      <c r="E4198" s="125" t="s">
        <v>464</v>
      </c>
      <c r="F4198" s="126">
        <v>41025.0</v>
      </c>
      <c r="G4198" s="127">
        <v>9.18E8</v>
      </c>
      <c r="H4198" s="126">
        <v>41059.0</v>
      </c>
      <c r="I4198" s="128">
        <v>915.0</v>
      </c>
      <c r="J4198" s="128">
        <v>81.73</v>
      </c>
      <c r="K4198" s="128">
        <v>56.67</v>
      </c>
      <c r="L4198" s="128">
        <v>74782.95</v>
      </c>
      <c r="M4198" s="128">
        <v>51853.05</v>
      </c>
      <c r="N4198" s="128">
        <v>22929.9</v>
      </c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</row>
    <row r="4199">
      <c r="A4199" s="125" t="s">
        <v>458</v>
      </c>
      <c r="B4199" s="125" t="s">
        <v>643</v>
      </c>
      <c r="C4199" s="125" t="s">
        <v>468</v>
      </c>
      <c r="D4199" s="125" t="s">
        <v>457</v>
      </c>
      <c r="E4199" s="125" t="s">
        <v>464</v>
      </c>
      <c r="F4199" s="126">
        <v>41644.0</v>
      </c>
      <c r="G4199" s="127">
        <v>7.02E8</v>
      </c>
      <c r="H4199" s="126">
        <v>41674.0</v>
      </c>
      <c r="I4199" s="128">
        <v>2179.0</v>
      </c>
      <c r="J4199" s="128">
        <v>81.73</v>
      </c>
      <c r="K4199" s="128">
        <v>56.67</v>
      </c>
      <c r="L4199" s="128">
        <v>178089.7</v>
      </c>
      <c r="M4199" s="128">
        <v>123483.9</v>
      </c>
      <c r="N4199" s="128">
        <v>54605.74</v>
      </c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</row>
    <row r="4200">
      <c r="A4200" s="125" t="s">
        <v>475</v>
      </c>
      <c r="B4200" s="125" t="s">
        <v>636</v>
      </c>
      <c r="C4200" s="125" t="s">
        <v>453</v>
      </c>
      <c r="D4200" s="125" t="s">
        <v>454</v>
      </c>
      <c r="E4200" s="125" t="s">
        <v>472</v>
      </c>
      <c r="F4200" s="126">
        <v>42872.0</v>
      </c>
      <c r="G4200" s="127">
        <v>5.82E8</v>
      </c>
      <c r="H4200" s="126">
        <v>42918.0</v>
      </c>
      <c r="I4200" s="128">
        <v>701.0</v>
      </c>
      <c r="J4200" s="128">
        <v>255.28</v>
      </c>
      <c r="K4200" s="128">
        <v>159.42</v>
      </c>
      <c r="L4200" s="128">
        <v>178951.3</v>
      </c>
      <c r="M4200" s="128">
        <v>111753.4</v>
      </c>
      <c r="N4200" s="128">
        <v>67197.86</v>
      </c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</row>
    <row r="4201">
      <c r="A4201" s="125" t="s">
        <v>458</v>
      </c>
      <c r="B4201" s="125" t="s">
        <v>498</v>
      </c>
      <c r="C4201" s="125" t="s">
        <v>471</v>
      </c>
      <c r="D4201" s="125" t="s">
        <v>454</v>
      </c>
      <c r="E4201" s="125" t="s">
        <v>464</v>
      </c>
      <c r="F4201" s="126">
        <v>42868.0</v>
      </c>
      <c r="G4201" s="127">
        <v>1.02E8</v>
      </c>
      <c r="H4201" s="126">
        <v>42899.0</v>
      </c>
      <c r="I4201" s="128">
        <v>1171.0</v>
      </c>
      <c r="J4201" s="128">
        <v>109.28</v>
      </c>
      <c r="K4201" s="128">
        <v>35.84</v>
      </c>
      <c r="L4201" s="128">
        <v>127966.9</v>
      </c>
      <c r="M4201" s="128">
        <v>41968.64</v>
      </c>
      <c r="N4201" s="128">
        <v>85998.24</v>
      </c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</row>
    <row r="4202">
      <c r="A4202" s="125" t="s">
        <v>458</v>
      </c>
      <c r="B4202" s="125" t="s">
        <v>567</v>
      </c>
      <c r="C4202" s="125" t="s">
        <v>471</v>
      </c>
      <c r="D4202" s="125" t="s">
        <v>454</v>
      </c>
      <c r="E4202" s="125" t="s">
        <v>464</v>
      </c>
      <c r="F4202" s="126">
        <v>40181.0</v>
      </c>
      <c r="G4202" s="127">
        <v>2.31E8</v>
      </c>
      <c r="H4202" s="126">
        <v>40231.0</v>
      </c>
      <c r="I4202" s="128">
        <v>313.0</v>
      </c>
      <c r="J4202" s="128">
        <v>109.28</v>
      </c>
      <c r="K4202" s="128">
        <v>35.84</v>
      </c>
      <c r="L4202" s="128">
        <v>34204.64</v>
      </c>
      <c r="M4202" s="128">
        <v>11217.92</v>
      </c>
      <c r="N4202" s="128">
        <v>22986.72</v>
      </c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</row>
    <row r="4203">
      <c r="A4203" s="125" t="s">
        <v>475</v>
      </c>
      <c r="B4203" s="125" t="s">
        <v>574</v>
      </c>
      <c r="C4203" s="125" t="s">
        <v>460</v>
      </c>
      <c r="D4203" s="125" t="s">
        <v>454</v>
      </c>
      <c r="E4203" s="125" t="s">
        <v>464</v>
      </c>
      <c r="F4203" s="126">
        <v>40662.0</v>
      </c>
      <c r="G4203" s="127">
        <v>2.07E8</v>
      </c>
      <c r="H4203" s="126">
        <v>40666.0</v>
      </c>
      <c r="I4203" s="128">
        <v>1884.0</v>
      </c>
      <c r="J4203" s="128">
        <v>47.45</v>
      </c>
      <c r="K4203" s="128">
        <v>31.79</v>
      </c>
      <c r="L4203" s="128">
        <v>89395.8</v>
      </c>
      <c r="M4203" s="128">
        <v>59892.36</v>
      </c>
      <c r="N4203" s="128">
        <v>29503.44</v>
      </c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</row>
    <row r="4204">
      <c r="A4204" s="125" t="s">
        <v>488</v>
      </c>
      <c r="B4204" s="125" t="s">
        <v>654</v>
      </c>
      <c r="C4204" s="125" t="s">
        <v>460</v>
      </c>
      <c r="D4204" s="125" t="s">
        <v>457</v>
      </c>
      <c r="E4204" s="125" t="s">
        <v>464</v>
      </c>
      <c r="F4204" s="126">
        <v>42255.0</v>
      </c>
      <c r="G4204" s="127">
        <v>6.86E8</v>
      </c>
      <c r="H4204" s="126">
        <v>42265.0</v>
      </c>
      <c r="I4204" s="128">
        <v>1667.0</v>
      </c>
      <c r="J4204" s="128">
        <v>47.45</v>
      </c>
      <c r="K4204" s="128">
        <v>31.79</v>
      </c>
      <c r="L4204" s="128">
        <v>79099.15</v>
      </c>
      <c r="M4204" s="128">
        <v>52993.93</v>
      </c>
      <c r="N4204" s="128">
        <v>26105.22</v>
      </c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</row>
    <row r="4205">
      <c r="A4205" s="125" t="s">
        <v>461</v>
      </c>
      <c r="B4205" s="125" t="s">
        <v>481</v>
      </c>
      <c r="C4205" s="125" t="s">
        <v>478</v>
      </c>
      <c r="D4205" s="125" t="s">
        <v>454</v>
      </c>
      <c r="E4205" s="125" t="s">
        <v>464</v>
      </c>
      <c r="F4205" s="126">
        <v>41909.0</v>
      </c>
      <c r="G4205" s="127">
        <v>5.98E8</v>
      </c>
      <c r="H4205" s="126">
        <v>41931.0</v>
      </c>
      <c r="I4205" s="128">
        <v>2482.0</v>
      </c>
      <c r="J4205" s="128">
        <v>651.21</v>
      </c>
      <c r="K4205" s="128">
        <v>524.96</v>
      </c>
      <c r="L4205" s="128">
        <v>1616303.0</v>
      </c>
      <c r="M4205" s="128">
        <v>1302951.0</v>
      </c>
      <c r="N4205" s="128">
        <v>313352.5</v>
      </c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</row>
    <row r="4206">
      <c r="A4206" s="125" t="s">
        <v>461</v>
      </c>
      <c r="B4206" s="125" t="s">
        <v>564</v>
      </c>
      <c r="C4206" s="125" t="s">
        <v>453</v>
      </c>
      <c r="D4206" s="125" t="s">
        <v>457</v>
      </c>
      <c r="E4206" s="125" t="s">
        <v>284</v>
      </c>
      <c r="F4206" s="126">
        <v>42493.0</v>
      </c>
      <c r="G4206" s="127">
        <v>2.9E8</v>
      </c>
      <c r="H4206" s="126">
        <v>42497.0</v>
      </c>
      <c r="I4206" s="128">
        <v>9177.0</v>
      </c>
      <c r="J4206" s="128">
        <v>255.28</v>
      </c>
      <c r="K4206" s="128">
        <v>159.42</v>
      </c>
      <c r="L4206" s="128">
        <v>2342705.0</v>
      </c>
      <c r="M4206" s="128">
        <v>1462997.0</v>
      </c>
      <c r="N4206" s="128">
        <v>879707.2</v>
      </c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</row>
    <row r="4207">
      <c r="A4207" s="125" t="s">
        <v>475</v>
      </c>
      <c r="B4207" s="125" t="s">
        <v>476</v>
      </c>
      <c r="C4207" s="125" t="s">
        <v>494</v>
      </c>
      <c r="D4207" s="125" t="s">
        <v>454</v>
      </c>
      <c r="E4207" s="125" t="s">
        <v>472</v>
      </c>
      <c r="F4207" s="126">
        <v>40351.0</v>
      </c>
      <c r="G4207" s="127">
        <v>1.82E8</v>
      </c>
      <c r="H4207" s="126">
        <v>40364.0</v>
      </c>
      <c r="I4207" s="128">
        <v>3631.0</v>
      </c>
      <c r="J4207" s="128">
        <v>9.33</v>
      </c>
      <c r="K4207" s="128">
        <v>6.92</v>
      </c>
      <c r="L4207" s="128">
        <v>33877.23</v>
      </c>
      <c r="M4207" s="128">
        <v>25126.52</v>
      </c>
      <c r="N4207" s="128">
        <v>8750.71</v>
      </c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</row>
    <row r="4208">
      <c r="A4208" s="125" t="s">
        <v>475</v>
      </c>
      <c r="B4208" s="125" t="s">
        <v>527</v>
      </c>
      <c r="C4208" s="125" t="s">
        <v>485</v>
      </c>
      <c r="D4208" s="125" t="s">
        <v>454</v>
      </c>
      <c r="E4208" s="125" t="s">
        <v>464</v>
      </c>
      <c r="F4208" s="126">
        <v>40515.0</v>
      </c>
      <c r="G4208" s="127">
        <v>3.12E8</v>
      </c>
      <c r="H4208" s="126">
        <v>40533.0</v>
      </c>
      <c r="I4208" s="128">
        <v>9756.0</v>
      </c>
      <c r="J4208" s="128">
        <v>421.89</v>
      </c>
      <c r="K4208" s="128">
        <v>364.69</v>
      </c>
      <c r="L4208" s="128">
        <v>4115959.0</v>
      </c>
      <c r="M4208" s="128">
        <v>3557916.0</v>
      </c>
      <c r="N4208" s="128">
        <v>558043.2</v>
      </c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</row>
    <row r="4209">
      <c r="A4209" s="125" t="s">
        <v>475</v>
      </c>
      <c r="B4209" s="125" t="s">
        <v>536</v>
      </c>
      <c r="C4209" s="125" t="s">
        <v>494</v>
      </c>
      <c r="D4209" s="125" t="s">
        <v>454</v>
      </c>
      <c r="E4209" s="125" t="s">
        <v>189</v>
      </c>
      <c r="F4209" s="126">
        <v>41490.0</v>
      </c>
      <c r="G4209" s="127">
        <v>7.9E8</v>
      </c>
      <c r="H4209" s="126">
        <v>41516.0</v>
      </c>
      <c r="I4209" s="128">
        <v>8494.0</v>
      </c>
      <c r="J4209" s="128">
        <v>9.33</v>
      </c>
      <c r="K4209" s="128">
        <v>6.92</v>
      </c>
      <c r="L4209" s="128">
        <v>79249.02</v>
      </c>
      <c r="M4209" s="128">
        <v>58778.48</v>
      </c>
      <c r="N4209" s="128">
        <v>20470.54</v>
      </c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</row>
    <row r="4210">
      <c r="A4210" s="125" t="s">
        <v>475</v>
      </c>
      <c r="B4210" s="125" t="s">
        <v>513</v>
      </c>
      <c r="C4210" s="125" t="s">
        <v>485</v>
      </c>
      <c r="D4210" s="125" t="s">
        <v>457</v>
      </c>
      <c r="E4210" s="125" t="s">
        <v>284</v>
      </c>
      <c r="F4210" s="126">
        <v>42169.0</v>
      </c>
      <c r="G4210" s="127">
        <v>4.46E8</v>
      </c>
      <c r="H4210" s="126">
        <v>42173.0</v>
      </c>
      <c r="I4210" s="128">
        <v>2819.0</v>
      </c>
      <c r="J4210" s="128">
        <v>421.89</v>
      </c>
      <c r="K4210" s="128">
        <v>364.69</v>
      </c>
      <c r="L4210" s="128">
        <v>1189308.0</v>
      </c>
      <c r="M4210" s="128">
        <v>1028061.0</v>
      </c>
      <c r="N4210" s="128">
        <v>161246.8</v>
      </c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</row>
    <row r="4211">
      <c r="A4211" s="125" t="s">
        <v>458</v>
      </c>
      <c r="B4211" s="125" t="s">
        <v>547</v>
      </c>
      <c r="C4211" s="125" t="s">
        <v>471</v>
      </c>
      <c r="D4211" s="125" t="s">
        <v>454</v>
      </c>
      <c r="E4211" s="125" t="s">
        <v>189</v>
      </c>
      <c r="F4211" s="126">
        <v>40452.0</v>
      </c>
      <c r="G4211" s="127">
        <v>8.8E8</v>
      </c>
      <c r="H4211" s="126">
        <v>40466.0</v>
      </c>
      <c r="I4211" s="128">
        <v>2735.0</v>
      </c>
      <c r="J4211" s="128">
        <v>109.28</v>
      </c>
      <c r="K4211" s="128">
        <v>35.84</v>
      </c>
      <c r="L4211" s="128">
        <v>298880.8</v>
      </c>
      <c r="M4211" s="128">
        <v>98022.4</v>
      </c>
      <c r="N4211" s="128">
        <v>200858.4</v>
      </c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</row>
    <row r="4212">
      <c r="A4212" s="125" t="s">
        <v>466</v>
      </c>
      <c r="B4212" s="125" t="s">
        <v>625</v>
      </c>
      <c r="C4212" s="125" t="s">
        <v>453</v>
      </c>
      <c r="D4212" s="125" t="s">
        <v>457</v>
      </c>
      <c r="E4212" s="125" t="s">
        <v>189</v>
      </c>
      <c r="F4212" s="126">
        <v>42925.0</v>
      </c>
      <c r="G4212" s="127">
        <v>6.12E8</v>
      </c>
      <c r="H4212" s="126">
        <v>42951.0</v>
      </c>
      <c r="I4212" s="128">
        <v>279.0</v>
      </c>
      <c r="J4212" s="128">
        <v>255.28</v>
      </c>
      <c r="K4212" s="128">
        <v>159.42</v>
      </c>
      <c r="L4212" s="128">
        <v>71223.12</v>
      </c>
      <c r="M4212" s="128">
        <v>44478.18</v>
      </c>
      <c r="N4212" s="128">
        <v>26744.94</v>
      </c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</row>
    <row r="4213">
      <c r="A4213" s="125" t="s">
        <v>461</v>
      </c>
      <c r="B4213" s="125" t="s">
        <v>542</v>
      </c>
      <c r="C4213" s="125" t="s">
        <v>494</v>
      </c>
      <c r="D4213" s="125" t="s">
        <v>454</v>
      </c>
      <c r="E4213" s="125" t="s">
        <v>284</v>
      </c>
      <c r="F4213" s="126">
        <v>41353.0</v>
      </c>
      <c r="G4213" s="127">
        <v>9.33E8</v>
      </c>
      <c r="H4213" s="126">
        <v>41353.0</v>
      </c>
      <c r="I4213" s="128">
        <v>4518.0</v>
      </c>
      <c r="J4213" s="128">
        <v>9.33</v>
      </c>
      <c r="K4213" s="128">
        <v>6.92</v>
      </c>
      <c r="L4213" s="128">
        <v>42152.94</v>
      </c>
      <c r="M4213" s="128">
        <v>31264.56</v>
      </c>
      <c r="N4213" s="128">
        <v>10888.38</v>
      </c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</row>
    <row r="4214">
      <c r="A4214" s="125" t="s">
        <v>475</v>
      </c>
      <c r="B4214" s="125" t="s">
        <v>532</v>
      </c>
      <c r="C4214" s="125" t="s">
        <v>485</v>
      </c>
      <c r="D4214" s="125" t="s">
        <v>454</v>
      </c>
      <c r="E4214" s="125" t="s">
        <v>472</v>
      </c>
      <c r="F4214" s="126">
        <v>41716.0</v>
      </c>
      <c r="G4214" s="127">
        <v>9.54E8</v>
      </c>
      <c r="H4214" s="126">
        <v>41725.0</v>
      </c>
      <c r="I4214" s="128">
        <v>6550.0</v>
      </c>
      <c r="J4214" s="128">
        <v>421.89</v>
      </c>
      <c r="K4214" s="128">
        <v>364.69</v>
      </c>
      <c r="L4214" s="128">
        <v>2763380.0</v>
      </c>
      <c r="M4214" s="128">
        <v>2388720.0</v>
      </c>
      <c r="N4214" s="128">
        <v>374660.0</v>
      </c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</row>
    <row r="4215">
      <c r="A4215" s="125" t="s">
        <v>458</v>
      </c>
      <c r="B4215" s="125" t="s">
        <v>616</v>
      </c>
      <c r="C4215" s="125" t="s">
        <v>471</v>
      </c>
      <c r="D4215" s="125" t="s">
        <v>454</v>
      </c>
      <c r="E4215" s="125" t="s">
        <v>472</v>
      </c>
      <c r="F4215" s="126">
        <v>40704.0</v>
      </c>
      <c r="G4215" s="127">
        <v>7.55E8</v>
      </c>
      <c r="H4215" s="126">
        <v>40719.0</v>
      </c>
      <c r="I4215" s="128">
        <v>4507.0</v>
      </c>
      <c r="J4215" s="128">
        <v>109.28</v>
      </c>
      <c r="K4215" s="128">
        <v>35.84</v>
      </c>
      <c r="L4215" s="128">
        <v>492525.0</v>
      </c>
      <c r="M4215" s="128">
        <v>161530.9</v>
      </c>
      <c r="N4215" s="128">
        <v>330994.1</v>
      </c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</row>
    <row r="4216">
      <c r="A4216" s="125" t="s">
        <v>461</v>
      </c>
      <c r="B4216" s="125" t="s">
        <v>639</v>
      </c>
      <c r="C4216" s="125" t="s">
        <v>468</v>
      </c>
      <c r="D4216" s="125" t="s">
        <v>454</v>
      </c>
      <c r="E4216" s="125" t="s">
        <v>284</v>
      </c>
      <c r="F4216" s="126">
        <v>40928.0</v>
      </c>
      <c r="G4216" s="127">
        <v>9.4E8</v>
      </c>
      <c r="H4216" s="126">
        <v>40971.0</v>
      </c>
      <c r="I4216" s="128">
        <v>8548.0</v>
      </c>
      <c r="J4216" s="128">
        <v>81.73</v>
      </c>
      <c r="K4216" s="128">
        <v>56.67</v>
      </c>
      <c r="L4216" s="128">
        <v>698628.0</v>
      </c>
      <c r="M4216" s="128">
        <v>484415.2</v>
      </c>
      <c r="N4216" s="128">
        <v>214212.9</v>
      </c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</row>
    <row r="4217">
      <c r="A4217" s="125" t="s">
        <v>458</v>
      </c>
      <c r="B4217" s="125" t="s">
        <v>626</v>
      </c>
      <c r="C4217" s="125" t="s">
        <v>460</v>
      </c>
      <c r="D4217" s="125" t="s">
        <v>454</v>
      </c>
      <c r="E4217" s="125" t="s">
        <v>472</v>
      </c>
      <c r="F4217" s="126">
        <v>41238.0</v>
      </c>
      <c r="G4217" s="127">
        <v>3.79E8</v>
      </c>
      <c r="H4217" s="126">
        <v>41241.0</v>
      </c>
      <c r="I4217" s="128">
        <v>5866.0</v>
      </c>
      <c r="J4217" s="128">
        <v>47.45</v>
      </c>
      <c r="K4217" s="128">
        <v>31.79</v>
      </c>
      <c r="L4217" s="128">
        <v>278341.7</v>
      </c>
      <c r="M4217" s="128">
        <v>186480.1</v>
      </c>
      <c r="N4217" s="128">
        <v>91861.56</v>
      </c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</row>
    <row r="4218">
      <c r="A4218" s="125" t="s">
        <v>458</v>
      </c>
      <c r="B4218" s="125" t="s">
        <v>559</v>
      </c>
      <c r="C4218" s="125" t="s">
        <v>494</v>
      </c>
      <c r="D4218" s="125" t="s">
        <v>454</v>
      </c>
      <c r="E4218" s="125" t="s">
        <v>464</v>
      </c>
      <c r="F4218" s="126">
        <v>40874.0</v>
      </c>
      <c r="G4218" s="127">
        <v>2.65E8</v>
      </c>
      <c r="H4218" s="126">
        <v>40900.0</v>
      </c>
      <c r="I4218" s="128">
        <v>5685.0</v>
      </c>
      <c r="J4218" s="128">
        <v>9.33</v>
      </c>
      <c r="K4218" s="128">
        <v>6.92</v>
      </c>
      <c r="L4218" s="128">
        <v>53041.05</v>
      </c>
      <c r="M4218" s="128">
        <v>39340.2</v>
      </c>
      <c r="N4218" s="128">
        <v>13700.85</v>
      </c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</row>
    <row r="4219">
      <c r="A4219" s="125" t="s">
        <v>469</v>
      </c>
      <c r="B4219" s="125" t="s">
        <v>632</v>
      </c>
      <c r="C4219" s="125" t="s">
        <v>506</v>
      </c>
      <c r="D4219" s="125" t="s">
        <v>457</v>
      </c>
      <c r="E4219" s="125" t="s">
        <v>284</v>
      </c>
      <c r="F4219" s="126">
        <v>40848.0</v>
      </c>
      <c r="G4219" s="127">
        <v>9.6E8</v>
      </c>
      <c r="H4219" s="126">
        <v>40871.0</v>
      </c>
      <c r="I4219" s="128">
        <v>4260.0</v>
      </c>
      <c r="J4219" s="128">
        <v>154.06</v>
      </c>
      <c r="K4219" s="128">
        <v>90.93</v>
      </c>
      <c r="L4219" s="128">
        <v>656295.6</v>
      </c>
      <c r="M4219" s="128">
        <v>387361.8</v>
      </c>
      <c r="N4219" s="128">
        <v>268933.8</v>
      </c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</row>
    <row r="4220">
      <c r="A4220" s="125" t="s">
        <v>475</v>
      </c>
      <c r="B4220" s="125" t="s">
        <v>635</v>
      </c>
      <c r="C4220" s="125" t="s">
        <v>478</v>
      </c>
      <c r="D4220" s="125" t="s">
        <v>457</v>
      </c>
      <c r="E4220" s="125" t="s">
        <v>464</v>
      </c>
      <c r="F4220" s="126">
        <v>42561.0</v>
      </c>
      <c r="G4220" s="127">
        <v>6.48E8</v>
      </c>
      <c r="H4220" s="126">
        <v>42585.0</v>
      </c>
      <c r="I4220" s="128">
        <v>9876.0</v>
      </c>
      <c r="J4220" s="128">
        <v>651.21</v>
      </c>
      <c r="K4220" s="128">
        <v>524.96</v>
      </c>
      <c r="L4220" s="128">
        <v>6431350.0</v>
      </c>
      <c r="M4220" s="128">
        <v>5184505.0</v>
      </c>
      <c r="N4220" s="128">
        <v>1246845.0</v>
      </c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</row>
    <row r="4221">
      <c r="A4221" s="125" t="s">
        <v>475</v>
      </c>
      <c r="B4221" s="125" t="s">
        <v>504</v>
      </c>
      <c r="C4221" s="125" t="s">
        <v>494</v>
      </c>
      <c r="D4221" s="125" t="s">
        <v>457</v>
      </c>
      <c r="E4221" s="125" t="s">
        <v>472</v>
      </c>
      <c r="F4221" s="126">
        <v>40886.0</v>
      </c>
      <c r="G4221" s="127">
        <v>2.81E8</v>
      </c>
      <c r="H4221" s="126">
        <v>40930.0</v>
      </c>
      <c r="I4221" s="128">
        <v>7852.0</v>
      </c>
      <c r="J4221" s="128">
        <v>9.33</v>
      </c>
      <c r="K4221" s="128">
        <v>6.92</v>
      </c>
      <c r="L4221" s="128">
        <v>73259.16</v>
      </c>
      <c r="M4221" s="128">
        <v>54335.84</v>
      </c>
      <c r="N4221" s="128">
        <v>18923.32</v>
      </c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</row>
    <row r="4222">
      <c r="A4222" s="125" t="s">
        <v>469</v>
      </c>
      <c r="B4222" s="125" t="s">
        <v>647</v>
      </c>
      <c r="C4222" s="125" t="s">
        <v>456</v>
      </c>
      <c r="D4222" s="125" t="s">
        <v>454</v>
      </c>
      <c r="E4222" s="125" t="s">
        <v>472</v>
      </c>
      <c r="F4222" s="126">
        <v>42151.0</v>
      </c>
      <c r="G4222" s="127">
        <v>4.33E8</v>
      </c>
      <c r="H4222" s="126">
        <v>42163.0</v>
      </c>
      <c r="I4222" s="128">
        <v>5535.0</v>
      </c>
      <c r="J4222" s="128">
        <v>152.58</v>
      </c>
      <c r="K4222" s="128">
        <v>97.44</v>
      </c>
      <c r="L4222" s="128">
        <v>844530.3</v>
      </c>
      <c r="M4222" s="128">
        <v>539330.4</v>
      </c>
      <c r="N4222" s="128">
        <v>305199.9</v>
      </c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</row>
    <row r="4223">
      <c r="A4223" s="125" t="s">
        <v>488</v>
      </c>
      <c r="B4223" s="125" t="s">
        <v>645</v>
      </c>
      <c r="C4223" s="125" t="s">
        <v>471</v>
      </c>
      <c r="D4223" s="125" t="s">
        <v>457</v>
      </c>
      <c r="E4223" s="125" t="s">
        <v>189</v>
      </c>
      <c r="F4223" s="126">
        <v>40627.0</v>
      </c>
      <c r="G4223" s="127">
        <v>8.48E8</v>
      </c>
      <c r="H4223" s="126">
        <v>40674.0</v>
      </c>
      <c r="I4223" s="128">
        <v>7306.0</v>
      </c>
      <c r="J4223" s="128">
        <v>109.28</v>
      </c>
      <c r="K4223" s="128">
        <v>35.84</v>
      </c>
      <c r="L4223" s="128">
        <v>798399.7</v>
      </c>
      <c r="M4223" s="128">
        <v>261847.0</v>
      </c>
      <c r="N4223" s="128">
        <v>536552.6</v>
      </c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</row>
    <row r="4224">
      <c r="A4224" s="125" t="s">
        <v>475</v>
      </c>
      <c r="B4224" s="125" t="s">
        <v>601</v>
      </c>
      <c r="C4224" s="125" t="s">
        <v>456</v>
      </c>
      <c r="D4224" s="125" t="s">
        <v>457</v>
      </c>
      <c r="E4224" s="125" t="s">
        <v>189</v>
      </c>
      <c r="F4224" s="126">
        <v>42034.0</v>
      </c>
      <c r="G4224" s="127">
        <v>8.9E8</v>
      </c>
      <c r="H4224" s="126">
        <v>42063.0</v>
      </c>
      <c r="I4224" s="128">
        <v>9576.0</v>
      </c>
      <c r="J4224" s="128">
        <v>152.58</v>
      </c>
      <c r="K4224" s="128">
        <v>97.44</v>
      </c>
      <c r="L4224" s="128">
        <v>1461106.0</v>
      </c>
      <c r="M4224" s="128">
        <v>933085.4</v>
      </c>
      <c r="N4224" s="128">
        <v>528020.6</v>
      </c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</row>
    <row r="4225">
      <c r="A4225" s="125" t="s">
        <v>461</v>
      </c>
      <c r="B4225" s="125" t="s">
        <v>510</v>
      </c>
      <c r="C4225" s="125" t="s">
        <v>468</v>
      </c>
      <c r="D4225" s="125" t="s">
        <v>454</v>
      </c>
      <c r="E4225" s="125" t="s">
        <v>284</v>
      </c>
      <c r="F4225" s="126">
        <v>42804.0</v>
      </c>
      <c r="G4225" s="127">
        <v>8.93E8</v>
      </c>
      <c r="H4225" s="126">
        <v>42832.0</v>
      </c>
      <c r="I4225" s="128">
        <v>5787.0</v>
      </c>
      <c r="J4225" s="128">
        <v>81.73</v>
      </c>
      <c r="K4225" s="128">
        <v>56.67</v>
      </c>
      <c r="L4225" s="128">
        <v>472971.5</v>
      </c>
      <c r="M4225" s="128">
        <v>327949.3</v>
      </c>
      <c r="N4225" s="128">
        <v>145022.2</v>
      </c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</row>
    <row r="4226">
      <c r="A4226" s="125" t="s">
        <v>461</v>
      </c>
      <c r="B4226" s="125" t="s">
        <v>510</v>
      </c>
      <c r="C4226" s="125" t="s">
        <v>514</v>
      </c>
      <c r="D4226" s="125" t="s">
        <v>454</v>
      </c>
      <c r="E4226" s="125" t="s">
        <v>284</v>
      </c>
      <c r="F4226" s="126">
        <v>42522.0</v>
      </c>
      <c r="G4226" s="127">
        <v>8.12E8</v>
      </c>
      <c r="H4226" s="126">
        <v>42547.0</v>
      </c>
      <c r="I4226" s="128">
        <v>1413.0</v>
      </c>
      <c r="J4226" s="128">
        <v>668.27</v>
      </c>
      <c r="K4226" s="128">
        <v>502.54</v>
      </c>
      <c r="L4226" s="128">
        <v>944265.5</v>
      </c>
      <c r="M4226" s="128">
        <v>710089.0</v>
      </c>
      <c r="N4226" s="128">
        <v>234176.5</v>
      </c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</row>
    <row r="4227">
      <c r="A4227" s="125" t="s">
        <v>451</v>
      </c>
      <c r="B4227" s="125" t="s">
        <v>655</v>
      </c>
      <c r="C4227" s="125" t="s">
        <v>494</v>
      </c>
      <c r="D4227" s="125" t="s">
        <v>457</v>
      </c>
      <c r="E4227" s="125" t="s">
        <v>284</v>
      </c>
      <c r="F4227" s="126">
        <v>42545.0</v>
      </c>
      <c r="G4227" s="127">
        <v>6.72E8</v>
      </c>
      <c r="H4227" s="126">
        <v>42589.0</v>
      </c>
      <c r="I4227" s="128">
        <v>8959.0</v>
      </c>
      <c r="J4227" s="128">
        <v>9.33</v>
      </c>
      <c r="K4227" s="128">
        <v>6.92</v>
      </c>
      <c r="L4227" s="128">
        <v>83587.47</v>
      </c>
      <c r="M4227" s="128">
        <v>61996.28</v>
      </c>
      <c r="N4227" s="128">
        <v>21591.19</v>
      </c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</row>
    <row r="4228">
      <c r="A4228" s="125" t="s">
        <v>458</v>
      </c>
      <c r="B4228" s="125" t="s">
        <v>459</v>
      </c>
      <c r="C4228" s="125" t="s">
        <v>463</v>
      </c>
      <c r="D4228" s="125" t="s">
        <v>454</v>
      </c>
      <c r="E4228" s="125" t="s">
        <v>284</v>
      </c>
      <c r="F4228" s="126">
        <v>41853.0</v>
      </c>
      <c r="G4228" s="127">
        <v>1.19E8</v>
      </c>
      <c r="H4228" s="126">
        <v>41868.0</v>
      </c>
      <c r="I4228" s="128">
        <v>2960.0</v>
      </c>
      <c r="J4228" s="128">
        <v>205.7</v>
      </c>
      <c r="K4228" s="128">
        <v>117.11</v>
      </c>
      <c r="L4228" s="128">
        <v>608872.0</v>
      </c>
      <c r="M4228" s="128">
        <v>346645.6</v>
      </c>
      <c r="N4228" s="128">
        <v>262226.4</v>
      </c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</row>
    <row r="4229">
      <c r="A4229" s="125" t="s">
        <v>458</v>
      </c>
      <c r="B4229" s="125" t="s">
        <v>518</v>
      </c>
      <c r="C4229" s="125" t="s">
        <v>453</v>
      </c>
      <c r="D4229" s="125" t="s">
        <v>454</v>
      </c>
      <c r="E4229" s="125" t="s">
        <v>464</v>
      </c>
      <c r="F4229" s="126">
        <v>41200.0</v>
      </c>
      <c r="G4229" s="127">
        <v>6.67E8</v>
      </c>
      <c r="H4229" s="126">
        <v>41213.0</v>
      </c>
      <c r="I4229" s="128">
        <v>4985.0</v>
      </c>
      <c r="J4229" s="128">
        <v>255.28</v>
      </c>
      <c r="K4229" s="128">
        <v>159.42</v>
      </c>
      <c r="L4229" s="128">
        <v>1272571.0</v>
      </c>
      <c r="M4229" s="128">
        <v>794708.7</v>
      </c>
      <c r="N4229" s="128">
        <v>477862.1</v>
      </c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</row>
    <row r="4230">
      <c r="A4230" s="125" t="s">
        <v>461</v>
      </c>
      <c r="B4230" s="125" t="s">
        <v>586</v>
      </c>
      <c r="C4230" s="125" t="s">
        <v>471</v>
      </c>
      <c r="D4230" s="125" t="s">
        <v>454</v>
      </c>
      <c r="E4230" s="125" t="s">
        <v>284</v>
      </c>
      <c r="F4230" s="126">
        <v>41726.0</v>
      </c>
      <c r="G4230" s="127">
        <v>7.54E8</v>
      </c>
      <c r="H4230" s="126">
        <v>41750.0</v>
      </c>
      <c r="I4230" s="128">
        <v>8631.0</v>
      </c>
      <c r="J4230" s="128">
        <v>109.28</v>
      </c>
      <c r="K4230" s="128">
        <v>35.84</v>
      </c>
      <c r="L4230" s="128">
        <v>943195.7</v>
      </c>
      <c r="M4230" s="128">
        <v>309335.0</v>
      </c>
      <c r="N4230" s="128">
        <v>633860.6</v>
      </c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</row>
    <row r="4231">
      <c r="A4231" s="125" t="s">
        <v>458</v>
      </c>
      <c r="B4231" s="125" t="s">
        <v>547</v>
      </c>
      <c r="C4231" s="125" t="s">
        <v>453</v>
      </c>
      <c r="D4231" s="125" t="s">
        <v>454</v>
      </c>
      <c r="E4231" s="125" t="s">
        <v>284</v>
      </c>
      <c r="F4231" s="126">
        <v>40812.0</v>
      </c>
      <c r="G4231" s="127">
        <v>6.85E8</v>
      </c>
      <c r="H4231" s="126">
        <v>40833.0</v>
      </c>
      <c r="I4231" s="128">
        <v>4529.0</v>
      </c>
      <c r="J4231" s="128">
        <v>255.28</v>
      </c>
      <c r="K4231" s="128">
        <v>159.42</v>
      </c>
      <c r="L4231" s="128">
        <v>1156163.0</v>
      </c>
      <c r="M4231" s="128">
        <v>722013.2</v>
      </c>
      <c r="N4231" s="128">
        <v>434149.9</v>
      </c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</row>
    <row r="4232">
      <c r="A4232" s="125" t="s">
        <v>461</v>
      </c>
      <c r="B4232" s="125" t="s">
        <v>615</v>
      </c>
      <c r="C4232" s="125" t="s">
        <v>480</v>
      </c>
      <c r="D4232" s="125" t="s">
        <v>457</v>
      </c>
      <c r="E4232" s="125" t="s">
        <v>284</v>
      </c>
      <c r="F4232" s="126">
        <v>41760.0</v>
      </c>
      <c r="G4232" s="127">
        <v>3.87E8</v>
      </c>
      <c r="H4232" s="126">
        <v>41801.0</v>
      </c>
      <c r="I4232" s="128">
        <v>5341.0</v>
      </c>
      <c r="J4232" s="128">
        <v>437.2</v>
      </c>
      <c r="K4232" s="128">
        <v>263.33</v>
      </c>
      <c r="L4232" s="128">
        <v>2335085.0</v>
      </c>
      <c r="M4232" s="128">
        <v>1406446.0</v>
      </c>
      <c r="N4232" s="128">
        <v>928639.7</v>
      </c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</row>
    <row r="4233">
      <c r="A4233" s="125" t="s">
        <v>458</v>
      </c>
      <c r="B4233" s="125" t="s">
        <v>560</v>
      </c>
      <c r="C4233" s="125" t="s">
        <v>460</v>
      </c>
      <c r="D4233" s="125" t="s">
        <v>454</v>
      </c>
      <c r="E4233" s="125" t="s">
        <v>472</v>
      </c>
      <c r="F4233" s="126">
        <v>41347.0</v>
      </c>
      <c r="G4233" s="127">
        <v>7.57E8</v>
      </c>
      <c r="H4233" s="126">
        <v>41356.0</v>
      </c>
      <c r="I4233" s="128">
        <v>757.0</v>
      </c>
      <c r="J4233" s="128">
        <v>47.45</v>
      </c>
      <c r="K4233" s="128">
        <v>31.79</v>
      </c>
      <c r="L4233" s="128">
        <v>35919.65</v>
      </c>
      <c r="M4233" s="128">
        <v>24065.03</v>
      </c>
      <c r="N4233" s="128">
        <v>11854.62</v>
      </c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</row>
    <row r="4234">
      <c r="A4234" s="125" t="s">
        <v>458</v>
      </c>
      <c r="B4234" s="125" t="s">
        <v>517</v>
      </c>
      <c r="C4234" s="125" t="s">
        <v>485</v>
      </c>
      <c r="D4234" s="125" t="s">
        <v>454</v>
      </c>
      <c r="E4234" s="125" t="s">
        <v>472</v>
      </c>
      <c r="F4234" s="126">
        <v>42270.0</v>
      </c>
      <c r="G4234" s="127">
        <v>5.13E8</v>
      </c>
      <c r="H4234" s="126">
        <v>42286.0</v>
      </c>
      <c r="I4234" s="128">
        <v>2502.0</v>
      </c>
      <c r="J4234" s="128">
        <v>421.89</v>
      </c>
      <c r="K4234" s="128">
        <v>364.69</v>
      </c>
      <c r="L4234" s="128">
        <v>1055569.0</v>
      </c>
      <c r="M4234" s="128">
        <v>912454.4</v>
      </c>
      <c r="N4234" s="128">
        <v>143114.4</v>
      </c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</row>
    <row r="4235">
      <c r="A4235" s="125" t="s">
        <v>451</v>
      </c>
      <c r="B4235" s="125" t="s">
        <v>620</v>
      </c>
      <c r="C4235" s="125" t="s">
        <v>506</v>
      </c>
      <c r="D4235" s="125" t="s">
        <v>454</v>
      </c>
      <c r="E4235" s="125" t="s">
        <v>472</v>
      </c>
      <c r="F4235" s="126">
        <v>40700.0</v>
      </c>
      <c r="G4235" s="127">
        <v>2.41E8</v>
      </c>
      <c r="H4235" s="126">
        <v>40738.0</v>
      </c>
      <c r="I4235" s="128">
        <v>9331.0</v>
      </c>
      <c r="J4235" s="128">
        <v>154.06</v>
      </c>
      <c r="K4235" s="128">
        <v>90.93</v>
      </c>
      <c r="L4235" s="128">
        <v>1437534.0</v>
      </c>
      <c r="M4235" s="128">
        <v>848467.8</v>
      </c>
      <c r="N4235" s="128">
        <v>589066.0</v>
      </c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</row>
    <row r="4236">
      <c r="A4236" s="125" t="s">
        <v>466</v>
      </c>
      <c r="B4236" s="125" t="s">
        <v>568</v>
      </c>
      <c r="C4236" s="125" t="s">
        <v>468</v>
      </c>
      <c r="D4236" s="125" t="s">
        <v>454</v>
      </c>
      <c r="E4236" s="125" t="s">
        <v>464</v>
      </c>
      <c r="F4236" s="126">
        <v>41494.0</v>
      </c>
      <c r="G4236" s="127">
        <v>1.49E8</v>
      </c>
      <c r="H4236" s="126">
        <v>41507.0</v>
      </c>
      <c r="I4236" s="128">
        <v>2030.0</v>
      </c>
      <c r="J4236" s="128">
        <v>81.73</v>
      </c>
      <c r="K4236" s="128">
        <v>56.67</v>
      </c>
      <c r="L4236" s="128">
        <v>165911.9</v>
      </c>
      <c r="M4236" s="128">
        <v>115040.1</v>
      </c>
      <c r="N4236" s="128">
        <v>50871.8</v>
      </c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</row>
    <row r="4237">
      <c r="A4237" s="125" t="s">
        <v>458</v>
      </c>
      <c r="B4237" s="125" t="s">
        <v>653</v>
      </c>
      <c r="C4237" s="125" t="s">
        <v>485</v>
      </c>
      <c r="D4237" s="125" t="s">
        <v>457</v>
      </c>
      <c r="E4237" s="125" t="s">
        <v>189</v>
      </c>
      <c r="F4237" s="126">
        <v>40220.0</v>
      </c>
      <c r="G4237" s="127">
        <v>5.16E8</v>
      </c>
      <c r="H4237" s="126">
        <v>40243.0</v>
      </c>
      <c r="I4237" s="128">
        <v>8416.0</v>
      </c>
      <c r="J4237" s="128">
        <v>421.89</v>
      </c>
      <c r="K4237" s="128">
        <v>364.69</v>
      </c>
      <c r="L4237" s="128">
        <v>3550626.0</v>
      </c>
      <c r="M4237" s="128">
        <v>3069231.0</v>
      </c>
      <c r="N4237" s="128">
        <v>481395.2</v>
      </c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</row>
    <row r="4238">
      <c r="A4238" s="125" t="s">
        <v>466</v>
      </c>
      <c r="B4238" s="125" t="s">
        <v>508</v>
      </c>
      <c r="C4238" s="125" t="s">
        <v>453</v>
      </c>
      <c r="D4238" s="125" t="s">
        <v>457</v>
      </c>
      <c r="E4238" s="125" t="s">
        <v>464</v>
      </c>
      <c r="F4238" s="126">
        <v>41130.0</v>
      </c>
      <c r="G4238" s="127">
        <v>3.41E8</v>
      </c>
      <c r="H4238" s="126">
        <v>41139.0</v>
      </c>
      <c r="I4238" s="128">
        <v>8339.0</v>
      </c>
      <c r="J4238" s="128">
        <v>255.28</v>
      </c>
      <c r="K4238" s="128">
        <v>159.42</v>
      </c>
      <c r="L4238" s="128">
        <v>2128780.0</v>
      </c>
      <c r="M4238" s="128">
        <v>1329403.0</v>
      </c>
      <c r="N4238" s="128">
        <v>799376.5</v>
      </c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</row>
    <row r="4239">
      <c r="A4239" s="125" t="s">
        <v>458</v>
      </c>
      <c r="B4239" s="125" t="s">
        <v>582</v>
      </c>
      <c r="C4239" s="125" t="s">
        <v>506</v>
      </c>
      <c r="D4239" s="125" t="s">
        <v>454</v>
      </c>
      <c r="E4239" s="125" t="s">
        <v>472</v>
      </c>
      <c r="F4239" s="126">
        <v>41950.0</v>
      </c>
      <c r="G4239" s="127">
        <v>4.92E8</v>
      </c>
      <c r="H4239" s="126">
        <v>41950.0</v>
      </c>
      <c r="I4239" s="128">
        <v>8676.0</v>
      </c>
      <c r="J4239" s="128">
        <v>154.06</v>
      </c>
      <c r="K4239" s="128">
        <v>90.93</v>
      </c>
      <c r="L4239" s="128">
        <v>1336625.0</v>
      </c>
      <c r="M4239" s="128">
        <v>788908.7</v>
      </c>
      <c r="N4239" s="128">
        <v>547715.9</v>
      </c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</row>
    <row r="4240">
      <c r="A4240" s="125" t="s">
        <v>466</v>
      </c>
      <c r="B4240" s="125" t="s">
        <v>658</v>
      </c>
      <c r="C4240" s="125" t="s">
        <v>506</v>
      </c>
      <c r="D4240" s="125" t="s">
        <v>457</v>
      </c>
      <c r="E4240" s="125" t="s">
        <v>189</v>
      </c>
      <c r="F4240" s="126">
        <v>40797.0</v>
      </c>
      <c r="G4240" s="127">
        <v>5.57E8</v>
      </c>
      <c r="H4240" s="126">
        <v>40838.0</v>
      </c>
      <c r="I4240" s="128">
        <v>8341.0</v>
      </c>
      <c r="J4240" s="128">
        <v>154.06</v>
      </c>
      <c r="K4240" s="128">
        <v>90.93</v>
      </c>
      <c r="L4240" s="128">
        <v>1285014.0</v>
      </c>
      <c r="M4240" s="128">
        <v>758447.1</v>
      </c>
      <c r="N4240" s="128">
        <v>526567.3</v>
      </c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</row>
    <row r="4241">
      <c r="A4241" s="125" t="s">
        <v>451</v>
      </c>
      <c r="B4241" s="125" t="s">
        <v>455</v>
      </c>
      <c r="C4241" s="125" t="s">
        <v>456</v>
      </c>
      <c r="D4241" s="125" t="s">
        <v>457</v>
      </c>
      <c r="E4241" s="125" t="s">
        <v>284</v>
      </c>
      <c r="F4241" s="126">
        <v>40325.0</v>
      </c>
      <c r="G4241" s="127">
        <v>1.97E8</v>
      </c>
      <c r="H4241" s="126">
        <v>40337.0</v>
      </c>
      <c r="I4241" s="128">
        <v>3276.0</v>
      </c>
      <c r="J4241" s="128">
        <v>152.58</v>
      </c>
      <c r="K4241" s="128">
        <v>97.44</v>
      </c>
      <c r="L4241" s="128">
        <v>499852.1</v>
      </c>
      <c r="M4241" s="128">
        <v>319213.4</v>
      </c>
      <c r="N4241" s="128">
        <v>180638.6</v>
      </c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</row>
    <row r="4242">
      <c r="A4242" s="125" t="s">
        <v>466</v>
      </c>
      <c r="B4242" s="125" t="s">
        <v>612</v>
      </c>
      <c r="C4242" s="125" t="s">
        <v>468</v>
      </c>
      <c r="D4242" s="125" t="s">
        <v>457</v>
      </c>
      <c r="E4242" s="125" t="s">
        <v>464</v>
      </c>
      <c r="F4242" s="126">
        <v>40811.0</v>
      </c>
      <c r="G4242" s="127">
        <v>4.92E8</v>
      </c>
      <c r="H4242" s="126">
        <v>40821.0</v>
      </c>
      <c r="I4242" s="128">
        <v>1453.0</v>
      </c>
      <c r="J4242" s="128">
        <v>81.73</v>
      </c>
      <c r="K4242" s="128">
        <v>56.67</v>
      </c>
      <c r="L4242" s="128">
        <v>118753.7</v>
      </c>
      <c r="M4242" s="128">
        <v>82341.51</v>
      </c>
      <c r="N4242" s="128">
        <v>36412.18</v>
      </c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</row>
    <row r="4243">
      <c r="A4243" s="125" t="s">
        <v>466</v>
      </c>
      <c r="B4243" s="125" t="s">
        <v>477</v>
      </c>
      <c r="C4243" s="125" t="s">
        <v>506</v>
      </c>
      <c r="D4243" s="125" t="s">
        <v>454</v>
      </c>
      <c r="E4243" s="125" t="s">
        <v>472</v>
      </c>
      <c r="F4243" s="126">
        <v>41537.0</v>
      </c>
      <c r="G4243" s="127">
        <v>7.91E8</v>
      </c>
      <c r="H4243" s="126">
        <v>41555.0</v>
      </c>
      <c r="I4243" s="128">
        <v>7878.0</v>
      </c>
      <c r="J4243" s="128">
        <v>154.06</v>
      </c>
      <c r="K4243" s="128">
        <v>90.93</v>
      </c>
      <c r="L4243" s="128">
        <v>1213685.0</v>
      </c>
      <c r="M4243" s="128">
        <v>716346.5</v>
      </c>
      <c r="N4243" s="128">
        <v>497338.1</v>
      </c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</row>
    <row r="4244">
      <c r="A4244" s="125" t="s">
        <v>451</v>
      </c>
      <c r="B4244" s="125" t="s">
        <v>646</v>
      </c>
      <c r="C4244" s="125" t="s">
        <v>514</v>
      </c>
      <c r="D4244" s="125" t="s">
        <v>457</v>
      </c>
      <c r="E4244" s="125" t="s">
        <v>284</v>
      </c>
      <c r="F4244" s="126">
        <v>42175.0</v>
      </c>
      <c r="G4244" s="127">
        <v>9.65E8</v>
      </c>
      <c r="H4244" s="126">
        <v>42206.0</v>
      </c>
      <c r="I4244" s="128">
        <v>9587.0</v>
      </c>
      <c r="J4244" s="128">
        <v>668.27</v>
      </c>
      <c r="K4244" s="128">
        <v>502.54</v>
      </c>
      <c r="L4244" s="128">
        <v>6406704.0</v>
      </c>
      <c r="M4244" s="128">
        <v>4817851.0</v>
      </c>
      <c r="N4244" s="128">
        <v>1588854.0</v>
      </c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</row>
    <row r="4245">
      <c r="A4245" s="125" t="s">
        <v>475</v>
      </c>
      <c r="B4245" s="125" t="s">
        <v>549</v>
      </c>
      <c r="C4245" s="125" t="s">
        <v>494</v>
      </c>
      <c r="D4245" s="125" t="s">
        <v>457</v>
      </c>
      <c r="E4245" s="125" t="s">
        <v>472</v>
      </c>
      <c r="F4245" s="126">
        <v>41404.0</v>
      </c>
      <c r="G4245" s="127">
        <v>9.54E8</v>
      </c>
      <c r="H4245" s="126">
        <v>41439.0</v>
      </c>
      <c r="I4245" s="128">
        <v>647.0</v>
      </c>
      <c r="J4245" s="128">
        <v>9.33</v>
      </c>
      <c r="K4245" s="128">
        <v>6.92</v>
      </c>
      <c r="L4245" s="128">
        <v>6036.51</v>
      </c>
      <c r="M4245" s="128">
        <v>4477.24</v>
      </c>
      <c r="N4245" s="128">
        <v>1559.27</v>
      </c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</row>
    <row r="4246">
      <c r="A4246" s="125" t="s">
        <v>475</v>
      </c>
      <c r="B4246" s="125" t="s">
        <v>591</v>
      </c>
      <c r="C4246" s="125" t="s">
        <v>506</v>
      </c>
      <c r="D4246" s="125" t="s">
        <v>457</v>
      </c>
      <c r="E4246" s="125" t="s">
        <v>464</v>
      </c>
      <c r="F4246" s="126">
        <v>41055.0</v>
      </c>
      <c r="G4246" s="127">
        <v>3.19E8</v>
      </c>
      <c r="H4246" s="126">
        <v>41083.0</v>
      </c>
      <c r="I4246" s="128">
        <v>7157.0</v>
      </c>
      <c r="J4246" s="128">
        <v>154.06</v>
      </c>
      <c r="K4246" s="128">
        <v>90.93</v>
      </c>
      <c r="L4246" s="128">
        <v>1102607.0</v>
      </c>
      <c r="M4246" s="128">
        <v>650786.0</v>
      </c>
      <c r="N4246" s="128">
        <v>451821.4</v>
      </c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</row>
    <row r="4247">
      <c r="A4247" s="125" t="s">
        <v>451</v>
      </c>
      <c r="B4247" s="125" t="s">
        <v>620</v>
      </c>
      <c r="C4247" s="125" t="s">
        <v>485</v>
      </c>
      <c r="D4247" s="125" t="s">
        <v>454</v>
      </c>
      <c r="E4247" s="125" t="s">
        <v>284</v>
      </c>
      <c r="F4247" s="126">
        <v>41967.0</v>
      </c>
      <c r="G4247" s="127">
        <v>4.92E8</v>
      </c>
      <c r="H4247" s="126">
        <v>42015.0</v>
      </c>
      <c r="I4247" s="128">
        <v>2247.0</v>
      </c>
      <c r="J4247" s="128">
        <v>421.89</v>
      </c>
      <c r="K4247" s="128">
        <v>364.69</v>
      </c>
      <c r="L4247" s="128">
        <v>947986.8</v>
      </c>
      <c r="M4247" s="128">
        <v>819458.4</v>
      </c>
      <c r="N4247" s="128">
        <v>128528.4</v>
      </c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</row>
    <row r="4248">
      <c r="A4248" s="125" t="s">
        <v>451</v>
      </c>
      <c r="B4248" s="125" t="s">
        <v>483</v>
      </c>
      <c r="C4248" s="125" t="s">
        <v>460</v>
      </c>
      <c r="D4248" s="125" t="s">
        <v>457</v>
      </c>
      <c r="E4248" s="125" t="s">
        <v>189</v>
      </c>
      <c r="F4248" s="126">
        <v>42603.0</v>
      </c>
      <c r="G4248" s="127">
        <v>7.24E8</v>
      </c>
      <c r="H4248" s="126">
        <v>42645.0</v>
      </c>
      <c r="I4248" s="128">
        <v>1079.0</v>
      </c>
      <c r="J4248" s="128">
        <v>47.45</v>
      </c>
      <c r="K4248" s="128">
        <v>31.79</v>
      </c>
      <c r="L4248" s="128">
        <v>51198.55</v>
      </c>
      <c r="M4248" s="128">
        <v>34301.41</v>
      </c>
      <c r="N4248" s="128">
        <v>16897.14</v>
      </c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</row>
    <row r="4249">
      <c r="A4249" s="125" t="s">
        <v>475</v>
      </c>
      <c r="B4249" s="125" t="s">
        <v>552</v>
      </c>
      <c r="C4249" s="125" t="s">
        <v>460</v>
      </c>
      <c r="D4249" s="125" t="s">
        <v>457</v>
      </c>
      <c r="E4249" s="125" t="s">
        <v>189</v>
      </c>
      <c r="F4249" s="126">
        <v>40430.0</v>
      </c>
      <c r="G4249" s="127">
        <v>3.38E8</v>
      </c>
      <c r="H4249" s="126">
        <v>40479.0</v>
      </c>
      <c r="I4249" s="128">
        <v>5843.0</v>
      </c>
      <c r="J4249" s="128">
        <v>47.45</v>
      </c>
      <c r="K4249" s="128">
        <v>31.79</v>
      </c>
      <c r="L4249" s="128">
        <v>277250.4</v>
      </c>
      <c r="M4249" s="128">
        <v>185749.0</v>
      </c>
      <c r="N4249" s="128">
        <v>91501.38</v>
      </c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</row>
    <row r="4250">
      <c r="A4250" s="125" t="s">
        <v>466</v>
      </c>
      <c r="B4250" s="125" t="s">
        <v>479</v>
      </c>
      <c r="C4250" s="125" t="s">
        <v>468</v>
      </c>
      <c r="D4250" s="125" t="s">
        <v>454</v>
      </c>
      <c r="E4250" s="125" t="s">
        <v>189</v>
      </c>
      <c r="F4250" s="126">
        <v>41602.0</v>
      </c>
      <c r="G4250" s="127">
        <v>9.75E8</v>
      </c>
      <c r="H4250" s="126">
        <v>41623.0</v>
      </c>
      <c r="I4250" s="128">
        <v>765.0</v>
      </c>
      <c r="J4250" s="128">
        <v>81.73</v>
      </c>
      <c r="K4250" s="128">
        <v>56.67</v>
      </c>
      <c r="L4250" s="128">
        <v>62523.45</v>
      </c>
      <c r="M4250" s="128">
        <v>43352.55</v>
      </c>
      <c r="N4250" s="128">
        <v>19170.9</v>
      </c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</row>
    <row r="4251">
      <c r="A4251" s="125" t="s">
        <v>475</v>
      </c>
      <c r="B4251" s="125" t="s">
        <v>570</v>
      </c>
      <c r="C4251" s="125" t="s">
        <v>463</v>
      </c>
      <c r="D4251" s="125" t="s">
        <v>454</v>
      </c>
      <c r="E4251" s="125" t="s">
        <v>284</v>
      </c>
      <c r="F4251" s="126">
        <v>40216.0</v>
      </c>
      <c r="G4251" s="127">
        <v>7.48E8</v>
      </c>
      <c r="H4251" s="126">
        <v>40263.0</v>
      </c>
      <c r="I4251" s="128">
        <v>7098.0</v>
      </c>
      <c r="J4251" s="128">
        <v>205.7</v>
      </c>
      <c r="K4251" s="128">
        <v>117.11</v>
      </c>
      <c r="L4251" s="128">
        <v>1460059.0</v>
      </c>
      <c r="M4251" s="128">
        <v>831246.8</v>
      </c>
      <c r="N4251" s="128">
        <v>628811.8</v>
      </c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</row>
    <row r="4252">
      <c r="A4252" s="125" t="s">
        <v>475</v>
      </c>
      <c r="B4252" s="125" t="s">
        <v>504</v>
      </c>
      <c r="C4252" s="125" t="s">
        <v>494</v>
      </c>
      <c r="D4252" s="125" t="s">
        <v>454</v>
      </c>
      <c r="E4252" s="125" t="s">
        <v>464</v>
      </c>
      <c r="F4252" s="126">
        <v>41822.0</v>
      </c>
      <c r="G4252" s="127">
        <v>9.9E8</v>
      </c>
      <c r="H4252" s="126">
        <v>41852.0</v>
      </c>
      <c r="I4252" s="128">
        <v>8129.0</v>
      </c>
      <c r="J4252" s="128">
        <v>9.33</v>
      </c>
      <c r="K4252" s="128">
        <v>6.92</v>
      </c>
      <c r="L4252" s="128">
        <v>75843.57</v>
      </c>
      <c r="M4252" s="128">
        <v>56252.68</v>
      </c>
      <c r="N4252" s="128">
        <v>19590.89</v>
      </c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</row>
    <row r="4253">
      <c r="A4253" s="125" t="s">
        <v>475</v>
      </c>
      <c r="B4253" s="125" t="s">
        <v>600</v>
      </c>
      <c r="C4253" s="125" t="s">
        <v>480</v>
      </c>
      <c r="D4253" s="125" t="s">
        <v>457</v>
      </c>
      <c r="E4253" s="125" t="s">
        <v>284</v>
      </c>
      <c r="F4253" s="126">
        <v>42676.0</v>
      </c>
      <c r="G4253" s="127">
        <v>4.04E8</v>
      </c>
      <c r="H4253" s="126">
        <v>42687.0</v>
      </c>
      <c r="I4253" s="128">
        <v>4176.0</v>
      </c>
      <c r="J4253" s="128">
        <v>437.2</v>
      </c>
      <c r="K4253" s="128">
        <v>263.33</v>
      </c>
      <c r="L4253" s="128">
        <v>1825747.0</v>
      </c>
      <c r="M4253" s="128">
        <v>1099666.0</v>
      </c>
      <c r="N4253" s="128">
        <v>726081.1</v>
      </c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</row>
    <row r="4254">
      <c r="A4254" s="125" t="s">
        <v>469</v>
      </c>
      <c r="B4254" s="125" t="s">
        <v>630</v>
      </c>
      <c r="C4254" s="125" t="s">
        <v>485</v>
      </c>
      <c r="D4254" s="125" t="s">
        <v>454</v>
      </c>
      <c r="E4254" s="125" t="s">
        <v>472</v>
      </c>
      <c r="F4254" s="126">
        <v>42193.0</v>
      </c>
      <c r="G4254" s="127">
        <v>9.13E8</v>
      </c>
      <c r="H4254" s="126">
        <v>42239.0</v>
      </c>
      <c r="I4254" s="128">
        <v>7587.0</v>
      </c>
      <c r="J4254" s="128">
        <v>421.89</v>
      </c>
      <c r="K4254" s="128">
        <v>364.69</v>
      </c>
      <c r="L4254" s="128">
        <v>3200879.0</v>
      </c>
      <c r="M4254" s="128">
        <v>2766903.0</v>
      </c>
      <c r="N4254" s="128">
        <v>433976.4</v>
      </c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</row>
    <row r="4255">
      <c r="A4255" s="125" t="s">
        <v>458</v>
      </c>
      <c r="B4255" s="125" t="s">
        <v>487</v>
      </c>
      <c r="C4255" s="125" t="s">
        <v>494</v>
      </c>
      <c r="D4255" s="125" t="s">
        <v>457</v>
      </c>
      <c r="E4255" s="125" t="s">
        <v>284</v>
      </c>
      <c r="F4255" s="126">
        <v>41555.0</v>
      </c>
      <c r="G4255" s="127">
        <v>9.12E8</v>
      </c>
      <c r="H4255" s="126">
        <v>41579.0</v>
      </c>
      <c r="I4255" s="128">
        <v>7742.0</v>
      </c>
      <c r="J4255" s="128">
        <v>9.33</v>
      </c>
      <c r="K4255" s="128">
        <v>6.92</v>
      </c>
      <c r="L4255" s="128">
        <v>72232.86</v>
      </c>
      <c r="M4255" s="128">
        <v>53574.64</v>
      </c>
      <c r="N4255" s="128">
        <v>18658.22</v>
      </c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</row>
    <row r="4256">
      <c r="A4256" s="125" t="s">
        <v>458</v>
      </c>
      <c r="B4256" s="125" t="s">
        <v>533</v>
      </c>
      <c r="C4256" s="125" t="s">
        <v>456</v>
      </c>
      <c r="D4256" s="125" t="s">
        <v>457</v>
      </c>
      <c r="E4256" s="125" t="s">
        <v>464</v>
      </c>
      <c r="F4256" s="126">
        <v>42337.0</v>
      </c>
      <c r="G4256" s="127">
        <v>2.14E8</v>
      </c>
      <c r="H4256" s="126">
        <v>42341.0</v>
      </c>
      <c r="I4256" s="128">
        <v>6052.0</v>
      </c>
      <c r="J4256" s="128">
        <v>152.58</v>
      </c>
      <c r="K4256" s="128">
        <v>97.44</v>
      </c>
      <c r="L4256" s="128">
        <v>923414.2</v>
      </c>
      <c r="M4256" s="128">
        <v>589706.9</v>
      </c>
      <c r="N4256" s="128">
        <v>333707.3</v>
      </c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</row>
    <row r="4257">
      <c r="A4257" s="125" t="s">
        <v>458</v>
      </c>
      <c r="B4257" s="125" t="s">
        <v>538</v>
      </c>
      <c r="C4257" s="125" t="s">
        <v>463</v>
      </c>
      <c r="D4257" s="125" t="s">
        <v>454</v>
      </c>
      <c r="E4257" s="125" t="s">
        <v>472</v>
      </c>
      <c r="F4257" s="126">
        <v>42352.0</v>
      </c>
      <c r="G4257" s="127">
        <v>5.04E8</v>
      </c>
      <c r="H4257" s="126">
        <v>42383.0</v>
      </c>
      <c r="I4257" s="128">
        <v>959.0</v>
      </c>
      <c r="J4257" s="128">
        <v>205.7</v>
      </c>
      <c r="K4257" s="128">
        <v>117.11</v>
      </c>
      <c r="L4257" s="128">
        <v>197266.3</v>
      </c>
      <c r="M4257" s="128">
        <v>112308.5</v>
      </c>
      <c r="N4257" s="128">
        <v>84957.81</v>
      </c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</row>
    <row r="4258">
      <c r="A4258" s="125" t="s">
        <v>458</v>
      </c>
      <c r="B4258" s="125" t="s">
        <v>590</v>
      </c>
      <c r="C4258" s="125" t="s">
        <v>506</v>
      </c>
      <c r="D4258" s="125" t="s">
        <v>454</v>
      </c>
      <c r="E4258" s="125" t="s">
        <v>464</v>
      </c>
      <c r="F4258" s="126">
        <v>42568.0</v>
      </c>
      <c r="G4258" s="127">
        <v>3.87E8</v>
      </c>
      <c r="H4258" s="126">
        <v>42577.0</v>
      </c>
      <c r="I4258" s="128">
        <v>2938.0</v>
      </c>
      <c r="J4258" s="128">
        <v>154.06</v>
      </c>
      <c r="K4258" s="128">
        <v>90.93</v>
      </c>
      <c r="L4258" s="128">
        <v>452628.3</v>
      </c>
      <c r="M4258" s="128">
        <v>267152.3</v>
      </c>
      <c r="N4258" s="128">
        <v>185475.9</v>
      </c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</row>
    <row r="4259">
      <c r="A4259" s="125" t="s">
        <v>458</v>
      </c>
      <c r="B4259" s="125" t="s">
        <v>610</v>
      </c>
      <c r="C4259" s="125" t="s">
        <v>480</v>
      </c>
      <c r="D4259" s="125" t="s">
        <v>457</v>
      </c>
      <c r="E4259" s="125" t="s">
        <v>284</v>
      </c>
      <c r="F4259" s="126">
        <v>40194.0</v>
      </c>
      <c r="G4259" s="127">
        <v>3.37E8</v>
      </c>
      <c r="H4259" s="126">
        <v>40232.0</v>
      </c>
      <c r="I4259" s="128">
        <v>9492.0</v>
      </c>
      <c r="J4259" s="128">
        <v>437.2</v>
      </c>
      <c r="K4259" s="128">
        <v>263.33</v>
      </c>
      <c r="L4259" s="128">
        <v>4149902.0</v>
      </c>
      <c r="M4259" s="128">
        <v>2499528.0</v>
      </c>
      <c r="N4259" s="128">
        <v>1650374.0</v>
      </c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</row>
    <row r="4260">
      <c r="A4260" s="125" t="s">
        <v>461</v>
      </c>
      <c r="B4260" s="125" t="s">
        <v>511</v>
      </c>
      <c r="C4260" s="125" t="s">
        <v>460</v>
      </c>
      <c r="D4260" s="125" t="s">
        <v>457</v>
      </c>
      <c r="E4260" s="125" t="s">
        <v>284</v>
      </c>
      <c r="F4260" s="126">
        <v>41125.0</v>
      </c>
      <c r="G4260" s="127">
        <v>4.5E8</v>
      </c>
      <c r="H4260" s="126">
        <v>41148.0</v>
      </c>
      <c r="I4260" s="128">
        <v>159.0</v>
      </c>
      <c r="J4260" s="128">
        <v>47.45</v>
      </c>
      <c r="K4260" s="128">
        <v>31.79</v>
      </c>
      <c r="L4260" s="128">
        <v>7544.55</v>
      </c>
      <c r="M4260" s="128">
        <v>5054.61</v>
      </c>
      <c r="N4260" s="128">
        <v>2489.94</v>
      </c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</row>
    <row r="4261">
      <c r="A4261" s="125" t="s">
        <v>475</v>
      </c>
      <c r="B4261" s="125" t="s">
        <v>588</v>
      </c>
      <c r="C4261" s="125" t="s">
        <v>460</v>
      </c>
      <c r="D4261" s="125" t="s">
        <v>454</v>
      </c>
      <c r="E4261" s="125" t="s">
        <v>464</v>
      </c>
      <c r="F4261" s="126">
        <v>41964.0</v>
      </c>
      <c r="G4261" s="127">
        <v>8.92E8</v>
      </c>
      <c r="H4261" s="126">
        <v>41978.0</v>
      </c>
      <c r="I4261" s="128">
        <v>1505.0</v>
      </c>
      <c r="J4261" s="128">
        <v>47.45</v>
      </c>
      <c r="K4261" s="128">
        <v>31.79</v>
      </c>
      <c r="L4261" s="128">
        <v>71412.25</v>
      </c>
      <c r="M4261" s="128">
        <v>47843.95</v>
      </c>
      <c r="N4261" s="128">
        <v>23568.3</v>
      </c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</row>
    <row r="4262">
      <c r="A4262" s="125" t="s">
        <v>469</v>
      </c>
      <c r="B4262" s="125" t="s">
        <v>530</v>
      </c>
      <c r="C4262" s="125" t="s">
        <v>494</v>
      </c>
      <c r="D4262" s="125" t="s">
        <v>457</v>
      </c>
      <c r="E4262" s="125" t="s">
        <v>464</v>
      </c>
      <c r="F4262" s="126">
        <v>42469.0</v>
      </c>
      <c r="G4262" s="127">
        <v>5.48E8</v>
      </c>
      <c r="H4262" s="126">
        <v>42491.0</v>
      </c>
      <c r="I4262" s="128">
        <v>2129.0</v>
      </c>
      <c r="J4262" s="128">
        <v>9.33</v>
      </c>
      <c r="K4262" s="128">
        <v>6.92</v>
      </c>
      <c r="L4262" s="128">
        <v>19863.57</v>
      </c>
      <c r="M4262" s="128">
        <v>14732.68</v>
      </c>
      <c r="N4262" s="128">
        <v>5130.89</v>
      </c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</row>
    <row r="4263">
      <c r="A4263" s="125" t="s">
        <v>475</v>
      </c>
      <c r="B4263" s="125" t="s">
        <v>575</v>
      </c>
      <c r="C4263" s="125" t="s">
        <v>494</v>
      </c>
      <c r="D4263" s="125" t="s">
        <v>457</v>
      </c>
      <c r="E4263" s="125" t="s">
        <v>472</v>
      </c>
      <c r="F4263" s="126">
        <v>41405.0</v>
      </c>
      <c r="G4263" s="127">
        <v>1.76E8</v>
      </c>
      <c r="H4263" s="126">
        <v>41449.0</v>
      </c>
      <c r="I4263" s="128">
        <v>7661.0</v>
      </c>
      <c r="J4263" s="128">
        <v>9.33</v>
      </c>
      <c r="K4263" s="128">
        <v>6.92</v>
      </c>
      <c r="L4263" s="128">
        <v>71477.13</v>
      </c>
      <c r="M4263" s="128">
        <v>53014.12</v>
      </c>
      <c r="N4263" s="128">
        <v>18463.01</v>
      </c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</row>
    <row r="4264">
      <c r="A4264" s="125" t="s">
        <v>469</v>
      </c>
      <c r="B4264" s="125" t="s">
        <v>634</v>
      </c>
      <c r="C4264" s="125" t="s">
        <v>471</v>
      </c>
      <c r="D4264" s="125" t="s">
        <v>457</v>
      </c>
      <c r="E4264" s="125" t="s">
        <v>472</v>
      </c>
      <c r="F4264" s="126">
        <v>40691.0</v>
      </c>
      <c r="G4264" s="127">
        <v>1.51E8</v>
      </c>
      <c r="H4264" s="126">
        <v>40735.0</v>
      </c>
      <c r="I4264" s="128">
        <v>5762.0</v>
      </c>
      <c r="J4264" s="128">
        <v>109.28</v>
      </c>
      <c r="K4264" s="128">
        <v>35.84</v>
      </c>
      <c r="L4264" s="128">
        <v>629671.4</v>
      </c>
      <c r="M4264" s="128">
        <v>206510.1</v>
      </c>
      <c r="N4264" s="128">
        <v>423161.3</v>
      </c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</row>
    <row r="4265">
      <c r="A4265" s="125" t="s">
        <v>475</v>
      </c>
      <c r="B4265" s="125" t="s">
        <v>521</v>
      </c>
      <c r="C4265" s="125" t="s">
        <v>460</v>
      </c>
      <c r="D4265" s="125" t="s">
        <v>457</v>
      </c>
      <c r="E4265" s="125" t="s">
        <v>189</v>
      </c>
      <c r="F4265" s="126">
        <v>41252.0</v>
      </c>
      <c r="G4265" s="127">
        <v>9.21E8</v>
      </c>
      <c r="H4265" s="126">
        <v>41273.0</v>
      </c>
      <c r="I4265" s="128">
        <v>1125.0</v>
      </c>
      <c r="J4265" s="128">
        <v>47.45</v>
      </c>
      <c r="K4265" s="128">
        <v>31.79</v>
      </c>
      <c r="L4265" s="128">
        <v>53381.25</v>
      </c>
      <c r="M4265" s="128">
        <v>35763.75</v>
      </c>
      <c r="N4265" s="128">
        <v>17617.5</v>
      </c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</row>
    <row r="4266">
      <c r="A4266" s="125" t="s">
        <v>461</v>
      </c>
      <c r="B4266" s="125" t="s">
        <v>639</v>
      </c>
      <c r="C4266" s="125" t="s">
        <v>485</v>
      </c>
      <c r="D4266" s="125" t="s">
        <v>454</v>
      </c>
      <c r="E4266" s="125" t="s">
        <v>284</v>
      </c>
      <c r="F4266" s="126">
        <v>41636.0</v>
      </c>
      <c r="G4266" s="127">
        <v>7.52E8</v>
      </c>
      <c r="H4266" s="126">
        <v>41676.0</v>
      </c>
      <c r="I4266" s="128">
        <v>472.0</v>
      </c>
      <c r="J4266" s="128">
        <v>421.89</v>
      </c>
      <c r="K4266" s="128">
        <v>364.69</v>
      </c>
      <c r="L4266" s="128">
        <v>199132.1</v>
      </c>
      <c r="M4266" s="128">
        <v>172133.7</v>
      </c>
      <c r="N4266" s="128">
        <v>26998.4</v>
      </c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</row>
    <row r="4267">
      <c r="A4267" s="125" t="s">
        <v>451</v>
      </c>
      <c r="B4267" s="125" t="s">
        <v>620</v>
      </c>
      <c r="C4267" s="125" t="s">
        <v>485</v>
      </c>
      <c r="D4267" s="125" t="s">
        <v>454</v>
      </c>
      <c r="E4267" s="125" t="s">
        <v>189</v>
      </c>
      <c r="F4267" s="126">
        <v>42163.0</v>
      </c>
      <c r="G4267" s="127">
        <v>6.82E8</v>
      </c>
      <c r="H4267" s="126">
        <v>42165.0</v>
      </c>
      <c r="I4267" s="128">
        <v>7560.0</v>
      </c>
      <c r="J4267" s="128">
        <v>421.89</v>
      </c>
      <c r="K4267" s="128">
        <v>364.69</v>
      </c>
      <c r="L4267" s="128">
        <v>3189488.0</v>
      </c>
      <c r="M4267" s="128">
        <v>2757056.0</v>
      </c>
      <c r="N4267" s="128">
        <v>432432.0</v>
      </c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</row>
    <row r="4268">
      <c r="A4268" s="125" t="s">
        <v>451</v>
      </c>
      <c r="B4268" s="125" t="s">
        <v>550</v>
      </c>
      <c r="C4268" s="125" t="s">
        <v>485</v>
      </c>
      <c r="D4268" s="125" t="s">
        <v>454</v>
      </c>
      <c r="E4268" s="125" t="s">
        <v>472</v>
      </c>
      <c r="F4268" s="126">
        <v>40777.0</v>
      </c>
      <c r="G4268" s="127">
        <v>4.7E8</v>
      </c>
      <c r="H4268" s="126">
        <v>40800.0</v>
      </c>
      <c r="I4268" s="128">
        <v>8174.0</v>
      </c>
      <c r="J4268" s="128">
        <v>421.89</v>
      </c>
      <c r="K4268" s="128">
        <v>364.69</v>
      </c>
      <c r="L4268" s="128">
        <v>3448529.0</v>
      </c>
      <c r="M4268" s="128">
        <v>2980976.0</v>
      </c>
      <c r="N4268" s="128">
        <v>467552.8</v>
      </c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</row>
    <row r="4269">
      <c r="A4269" s="125" t="s">
        <v>475</v>
      </c>
      <c r="B4269" s="125" t="s">
        <v>623</v>
      </c>
      <c r="C4269" s="125" t="s">
        <v>494</v>
      </c>
      <c r="D4269" s="125" t="s">
        <v>457</v>
      </c>
      <c r="E4269" s="125" t="s">
        <v>472</v>
      </c>
      <c r="F4269" s="126">
        <v>42723.0</v>
      </c>
      <c r="G4269" s="127">
        <v>8.43E8</v>
      </c>
      <c r="H4269" s="126">
        <v>42730.0</v>
      </c>
      <c r="I4269" s="128">
        <v>5132.0</v>
      </c>
      <c r="J4269" s="128">
        <v>9.33</v>
      </c>
      <c r="K4269" s="128">
        <v>6.92</v>
      </c>
      <c r="L4269" s="128">
        <v>47881.56</v>
      </c>
      <c r="M4269" s="128">
        <v>35513.44</v>
      </c>
      <c r="N4269" s="128">
        <v>12368.12</v>
      </c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</row>
    <row r="4270">
      <c r="A4270" s="125" t="s">
        <v>461</v>
      </c>
      <c r="B4270" s="125" t="s">
        <v>516</v>
      </c>
      <c r="C4270" s="125" t="s">
        <v>506</v>
      </c>
      <c r="D4270" s="125" t="s">
        <v>457</v>
      </c>
      <c r="E4270" s="125" t="s">
        <v>284</v>
      </c>
      <c r="F4270" s="126">
        <v>42576.0</v>
      </c>
      <c r="G4270" s="127">
        <v>3.5E8</v>
      </c>
      <c r="H4270" s="126">
        <v>42597.0</v>
      </c>
      <c r="I4270" s="128">
        <v>3281.0</v>
      </c>
      <c r="J4270" s="128">
        <v>154.06</v>
      </c>
      <c r="K4270" s="128">
        <v>90.93</v>
      </c>
      <c r="L4270" s="128">
        <v>505470.9</v>
      </c>
      <c r="M4270" s="128">
        <v>298341.3</v>
      </c>
      <c r="N4270" s="128">
        <v>207129.5</v>
      </c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</row>
    <row r="4271">
      <c r="A4271" s="125" t="s">
        <v>458</v>
      </c>
      <c r="B4271" s="125" t="s">
        <v>517</v>
      </c>
      <c r="C4271" s="125" t="s">
        <v>494</v>
      </c>
      <c r="D4271" s="125" t="s">
        <v>454</v>
      </c>
      <c r="E4271" s="125" t="s">
        <v>284</v>
      </c>
      <c r="F4271" s="126">
        <v>42209.0</v>
      </c>
      <c r="G4271" s="127">
        <v>3.09E8</v>
      </c>
      <c r="H4271" s="126">
        <v>42228.0</v>
      </c>
      <c r="I4271" s="128">
        <v>4503.0</v>
      </c>
      <c r="J4271" s="128">
        <v>9.33</v>
      </c>
      <c r="K4271" s="128">
        <v>6.92</v>
      </c>
      <c r="L4271" s="128">
        <v>42012.99</v>
      </c>
      <c r="M4271" s="128">
        <v>31160.76</v>
      </c>
      <c r="N4271" s="128">
        <v>10852.23</v>
      </c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</row>
    <row r="4272">
      <c r="A4272" s="125" t="s">
        <v>458</v>
      </c>
      <c r="B4272" s="125" t="s">
        <v>582</v>
      </c>
      <c r="C4272" s="125" t="s">
        <v>478</v>
      </c>
      <c r="D4272" s="125" t="s">
        <v>457</v>
      </c>
      <c r="E4272" s="125" t="s">
        <v>189</v>
      </c>
      <c r="F4272" s="126">
        <v>41122.0</v>
      </c>
      <c r="G4272" s="127">
        <v>7.6E8</v>
      </c>
      <c r="H4272" s="126">
        <v>41142.0</v>
      </c>
      <c r="I4272" s="128">
        <v>2708.0</v>
      </c>
      <c r="J4272" s="128">
        <v>651.21</v>
      </c>
      <c r="K4272" s="128">
        <v>524.96</v>
      </c>
      <c r="L4272" s="128">
        <v>1763477.0</v>
      </c>
      <c r="M4272" s="128">
        <v>1421592.0</v>
      </c>
      <c r="N4272" s="128">
        <v>341885.0</v>
      </c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</row>
    <row r="4273">
      <c r="A4273" s="125" t="s">
        <v>475</v>
      </c>
      <c r="B4273" s="125" t="s">
        <v>601</v>
      </c>
      <c r="C4273" s="125" t="s">
        <v>494</v>
      </c>
      <c r="D4273" s="125" t="s">
        <v>454</v>
      </c>
      <c r="E4273" s="125" t="s">
        <v>472</v>
      </c>
      <c r="F4273" s="126">
        <v>40587.0</v>
      </c>
      <c r="G4273" s="127">
        <v>9.13E8</v>
      </c>
      <c r="H4273" s="126">
        <v>40619.0</v>
      </c>
      <c r="I4273" s="128">
        <v>8838.0</v>
      </c>
      <c r="J4273" s="128">
        <v>9.33</v>
      </c>
      <c r="K4273" s="128">
        <v>6.92</v>
      </c>
      <c r="L4273" s="128">
        <v>82458.54</v>
      </c>
      <c r="M4273" s="128">
        <v>61158.96</v>
      </c>
      <c r="N4273" s="128">
        <v>21299.58</v>
      </c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</row>
    <row r="4274">
      <c r="A4274" s="125" t="s">
        <v>458</v>
      </c>
      <c r="B4274" s="125" t="s">
        <v>633</v>
      </c>
      <c r="C4274" s="125" t="s">
        <v>460</v>
      </c>
      <c r="D4274" s="125" t="s">
        <v>457</v>
      </c>
      <c r="E4274" s="125" t="s">
        <v>189</v>
      </c>
      <c r="F4274" s="126">
        <v>42262.0</v>
      </c>
      <c r="G4274" s="127">
        <v>4.96E8</v>
      </c>
      <c r="H4274" s="126">
        <v>42285.0</v>
      </c>
      <c r="I4274" s="128">
        <v>5868.0</v>
      </c>
      <c r="J4274" s="128">
        <v>47.45</v>
      </c>
      <c r="K4274" s="128">
        <v>31.79</v>
      </c>
      <c r="L4274" s="128">
        <v>278436.6</v>
      </c>
      <c r="M4274" s="128">
        <v>186543.7</v>
      </c>
      <c r="N4274" s="128">
        <v>91892.88</v>
      </c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</row>
    <row r="4275">
      <c r="A4275" s="125" t="s">
        <v>458</v>
      </c>
      <c r="B4275" s="125" t="s">
        <v>559</v>
      </c>
      <c r="C4275" s="125" t="s">
        <v>471</v>
      </c>
      <c r="D4275" s="125" t="s">
        <v>457</v>
      </c>
      <c r="E4275" s="125" t="s">
        <v>464</v>
      </c>
      <c r="F4275" s="126">
        <v>41283.0</v>
      </c>
      <c r="G4275" s="127">
        <v>2.1E8</v>
      </c>
      <c r="H4275" s="126">
        <v>41285.0</v>
      </c>
      <c r="I4275" s="128">
        <v>3802.0</v>
      </c>
      <c r="J4275" s="128">
        <v>109.28</v>
      </c>
      <c r="K4275" s="128">
        <v>35.84</v>
      </c>
      <c r="L4275" s="128">
        <v>415482.6</v>
      </c>
      <c r="M4275" s="128">
        <v>136263.7</v>
      </c>
      <c r="N4275" s="128">
        <v>279218.9</v>
      </c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</row>
    <row r="4276">
      <c r="A4276" s="125" t="s">
        <v>475</v>
      </c>
      <c r="B4276" s="125" t="s">
        <v>602</v>
      </c>
      <c r="C4276" s="125" t="s">
        <v>471</v>
      </c>
      <c r="D4276" s="125" t="s">
        <v>457</v>
      </c>
      <c r="E4276" s="125" t="s">
        <v>464</v>
      </c>
      <c r="F4276" s="126">
        <v>41468.0</v>
      </c>
      <c r="G4276" s="127">
        <v>3.75E8</v>
      </c>
      <c r="H4276" s="126">
        <v>41511.0</v>
      </c>
      <c r="I4276" s="128">
        <v>4676.0</v>
      </c>
      <c r="J4276" s="128">
        <v>109.28</v>
      </c>
      <c r="K4276" s="128">
        <v>35.84</v>
      </c>
      <c r="L4276" s="128">
        <v>510993.3</v>
      </c>
      <c r="M4276" s="128">
        <v>167587.8</v>
      </c>
      <c r="N4276" s="128">
        <v>343405.4</v>
      </c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</row>
    <row r="4277">
      <c r="A4277" s="125" t="s">
        <v>488</v>
      </c>
      <c r="B4277" s="125" t="s">
        <v>577</v>
      </c>
      <c r="C4277" s="125" t="s">
        <v>453</v>
      </c>
      <c r="D4277" s="125" t="s">
        <v>457</v>
      </c>
      <c r="E4277" s="125" t="s">
        <v>472</v>
      </c>
      <c r="F4277" s="126">
        <v>42881.0</v>
      </c>
      <c r="G4277" s="127">
        <v>4.82E8</v>
      </c>
      <c r="H4277" s="126">
        <v>42883.0</v>
      </c>
      <c r="I4277" s="128">
        <v>7558.0</v>
      </c>
      <c r="J4277" s="128">
        <v>255.28</v>
      </c>
      <c r="K4277" s="128">
        <v>159.42</v>
      </c>
      <c r="L4277" s="128">
        <v>1929406.0</v>
      </c>
      <c r="M4277" s="128">
        <v>1204896.0</v>
      </c>
      <c r="N4277" s="128">
        <v>724509.9</v>
      </c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</row>
    <row r="4278">
      <c r="A4278" s="125" t="s">
        <v>451</v>
      </c>
      <c r="B4278" s="125" t="s">
        <v>499</v>
      </c>
      <c r="C4278" s="125" t="s">
        <v>485</v>
      </c>
      <c r="D4278" s="125" t="s">
        <v>454</v>
      </c>
      <c r="E4278" s="125" t="s">
        <v>189</v>
      </c>
      <c r="F4278" s="126">
        <v>40437.0</v>
      </c>
      <c r="G4278" s="127">
        <v>5.42E8</v>
      </c>
      <c r="H4278" s="126">
        <v>40441.0</v>
      </c>
      <c r="I4278" s="128">
        <v>3545.0</v>
      </c>
      <c r="J4278" s="128">
        <v>421.89</v>
      </c>
      <c r="K4278" s="128">
        <v>364.69</v>
      </c>
      <c r="L4278" s="128">
        <v>1495600.0</v>
      </c>
      <c r="M4278" s="128">
        <v>1292826.0</v>
      </c>
      <c r="N4278" s="128">
        <v>202774.0</v>
      </c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</row>
    <row r="4279">
      <c r="A4279" s="125" t="s">
        <v>461</v>
      </c>
      <c r="B4279" s="125" t="s">
        <v>510</v>
      </c>
      <c r="C4279" s="125" t="s">
        <v>463</v>
      </c>
      <c r="D4279" s="125" t="s">
        <v>454</v>
      </c>
      <c r="E4279" s="125" t="s">
        <v>464</v>
      </c>
      <c r="F4279" s="126">
        <v>41891.0</v>
      </c>
      <c r="G4279" s="127">
        <v>6.37E8</v>
      </c>
      <c r="H4279" s="126">
        <v>41902.0</v>
      </c>
      <c r="I4279" s="128">
        <v>769.0</v>
      </c>
      <c r="J4279" s="128">
        <v>205.7</v>
      </c>
      <c r="K4279" s="128">
        <v>117.11</v>
      </c>
      <c r="L4279" s="128">
        <v>158183.3</v>
      </c>
      <c r="M4279" s="128">
        <v>90057.59</v>
      </c>
      <c r="N4279" s="128">
        <v>68125.71</v>
      </c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</row>
    <row r="4280">
      <c r="A4280" s="125" t="s">
        <v>469</v>
      </c>
      <c r="B4280" s="125" t="s">
        <v>530</v>
      </c>
      <c r="C4280" s="125" t="s">
        <v>468</v>
      </c>
      <c r="D4280" s="125" t="s">
        <v>457</v>
      </c>
      <c r="E4280" s="125" t="s">
        <v>472</v>
      </c>
      <c r="F4280" s="126">
        <v>41556.0</v>
      </c>
      <c r="G4280" s="127">
        <v>4.67E8</v>
      </c>
      <c r="H4280" s="126">
        <v>41604.0</v>
      </c>
      <c r="I4280" s="128">
        <v>9390.0</v>
      </c>
      <c r="J4280" s="128">
        <v>81.73</v>
      </c>
      <c r="K4280" s="128">
        <v>56.67</v>
      </c>
      <c r="L4280" s="128">
        <v>767444.7</v>
      </c>
      <c r="M4280" s="128">
        <v>532131.3</v>
      </c>
      <c r="N4280" s="128">
        <v>235313.4</v>
      </c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</row>
    <row r="4281">
      <c r="A4281" s="125" t="s">
        <v>475</v>
      </c>
      <c r="B4281" s="125" t="s">
        <v>570</v>
      </c>
      <c r="C4281" s="125" t="s">
        <v>456</v>
      </c>
      <c r="D4281" s="125" t="s">
        <v>457</v>
      </c>
      <c r="E4281" s="125" t="s">
        <v>464</v>
      </c>
      <c r="F4281" s="126">
        <v>41048.0</v>
      </c>
      <c r="G4281" s="127">
        <v>7.05E8</v>
      </c>
      <c r="H4281" s="126">
        <v>41074.0</v>
      </c>
      <c r="I4281" s="128">
        <v>6601.0</v>
      </c>
      <c r="J4281" s="128">
        <v>152.58</v>
      </c>
      <c r="K4281" s="128">
        <v>97.44</v>
      </c>
      <c r="L4281" s="128">
        <v>1007181.0</v>
      </c>
      <c r="M4281" s="128">
        <v>643201.4</v>
      </c>
      <c r="N4281" s="128">
        <v>363979.1</v>
      </c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</row>
    <row r="4282">
      <c r="A4282" s="125" t="s">
        <v>475</v>
      </c>
      <c r="B4282" s="125" t="s">
        <v>528</v>
      </c>
      <c r="C4282" s="125" t="s">
        <v>494</v>
      </c>
      <c r="D4282" s="125" t="s">
        <v>454</v>
      </c>
      <c r="E4282" s="125" t="s">
        <v>472</v>
      </c>
      <c r="F4282" s="126">
        <v>42373.0</v>
      </c>
      <c r="G4282" s="127">
        <v>7.43E8</v>
      </c>
      <c r="H4282" s="126">
        <v>42396.0</v>
      </c>
      <c r="I4282" s="128">
        <v>1625.0</v>
      </c>
      <c r="J4282" s="128">
        <v>9.33</v>
      </c>
      <c r="K4282" s="128">
        <v>6.92</v>
      </c>
      <c r="L4282" s="128">
        <v>15161.25</v>
      </c>
      <c r="M4282" s="128">
        <v>11245.0</v>
      </c>
      <c r="N4282" s="128">
        <v>3916.25</v>
      </c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</row>
    <row r="4283">
      <c r="A4283" s="125" t="s">
        <v>469</v>
      </c>
      <c r="B4283" s="125" t="s">
        <v>632</v>
      </c>
      <c r="C4283" s="125" t="s">
        <v>514</v>
      </c>
      <c r="D4283" s="125" t="s">
        <v>457</v>
      </c>
      <c r="E4283" s="125" t="s">
        <v>464</v>
      </c>
      <c r="F4283" s="126">
        <v>41010.0</v>
      </c>
      <c r="G4283" s="127">
        <v>9.44E8</v>
      </c>
      <c r="H4283" s="126">
        <v>41012.0</v>
      </c>
      <c r="I4283" s="128">
        <v>718.0</v>
      </c>
      <c r="J4283" s="128">
        <v>668.27</v>
      </c>
      <c r="K4283" s="128">
        <v>502.54</v>
      </c>
      <c r="L4283" s="128">
        <v>479817.9</v>
      </c>
      <c r="M4283" s="128">
        <v>360823.7</v>
      </c>
      <c r="N4283" s="128">
        <v>118994.1</v>
      </c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</row>
    <row r="4284">
      <c r="A4284" s="125" t="s">
        <v>451</v>
      </c>
      <c r="B4284" s="125" t="s">
        <v>499</v>
      </c>
      <c r="C4284" s="125" t="s">
        <v>506</v>
      </c>
      <c r="D4284" s="125" t="s">
        <v>454</v>
      </c>
      <c r="E4284" s="125" t="s">
        <v>464</v>
      </c>
      <c r="F4284" s="126">
        <v>41126.0</v>
      </c>
      <c r="G4284" s="127">
        <v>3.9E8</v>
      </c>
      <c r="H4284" s="126">
        <v>41170.0</v>
      </c>
      <c r="I4284" s="128">
        <v>2164.0</v>
      </c>
      <c r="J4284" s="128">
        <v>154.06</v>
      </c>
      <c r="K4284" s="128">
        <v>90.93</v>
      </c>
      <c r="L4284" s="128">
        <v>333385.8</v>
      </c>
      <c r="M4284" s="128">
        <v>196772.5</v>
      </c>
      <c r="N4284" s="128">
        <v>136613.3</v>
      </c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</row>
    <row r="4285">
      <c r="A4285" s="125" t="s">
        <v>475</v>
      </c>
      <c r="B4285" s="125" t="s">
        <v>623</v>
      </c>
      <c r="C4285" s="125" t="s">
        <v>456</v>
      </c>
      <c r="D4285" s="125" t="s">
        <v>454</v>
      </c>
      <c r="E4285" s="125" t="s">
        <v>189</v>
      </c>
      <c r="F4285" s="126">
        <v>40361.0</v>
      </c>
      <c r="G4285" s="127">
        <v>9.34E8</v>
      </c>
      <c r="H4285" s="126">
        <v>40372.0</v>
      </c>
      <c r="I4285" s="128">
        <v>1282.0</v>
      </c>
      <c r="J4285" s="128">
        <v>152.58</v>
      </c>
      <c r="K4285" s="128">
        <v>97.44</v>
      </c>
      <c r="L4285" s="128">
        <v>195607.6</v>
      </c>
      <c r="M4285" s="128">
        <v>124918.1</v>
      </c>
      <c r="N4285" s="128">
        <v>70689.48</v>
      </c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</row>
    <row r="4286">
      <c r="A4286" s="125" t="s">
        <v>475</v>
      </c>
      <c r="B4286" s="125" t="s">
        <v>601</v>
      </c>
      <c r="C4286" s="125" t="s">
        <v>485</v>
      </c>
      <c r="D4286" s="125" t="s">
        <v>454</v>
      </c>
      <c r="E4286" s="125" t="s">
        <v>464</v>
      </c>
      <c r="F4286" s="126">
        <v>42277.0</v>
      </c>
      <c r="G4286" s="127">
        <v>4.51E8</v>
      </c>
      <c r="H4286" s="126">
        <v>42313.0</v>
      </c>
      <c r="I4286" s="128">
        <v>5421.0</v>
      </c>
      <c r="J4286" s="128">
        <v>421.89</v>
      </c>
      <c r="K4286" s="128">
        <v>364.69</v>
      </c>
      <c r="L4286" s="128">
        <v>2287066.0</v>
      </c>
      <c r="M4286" s="128">
        <v>1976984.0</v>
      </c>
      <c r="N4286" s="128">
        <v>310081.2</v>
      </c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</row>
    <row r="4287">
      <c r="A4287" s="125" t="s">
        <v>458</v>
      </c>
      <c r="B4287" s="125" t="s">
        <v>653</v>
      </c>
      <c r="C4287" s="125" t="s">
        <v>485</v>
      </c>
      <c r="D4287" s="125" t="s">
        <v>454</v>
      </c>
      <c r="E4287" s="125" t="s">
        <v>472</v>
      </c>
      <c r="F4287" s="126">
        <v>41144.0</v>
      </c>
      <c r="G4287" s="127">
        <v>4.83E8</v>
      </c>
      <c r="H4287" s="126">
        <v>41178.0</v>
      </c>
      <c r="I4287" s="128">
        <v>8959.0</v>
      </c>
      <c r="J4287" s="128">
        <v>421.89</v>
      </c>
      <c r="K4287" s="128">
        <v>364.69</v>
      </c>
      <c r="L4287" s="128">
        <v>3779713.0</v>
      </c>
      <c r="M4287" s="128">
        <v>3267258.0</v>
      </c>
      <c r="N4287" s="128">
        <v>512454.8</v>
      </c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</row>
    <row r="4288">
      <c r="A4288" s="125" t="s">
        <v>469</v>
      </c>
      <c r="B4288" s="125" t="s">
        <v>501</v>
      </c>
      <c r="C4288" s="125" t="s">
        <v>463</v>
      </c>
      <c r="D4288" s="125" t="s">
        <v>454</v>
      </c>
      <c r="E4288" s="125" t="s">
        <v>189</v>
      </c>
      <c r="F4288" s="126">
        <v>42684.0</v>
      </c>
      <c r="G4288" s="127">
        <v>3.96E8</v>
      </c>
      <c r="H4288" s="126">
        <v>42722.0</v>
      </c>
      <c r="I4288" s="128">
        <v>8309.0</v>
      </c>
      <c r="J4288" s="128">
        <v>205.7</v>
      </c>
      <c r="K4288" s="128">
        <v>117.11</v>
      </c>
      <c r="L4288" s="128">
        <v>1709161.0</v>
      </c>
      <c r="M4288" s="128">
        <v>973067.0</v>
      </c>
      <c r="N4288" s="128">
        <v>736094.3</v>
      </c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</row>
    <row r="4289">
      <c r="A4289" s="125" t="s">
        <v>466</v>
      </c>
      <c r="B4289" s="125" t="s">
        <v>524</v>
      </c>
      <c r="C4289" s="125" t="s">
        <v>506</v>
      </c>
      <c r="D4289" s="125" t="s">
        <v>457</v>
      </c>
      <c r="E4289" s="125" t="s">
        <v>189</v>
      </c>
      <c r="F4289" s="126">
        <v>40561.0</v>
      </c>
      <c r="G4289" s="127">
        <v>5.23E8</v>
      </c>
      <c r="H4289" s="126">
        <v>40577.0</v>
      </c>
      <c r="I4289" s="128">
        <v>6913.0</v>
      </c>
      <c r="J4289" s="128">
        <v>154.06</v>
      </c>
      <c r="K4289" s="128">
        <v>90.93</v>
      </c>
      <c r="L4289" s="128">
        <v>1065017.0</v>
      </c>
      <c r="M4289" s="128">
        <v>628599.1</v>
      </c>
      <c r="N4289" s="128">
        <v>436417.7</v>
      </c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</row>
    <row r="4290">
      <c r="A4290" s="125" t="s">
        <v>458</v>
      </c>
      <c r="B4290" s="125" t="s">
        <v>509</v>
      </c>
      <c r="C4290" s="125" t="s">
        <v>506</v>
      </c>
      <c r="D4290" s="125" t="s">
        <v>454</v>
      </c>
      <c r="E4290" s="125" t="s">
        <v>464</v>
      </c>
      <c r="F4290" s="126">
        <v>42658.0</v>
      </c>
      <c r="G4290" s="127">
        <v>8.19E8</v>
      </c>
      <c r="H4290" s="126">
        <v>42658.0</v>
      </c>
      <c r="I4290" s="128">
        <v>244.0</v>
      </c>
      <c r="J4290" s="128">
        <v>154.06</v>
      </c>
      <c r="K4290" s="128">
        <v>90.93</v>
      </c>
      <c r="L4290" s="128">
        <v>37590.64</v>
      </c>
      <c r="M4290" s="128">
        <v>22186.92</v>
      </c>
      <c r="N4290" s="128">
        <v>15403.72</v>
      </c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</row>
    <row r="4291">
      <c r="A4291" s="125" t="s">
        <v>475</v>
      </c>
      <c r="B4291" s="125" t="s">
        <v>588</v>
      </c>
      <c r="C4291" s="125" t="s">
        <v>453</v>
      </c>
      <c r="D4291" s="125" t="s">
        <v>457</v>
      </c>
      <c r="E4291" s="125" t="s">
        <v>284</v>
      </c>
      <c r="F4291" s="126">
        <v>42036.0</v>
      </c>
      <c r="G4291" s="127">
        <v>4.09E8</v>
      </c>
      <c r="H4291" s="126">
        <v>42049.0</v>
      </c>
      <c r="I4291" s="128">
        <v>807.0</v>
      </c>
      <c r="J4291" s="128">
        <v>255.28</v>
      </c>
      <c r="K4291" s="128">
        <v>159.42</v>
      </c>
      <c r="L4291" s="128">
        <v>206011.0</v>
      </c>
      <c r="M4291" s="128">
        <v>128651.9</v>
      </c>
      <c r="N4291" s="128">
        <v>77359.02</v>
      </c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</row>
    <row r="4292">
      <c r="A4292" s="125" t="s">
        <v>451</v>
      </c>
      <c r="B4292" s="125" t="s">
        <v>452</v>
      </c>
      <c r="C4292" s="125" t="s">
        <v>463</v>
      </c>
      <c r="D4292" s="125" t="s">
        <v>454</v>
      </c>
      <c r="E4292" s="125" t="s">
        <v>189</v>
      </c>
      <c r="F4292" s="126">
        <v>40440.0</v>
      </c>
      <c r="G4292" s="127">
        <v>7.39E8</v>
      </c>
      <c r="H4292" s="126">
        <v>40479.0</v>
      </c>
      <c r="I4292" s="128">
        <v>3139.0</v>
      </c>
      <c r="J4292" s="128">
        <v>205.7</v>
      </c>
      <c r="K4292" s="128">
        <v>117.11</v>
      </c>
      <c r="L4292" s="128">
        <v>645692.3</v>
      </c>
      <c r="M4292" s="128">
        <v>367608.3</v>
      </c>
      <c r="N4292" s="128">
        <v>278084.0</v>
      </c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</row>
    <row r="4293">
      <c r="A4293" s="125" t="s">
        <v>466</v>
      </c>
      <c r="B4293" s="125" t="s">
        <v>484</v>
      </c>
      <c r="C4293" s="125" t="s">
        <v>468</v>
      </c>
      <c r="D4293" s="125" t="s">
        <v>457</v>
      </c>
      <c r="E4293" s="125" t="s">
        <v>464</v>
      </c>
      <c r="F4293" s="126">
        <v>41388.0</v>
      </c>
      <c r="G4293" s="127">
        <v>6.24E8</v>
      </c>
      <c r="H4293" s="126">
        <v>41436.0</v>
      </c>
      <c r="I4293" s="128">
        <v>8806.0</v>
      </c>
      <c r="J4293" s="128">
        <v>81.73</v>
      </c>
      <c r="K4293" s="128">
        <v>56.67</v>
      </c>
      <c r="L4293" s="128">
        <v>719714.4</v>
      </c>
      <c r="M4293" s="128">
        <v>499036.0</v>
      </c>
      <c r="N4293" s="128">
        <v>220678.4</v>
      </c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</row>
    <row r="4294">
      <c r="A4294" s="125" t="s">
        <v>475</v>
      </c>
      <c r="B4294" s="125" t="s">
        <v>657</v>
      </c>
      <c r="C4294" s="125" t="s">
        <v>453</v>
      </c>
      <c r="D4294" s="125" t="s">
        <v>457</v>
      </c>
      <c r="E4294" s="125" t="s">
        <v>464</v>
      </c>
      <c r="F4294" s="126">
        <v>40490.0</v>
      </c>
      <c r="G4294" s="127">
        <v>3.01E8</v>
      </c>
      <c r="H4294" s="126">
        <v>40516.0</v>
      </c>
      <c r="I4294" s="128">
        <v>1407.0</v>
      </c>
      <c r="J4294" s="128">
        <v>255.28</v>
      </c>
      <c r="K4294" s="128">
        <v>159.42</v>
      </c>
      <c r="L4294" s="128">
        <v>359179.0</v>
      </c>
      <c r="M4294" s="128">
        <v>224303.9</v>
      </c>
      <c r="N4294" s="128">
        <v>134875.0</v>
      </c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</row>
    <row r="4295">
      <c r="A4295" s="125" t="s">
        <v>458</v>
      </c>
      <c r="B4295" s="125" t="s">
        <v>551</v>
      </c>
      <c r="C4295" s="125" t="s">
        <v>494</v>
      </c>
      <c r="D4295" s="125" t="s">
        <v>457</v>
      </c>
      <c r="E4295" s="125" t="s">
        <v>472</v>
      </c>
      <c r="F4295" s="126">
        <v>40659.0</v>
      </c>
      <c r="G4295" s="127">
        <v>9.74E8</v>
      </c>
      <c r="H4295" s="126">
        <v>40709.0</v>
      </c>
      <c r="I4295" s="128">
        <v>1573.0</v>
      </c>
      <c r="J4295" s="128">
        <v>9.33</v>
      </c>
      <c r="K4295" s="128">
        <v>6.92</v>
      </c>
      <c r="L4295" s="128">
        <v>14676.09</v>
      </c>
      <c r="M4295" s="128">
        <v>10885.16</v>
      </c>
      <c r="N4295" s="128">
        <v>3790.93</v>
      </c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</row>
    <row r="4296">
      <c r="A4296" s="125" t="s">
        <v>475</v>
      </c>
      <c r="B4296" s="125" t="s">
        <v>558</v>
      </c>
      <c r="C4296" s="125" t="s">
        <v>468</v>
      </c>
      <c r="D4296" s="125" t="s">
        <v>454</v>
      </c>
      <c r="E4296" s="125" t="s">
        <v>464</v>
      </c>
      <c r="F4296" s="126">
        <v>42432.0</v>
      </c>
      <c r="G4296" s="127">
        <v>7.72E8</v>
      </c>
      <c r="H4296" s="126">
        <v>42435.0</v>
      </c>
      <c r="I4296" s="128">
        <v>1964.0</v>
      </c>
      <c r="J4296" s="128">
        <v>81.73</v>
      </c>
      <c r="K4296" s="128">
        <v>56.67</v>
      </c>
      <c r="L4296" s="128">
        <v>160517.7</v>
      </c>
      <c r="M4296" s="128">
        <v>111299.9</v>
      </c>
      <c r="N4296" s="128">
        <v>49217.84</v>
      </c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</row>
    <row r="4297">
      <c r="A4297" s="125" t="s">
        <v>466</v>
      </c>
      <c r="B4297" s="125" t="s">
        <v>524</v>
      </c>
      <c r="C4297" s="125" t="s">
        <v>514</v>
      </c>
      <c r="D4297" s="125" t="s">
        <v>454</v>
      </c>
      <c r="E4297" s="125" t="s">
        <v>189</v>
      </c>
      <c r="F4297" s="126">
        <v>42583.0</v>
      </c>
      <c r="G4297" s="127">
        <v>5.91E8</v>
      </c>
      <c r="H4297" s="126">
        <v>42597.0</v>
      </c>
      <c r="I4297" s="128">
        <v>2273.0</v>
      </c>
      <c r="J4297" s="128">
        <v>668.27</v>
      </c>
      <c r="K4297" s="128">
        <v>502.54</v>
      </c>
      <c r="L4297" s="128">
        <v>1518978.0</v>
      </c>
      <c r="M4297" s="128">
        <v>1142273.0</v>
      </c>
      <c r="N4297" s="128">
        <v>376704.3</v>
      </c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</row>
    <row r="4298">
      <c r="A4298" s="125" t="s">
        <v>451</v>
      </c>
      <c r="B4298" s="125" t="s">
        <v>593</v>
      </c>
      <c r="C4298" s="125" t="s">
        <v>456</v>
      </c>
      <c r="D4298" s="125" t="s">
        <v>454</v>
      </c>
      <c r="E4298" s="125" t="s">
        <v>472</v>
      </c>
      <c r="F4298" s="126">
        <v>41045.0</v>
      </c>
      <c r="G4298" s="127">
        <v>9.49E8</v>
      </c>
      <c r="H4298" s="126">
        <v>41065.0</v>
      </c>
      <c r="I4298" s="128">
        <v>4224.0</v>
      </c>
      <c r="J4298" s="128">
        <v>152.58</v>
      </c>
      <c r="K4298" s="128">
        <v>97.44</v>
      </c>
      <c r="L4298" s="128">
        <v>644497.9</v>
      </c>
      <c r="M4298" s="128">
        <v>411586.6</v>
      </c>
      <c r="N4298" s="128">
        <v>232911.4</v>
      </c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</row>
    <row r="4299">
      <c r="A4299" s="125" t="s">
        <v>475</v>
      </c>
      <c r="B4299" s="125" t="s">
        <v>548</v>
      </c>
      <c r="C4299" s="125" t="s">
        <v>485</v>
      </c>
      <c r="D4299" s="125" t="s">
        <v>454</v>
      </c>
      <c r="E4299" s="125" t="s">
        <v>464</v>
      </c>
      <c r="F4299" s="126">
        <v>42287.0</v>
      </c>
      <c r="G4299" s="127">
        <v>6.32E8</v>
      </c>
      <c r="H4299" s="126">
        <v>42336.0</v>
      </c>
      <c r="I4299" s="128">
        <v>6570.0</v>
      </c>
      <c r="J4299" s="128">
        <v>421.89</v>
      </c>
      <c r="K4299" s="128">
        <v>364.69</v>
      </c>
      <c r="L4299" s="128">
        <v>2771817.0</v>
      </c>
      <c r="M4299" s="128">
        <v>2396013.0</v>
      </c>
      <c r="N4299" s="128">
        <v>375804.0</v>
      </c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</row>
    <row r="4300">
      <c r="A4300" s="125" t="s">
        <v>475</v>
      </c>
      <c r="B4300" s="125" t="s">
        <v>575</v>
      </c>
      <c r="C4300" s="125" t="s">
        <v>471</v>
      </c>
      <c r="D4300" s="125" t="s">
        <v>454</v>
      </c>
      <c r="E4300" s="125" t="s">
        <v>284</v>
      </c>
      <c r="F4300" s="126">
        <v>42868.0</v>
      </c>
      <c r="G4300" s="127">
        <v>7.49E8</v>
      </c>
      <c r="H4300" s="126">
        <v>42908.0</v>
      </c>
      <c r="I4300" s="128">
        <v>99.0</v>
      </c>
      <c r="J4300" s="128">
        <v>109.28</v>
      </c>
      <c r="K4300" s="128">
        <v>35.84</v>
      </c>
      <c r="L4300" s="128">
        <v>10818.72</v>
      </c>
      <c r="M4300" s="128">
        <v>3548.16</v>
      </c>
      <c r="N4300" s="128">
        <v>7270.56</v>
      </c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</row>
    <row r="4301">
      <c r="A4301" s="125" t="s">
        <v>475</v>
      </c>
      <c r="B4301" s="125" t="s">
        <v>601</v>
      </c>
      <c r="C4301" s="125" t="s">
        <v>460</v>
      </c>
      <c r="D4301" s="125" t="s">
        <v>454</v>
      </c>
      <c r="E4301" s="125" t="s">
        <v>189</v>
      </c>
      <c r="F4301" s="126">
        <v>41121.0</v>
      </c>
      <c r="G4301" s="127">
        <v>6.77E8</v>
      </c>
      <c r="H4301" s="126">
        <v>41144.0</v>
      </c>
      <c r="I4301" s="128">
        <v>2628.0</v>
      </c>
      <c r="J4301" s="128">
        <v>47.45</v>
      </c>
      <c r="K4301" s="128">
        <v>31.79</v>
      </c>
      <c r="L4301" s="128">
        <v>124698.6</v>
      </c>
      <c r="M4301" s="128">
        <v>83544.12</v>
      </c>
      <c r="N4301" s="128">
        <v>41154.48</v>
      </c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</row>
    <row r="4302">
      <c r="A4302" s="125" t="s">
        <v>475</v>
      </c>
      <c r="B4302" s="125" t="s">
        <v>561</v>
      </c>
      <c r="C4302" s="125" t="s">
        <v>460</v>
      </c>
      <c r="D4302" s="125" t="s">
        <v>457</v>
      </c>
      <c r="E4302" s="125" t="s">
        <v>189</v>
      </c>
      <c r="F4302" s="126">
        <v>41299.0</v>
      </c>
      <c r="G4302" s="127">
        <v>3.16E8</v>
      </c>
      <c r="H4302" s="126">
        <v>41339.0</v>
      </c>
      <c r="I4302" s="128">
        <v>4005.0</v>
      </c>
      <c r="J4302" s="128">
        <v>47.45</v>
      </c>
      <c r="K4302" s="128">
        <v>31.79</v>
      </c>
      <c r="L4302" s="128">
        <v>190037.3</v>
      </c>
      <c r="M4302" s="128">
        <v>127319.0</v>
      </c>
      <c r="N4302" s="128">
        <v>62718.3</v>
      </c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</row>
    <row r="4303">
      <c r="A4303" s="125" t="s">
        <v>458</v>
      </c>
      <c r="B4303" s="125" t="s">
        <v>533</v>
      </c>
      <c r="C4303" s="125" t="s">
        <v>460</v>
      </c>
      <c r="D4303" s="125" t="s">
        <v>457</v>
      </c>
      <c r="E4303" s="125" t="s">
        <v>464</v>
      </c>
      <c r="F4303" s="126">
        <v>41128.0</v>
      </c>
      <c r="G4303" s="127">
        <v>5.35E8</v>
      </c>
      <c r="H4303" s="126">
        <v>41148.0</v>
      </c>
      <c r="I4303" s="128">
        <v>1111.0</v>
      </c>
      <c r="J4303" s="128">
        <v>47.45</v>
      </c>
      <c r="K4303" s="128">
        <v>31.79</v>
      </c>
      <c r="L4303" s="128">
        <v>52716.95</v>
      </c>
      <c r="M4303" s="128">
        <v>35318.69</v>
      </c>
      <c r="N4303" s="128">
        <v>17398.26</v>
      </c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</row>
    <row r="4304">
      <c r="A4304" s="125" t="s">
        <v>458</v>
      </c>
      <c r="B4304" s="125" t="s">
        <v>517</v>
      </c>
      <c r="C4304" s="125" t="s">
        <v>456</v>
      </c>
      <c r="D4304" s="125" t="s">
        <v>454</v>
      </c>
      <c r="E4304" s="125" t="s">
        <v>464</v>
      </c>
      <c r="F4304" s="126">
        <v>41491.0</v>
      </c>
      <c r="G4304" s="127">
        <v>9.21E8</v>
      </c>
      <c r="H4304" s="126">
        <v>41497.0</v>
      </c>
      <c r="I4304" s="128">
        <v>2856.0</v>
      </c>
      <c r="J4304" s="128">
        <v>152.58</v>
      </c>
      <c r="K4304" s="128">
        <v>97.44</v>
      </c>
      <c r="L4304" s="128">
        <v>435768.5</v>
      </c>
      <c r="M4304" s="128">
        <v>278288.6</v>
      </c>
      <c r="N4304" s="128">
        <v>157479.8</v>
      </c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</row>
    <row r="4305">
      <c r="A4305" s="125" t="s">
        <v>461</v>
      </c>
      <c r="B4305" s="125" t="s">
        <v>511</v>
      </c>
      <c r="C4305" s="125" t="s">
        <v>478</v>
      </c>
      <c r="D4305" s="125" t="s">
        <v>457</v>
      </c>
      <c r="E4305" s="125" t="s">
        <v>472</v>
      </c>
      <c r="F4305" s="126">
        <v>42275.0</v>
      </c>
      <c r="G4305" s="127">
        <v>2.35E8</v>
      </c>
      <c r="H4305" s="126">
        <v>42308.0</v>
      </c>
      <c r="I4305" s="128">
        <v>5183.0</v>
      </c>
      <c r="J4305" s="128">
        <v>651.21</v>
      </c>
      <c r="K4305" s="128">
        <v>524.96</v>
      </c>
      <c r="L4305" s="128">
        <v>3375221.0</v>
      </c>
      <c r="M4305" s="128">
        <v>2720868.0</v>
      </c>
      <c r="N4305" s="128">
        <v>654353.8</v>
      </c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</row>
    <row r="4306">
      <c r="A4306" s="125" t="s">
        <v>458</v>
      </c>
      <c r="B4306" s="125" t="s">
        <v>518</v>
      </c>
      <c r="C4306" s="125" t="s">
        <v>485</v>
      </c>
      <c r="D4306" s="125" t="s">
        <v>457</v>
      </c>
      <c r="E4306" s="125" t="s">
        <v>464</v>
      </c>
      <c r="F4306" s="126">
        <v>40991.0</v>
      </c>
      <c r="G4306" s="127">
        <v>4.57E8</v>
      </c>
      <c r="H4306" s="126">
        <v>41034.0</v>
      </c>
      <c r="I4306" s="128">
        <v>6065.0</v>
      </c>
      <c r="J4306" s="128">
        <v>421.89</v>
      </c>
      <c r="K4306" s="128">
        <v>364.69</v>
      </c>
      <c r="L4306" s="128">
        <v>2558763.0</v>
      </c>
      <c r="M4306" s="128">
        <v>2211845.0</v>
      </c>
      <c r="N4306" s="128">
        <v>346918.0</v>
      </c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</row>
    <row r="4307">
      <c r="A4307" s="125" t="s">
        <v>451</v>
      </c>
      <c r="B4307" s="125" t="s">
        <v>483</v>
      </c>
      <c r="C4307" s="125" t="s">
        <v>460</v>
      </c>
      <c r="D4307" s="125" t="s">
        <v>457</v>
      </c>
      <c r="E4307" s="125" t="s">
        <v>472</v>
      </c>
      <c r="F4307" s="126">
        <v>42454.0</v>
      </c>
      <c r="G4307" s="127">
        <v>9.36E8</v>
      </c>
      <c r="H4307" s="126">
        <v>42474.0</v>
      </c>
      <c r="I4307" s="128">
        <v>507.0</v>
      </c>
      <c r="J4307" s="128">
        <v>47.45</v>
      </c>
      <c r="K4307" s="128">
        <v>31.79</v>
      </c>
      <c r="L4307" s="128">
        <v>24057.15</v>
      </c>
      <c r="M4307" s="128">
        <v>16117.53</v>
      </c>
      <c r="N4307" s="128">
        <v>7939.62</v>
      </c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</row>
    <row r="4308">
      <c r="A4308" s="125" t="s">
        <v>451</v>
      </c>
      <c r="B4308" s="125" t="s">
        <v>620</v>
      </c>
      <c r="C4308" s="125" t="s">
        <v>453</v>
      </c>
      <c r="D4308" s="125" t="s">
        <v>457</v>
      </c>
      <c r="E4308" s="125" t="s">
        <v>284</v>
      </c>
      <c r="F4308" s="126">
        <v>40805.0</v>
      </c>
      <c r="G4308" s="127">
        <v>6.43E8</v>
      </c>
      <c r="H4308" s="126">
        <v>40816.0</v>
      </c>
      <c r="I4308" s="128">
        <v>5546.0</v>
      </c>
      <c r="J4308" s="128">
        <v>255.28</v>
      </c>
      <c r="K4308" s="128">
        <v>159.42</v>
      </c>
      <c r="L4308" s="128">
        <v>1415783.0</v>
      </c>
      <c r="M4308" s="128">
        <v>884143.3</v>
      </c>
      <c r="N4308" s="128">
        <v>531639.6</v>
      </c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</row>
    <row r="4309">
      <c r="A4309" s="125" t="s">
        <v>475</v>
      </c>
      <c r="B4309" s="125" t="s">
        <v>657</v>
      </c>
      <c r="C4309" s="125" t="s">
        <v>468</v>
      </c>
      <c r="D4309" s="125" t="s">
        <v>457</v>
      </c>
      <c r="E4309" s="125" t="s">
        <v>472</v>
      </c>
      <c r="F4309" s="126">
        <v>40252.0</v>
      </c>
      <c r="G4309" s="127">
        <v>4.18E8</v>
      </c>
      <c r="H4309" s="126">
        <v>40252.0</v>
      </c>
      <c r="I4309" s="128">
        <v>5249.0</v>
      </c>
      <c r="J4309" s="128">
        <v>81.73</v>
      </c>
      <c r="K4309" s="128">
        <v>56.67</v>
      </c>
      <c r="L4309" s="128">
        <v>429000.8</v>
      </c>
      <c r="M4309" s="128">
        <v>297460.8</v>
      </c>
      <c r="N4309" s="128">
        <v>131539.9</v>
      </c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</row>
    <row r="4310">
      <c r="A4310" s="125" t="s">
        <v>466</v>
      </c>
      <c r="B4310" s="125" t="s">
        <v>568</v>
      </c>
      <c r="C4310" s="125" t="s">
        <v>460</v>
      </c>
      <c r="D4310" s="125" t="s">
        <v>457</v>
      </c>
      <c r="E4310" s="125" t="s">
        <v>464</v>
      </c>
      <c r="F4310" s="126">
        <v>42629.0</v>
      </c>
      <c r="G4310" s="127">
        <v>7.23E8</v>
      </c>
      <c r="H4310" s="126">
        <v>42667.0</v>
      </c>
      <c r="I4310" s="128">
        <v>5715.0</v>
      </c>
      <c r="J4310" s="128">
        <v>47.45</v>
      </c>
      <c r="K4310" s="128">
        <v>31.79</v>
      </c>
      <c r="L4310" s="128">
        <v>271176.8</v>
      </c>
      <c r="M4310" s="128">
        <v>181679.9</v>
      </c>
      <c r="N4310" s="128">
        <v>89496.9</v>
      </c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</row>
    <row r="4311">
      <c r="A4311" s="125" t="s">
        <v>475</v>
      </c>
      <c r="B4311" s="125" t="s">
        <v>570</v>
      </c>
      <c r="C4311" s="125" t="s">
        <v>485</v>
      </c>
      <c r="D4311" s="125" t="s">
        <v>454</v>
      </c>
      <c r="E4311" s="125" t="s">
        <v>284</v>
      </c>
      <c r="F4311" s="126">
        <v>40475.0</v>
      </c>
      <c r="G4311" s="127">
        <v>2.89E8</v>
      </c>
      <c r="H4311" s="126">
        <v>40482.0</v>
      </c>
      <c r="I4311" s="128">
        <v>72.0</v>
      </c>
      <c r="J4311" s="128">
        <v>421.89</v>
      </c>
      <c r="K4311" s="128">
        <v>364.69</v>
      </c>
      <c r="L4311" s="128">
        <v>30376.08</v>
      </c>
      <c r="M4311" s="128">
        <v>26257.68</v>
      </c>
      <c r="N4311" s="128">
        <v>4118.4</v>
      </c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</row>
    <row r="4312">
      <c r="A4312" s="125" t="s">
        <v>461</v>
      </c>
      <c r="B4312" s="125" t="s">
        <v>542</v>
      </c>
      <c r="C4312" s="125" t="s">
        <v>468</v>
      </c>
      <c r="D4312" s="125" t="s">
        <v>457</v>
      </c>
      <c r="E4312" s="125" t="s">
        <v>189</v>
      </c>
      <c r="F4312" s="126">
        <v>40552.0</v>
      </c>
      <c r="G4312" s="127">
        <v>1.67E8</v>
      </c>
      <c r="H4312" s="126">
        <v>40563.0</v>
      </c>
      <c r="I4312" s="128">
        <v>3484.0</v>
      </c>
      <c r="J4312" s="128">
        <v>81.73</v>
      </c>
      <c r="K4312" s="128">
        <v>56.67</v>
      </c>
      <c r="L4312" s="128">
        <v>284747.3</v>
      </c>
      <c r="M4312" s="128">
        <v>197438.3</v>
      </c>
      <c r="N4312" s="128">
        <v>87309.04</v>
      </c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</row>
    <row r="4313">
      <c r="A4313" s="125" t="s">
        <v>469</v>
      </c>
      <c r="B4313" s="125" t="s">
        <v>634</v>
      </c>
      <c r="C4313" s="125" t="s">
        <v>485</v>
      </c>
      <c r="D4313" s="125" t="s">
        <v>454</v>
      </c>
      <c r="E4313" s="125" t="s">
        <v>464</v>
      </c>
      <c r="F4313" s="126">
        <v>40326.0</v>
      </c>
      <c r="G4313" s="127">
        <v>5.8E8</v>
      </c>
      <c r="H4313" s="126">
        <v>40361.0</v>
      </c>
      <c r="I4313" s="128">
        <v>8141.0</v>
      </c>
      <c r="J4313" s="128">
        <v>421.89</v>
      </c>
      <c r="K4313" s="128">
        <v>364.69</v>
      </c>
      <c r="L4313" s="128">
        <v>3434606.0</v>
      </c>
      <c r="M4313" s="128">
        <v>2968941.0</v>
      </c>
      <c r="N4313" s="128">
        <v>465665.2</v>
      </c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</row>
    <row r="4314">
      <c r="A4314" s="125" t="s">
        <v>458</v>
      </c>
      <c r="B4314" s="125" t="s">
        <v>487</v>
      </c>
      <c r="C4314" s="125" t="s">
        <v>494</v>
      </c>
      <c r="D4314" s="125" t="s">
        <v>454</v>
      </c>
      <c r="E4314" s="125" t="s">
        <v>464</v>
      </c>
      <c r="F4314" s="126">
        <v>40421.0</v>
      </c>
      <c r="G4314" s="127">
        <v>4.69E8</v>
      </c>
      <c r="H4314" s="126">
        <v>40453.0</v>
      </c>
      <c r="I4314" s="128">
        <v>8267.0</v>
      </c>
      <c r="J4314" s="128">
        <v>9.33</v>
      </c>
      <c r="K4314" s="128">
        <v>6.92</v>
      </c>
      <c r="L4314" s="128">
        <v>77131.11</v>
      </c>
      <c r="M4314" s="128">
        <v>57207.64</v>
      </c>
      <c r="N4314" s="128">
        <v>19923.47</v>
      </c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</row>
    <row r="4315">
      <c r="A4315" s="125" t="s">
        <v>458</v>
      </c>
      <c r="B4315" s="125" t="s">
        <v>515</v>
      </c>
      <c r="C4315" s="125" t="s">
        <v>453</v>
      </c>
      <c r="D4315" s="125" t="s">
        <v>454</v>
      </c>
      <c r="E4315" s="125" t="s">
        <v>189</v>
      </c>
      <c r="F4315" s="126">
        <v>40464.0</v>
      </c>
      <c r="G4315" s="127">
        <v>6.47E8</v>
      </c>
      <c r="H4315" s="126">
        <v>40505.0</v>
      </c>
      <c r="I4315" s="128">
        <v>5118.0</v>
      </c>
      <c r="J4315" s="128">
        <v>255.28</v>
      </c>
      <c r="K4315" s="128">
        <v>159.42</v>
      </c>
      <c r="L4315" s="128">
        <v>1306523.0</v>
      </c>
      <c r="M4315" s="128">
        <v>815911.6</v>
      </c>
      <c r="N4315" s="128">
        <v>490611.5</v>
      </c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</row>
    <row r="4316">
      <c r="A4316" s="125" t="s">
        <v>466</v>
      </c>
      <c r="B4316" s="125" t="s">
        <v>535</v>
      </c>
      <c r="C4316" s="125" t="s">
        <v>514</v>
      </c>
      <c r="D4316" s="125" t="s">
        <v>454</v>
      </c>
      <c r="E4316" s="125" t="s">
        <v>472</v>
      </c>
      <c r="F4316" s="126">
        <v>40473.0</v>
      </c>
      <c r="G4316" s="127">
        <v>6.47E8</v>
      </c>
      <c r="H4316" s="126">
        <v>40487.0</v>
      </c>
      <c r="I4316" s="128">
        <v>1980.0</v>
      </c>
      <c r="J4316" s="128">
        <v>668.27</v>
      </c>
      <c r="K4316" s="128">
        <v>502.54</v>
      </c>
      <c r="L4316" s="128">
        <v>1323175.0</v>
      </c>
      <c r="M4316" s="128">
        <v>995029.2</v>
      </c>
      <c r="N4316" s="128">
        <v>328145.4</v>
      </c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</row>
    <row r="4317">
      <c r="A4317" s="125" t="s">
        <v>458</v>
      </c>
      <c r="B4317" s="125" t="s">
        <v>515</v>
      </c>
      <c r="C4317" s="125" t="s">
        <v>506</v>
      </c>
      <c r="D4317" s="125" t="s">
        <v>454</v>
      </c>
      <c r="E4317" s="125" t="s">
        <v>464</v>
      </c>
      <c r="F4317" s="126">
        <v>42238.0</v>
      </c>
      <c r="G4317" s="127">
        <v>9.72E8</v>
      </c>
      <c r="H4317" s="126">
        <v>42281.0</v>
      </c>
      <c r="I4317" s="128">
        <v>9169.0</v>
      </c>
      <c r="J4317" s="128">
        <v>154.06</v>
      </c>
      <c r="K4317" s="128">
        <v>90.93</v>
      </c>
      <c r="L4317" s="128">
        <v>1412576.0</v>
      </c>
      <c r="M4317" s="128">
        <v>833737.2</v>
      </c>
      <c r="N4317" s="128">
        <v>578839.0</v>
      </c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</row>
    <row r="4318">
      <c r="A4318" s="125" t="s">
        <v>466</v>
      </c>
      <c r="B4318" s="125" t="s">
        <v>508</v>
      </c>
      <c r="C4318" s="125" t="s">
        <v>514</v>
      </c>
      <c r="D4318" s="125" t="s">
        <v>457</v>
      </c>
      <c r="E4318" s="125" t="s">
        <v>189</v>
      </c>
      <c r="F4318" s="126">
        <v>42405.0</v>
      </c>
      <c r="G4318" s="127">
        <v>8.46E8</v>
      </c>
      <c r="H4318" s="126">
        <v>42438.0</v>
      </c>
      <c r="I4318" s="128">
        <v>9035.0</v>
      </c>
      <c r="J4318" s="128">
        <v>668.27</v>
      </c>
      <c r="K4318" s="128">
        <v>502.54</v>
      </c>
      <c r="L4318" s="128">
        <v>6037819.0</v>
      </c>
      <c r="M4318" s="128">
        <v>4540449.0</v>
      </c>
      <c r="N4318" s="128">
        <v>1497371.0</v>
      </c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</row>
    <row r="4319">
      <c r="A4319" s="125" t="s">
        <v>451</v>
      </c>
      <c r="B4319" s="125" t="s">
        <v>490</v>
      </c>
      <c r="C4319" s="125" t="s">
        <v>468</v>
      </c>
      <c r="D4319" s="125" t="s">
        <v>454</v>
      </c>
      <c r="E4319" s="125" t="s">
        <v>472</v>
      </c>
      <c r="F4319" s="126">
        <v>42159.0</v>
      </c>
      <c r="G4319" s="127">
        <v>4.63E8</v>
      </c>
      <c r="H4319" s="126">
        <v>42185.0</v>
      </c>
      <c r="I4319" s="128">
        <v>958.0</v>
      </c>
      <c r="J4319" s="128">
        <v>81.73</v>
      </c>
      <c r="K4319" s="128">
        <v>56.67</v>
      </c>
      <c r="L4319" s="128">
        <v>78297.34</v>
      </c>
      <c r="M4319" s="128">
        <v>54289.86</v>
      </c>
      <c r="N4319" s="128">
        <v>24007.48</v>
      </c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/>
    </row>
    <row r="4320">
      <c r="A4320" s="125" t="s">
        <v>458</v>
      </c>
      <c r="B4320" s="125" t="s">
        <v>486</v>
      </c>
      <c r="C4320" s="125" t="s">
        <v>468</v>
      </c>
      <c r="D4320" s="125" t="s">
        <v>457</v>
      </c>
      <c r="E4320" s="125" t="s">
        <v>189</v>
      </c>
      <c r="F4320" s="126">
        <v>40308.0</v>
      </c>
      <c r="G4320" s="127">
        <v>5.36E8</v>
      </c>
      <c r="H4320" s="126">
        <v>40336.0</v>
      </c>
      <c r="I4320" s="128">
        <v>6348.0</v>
      </c>
      <c r="J4320" s="128">
        <v>81.73</v>
      </c>
      <c r="K4320" s="128">
        <v>56.67</v>
      </c>
      <c r="L4320" s="128">
        <v>518822.0</v>
      </c>
      <c r="M4320" s="128">
        <v>359741.2</v>
      </c>
      <c r="N4320" s="128">
        <v>159080.9</v>
      </c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</row>
    <row r="4321">
      <c r="A4321" s="125" t="s">
        <v>466</v>
      </c>
      <c r="B4321" s="125" t="s">
        <v>491</v>
      </c>
      <c r="C4321" s="125" t="s">
        <v>485</v>
      </c>
      <c r="D4321" s="125" t="s">
        <v>454</v>
      </c>
      <c r="E4321" s="125" t="s">
        <v>472</v>
      </c>
      <c r="F4321" s="126">
        <v>40196.0</v>
      </c>
      <c r="G4321" s="127">
        <v>9.5E8</v>
      </c>
      <c r="H4321" s="126">
        <v>40229.0</v>
      </c>
      <c r="I4321" s="128">
        <v>3648.0</v>
      </c>
      <c r="J4321" s="128">
        <v>421.89</v>
      </c>
      <c r="K4321" s="128">
        <v>364.69</v>
      </c>
      <c r="L4321" s="128">
        <v>1539055.0</v>
      </c>
      <c r="M4321" s="128">
        <v>1330389.0</v>
      </c>
      <c r="N4321" s="128">
        <v>208665.6</v>
      </c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</row>
    <row r="4322">
      <c r="A4322" s="125" t="s">
        <v>458</v>
      </c>
      <c r="B4322" s="125" t="s">
        <v>643</v>
      </c>
      <c r="C4322" s="125" t="s">
        <v>468</v>
      </c>
      <c r="D4322" s="125" t="s">
        <v>457</v>
      </c>
      <c r="E4322" s="125" t="s">
        <v>472</v>
      </c>
      <c r="F4322" s="126">
        <v>42792.0</v>
      </c>
      <c r="G4322" s="127">
        <v>3.09E8</v>
      </c>
      <c r="H4322" s="126">
        <v>42842.0</v>
      </c>
      <c r="I4322" s="128">
        <v>3331.0</v>
      </c>
      <c r="J4322" s="128">
        <v>81.73</v>
      </c>
      <c r="K4322" s="128">
        <v>56.67</v>
      </c>
      <c r="L4322" s="128">
        <v>272242.6</v>
      </c>
      <c r="M4322" s="128">
        <v>188767.8</v>
      </c>
      <c r="N4322" s="128">
        <v>83474.86</v>
      </c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</row>
    <row r="4323">
      <c r="A4323" s="125" t="s">
        <v>466</v>
      </c>
      <c r="B4323" s="125" t="s">
        <v>598</v>
      </c>
      <c r="C4323" s="125" t="s">
        <v>485</v>
      </c>
      <c r="D4323" s="125" t="s">
        <v>454</v>
      </c>
      <c r="E4323" s="125" t="s">
        <v>284</v>
      </c>
      <c r="F4323" s="126">
        <v>42538.0</v>
      </c>
      <c r="G4323" s="127">
        <v>8.9E8</v>
      </c>
      <c r="H4323" s="126">
        <v>42560.0</v>
      </c>
      <c r="I4323" s="128">
        <v>2903.0</v>
      </c>
      <c r="J4323" s="128">
        <v>421.89</v>
      </c>
      <c r="K4323" s="128">
        <v>364.69</v>
      </c>
      <c r="L4323" s="128">
        <v>1224747.0</v>
      </c>
      <c r="M4323" s="128">
        <v>1058695.0</v>
      </c>
      <c r="N4323" s="128">
        <v>166051.6</v>
      </c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</row>
    <row r="4324">
      <c r="A4324" s="125" t="s">
        <v>475</v>
      </c>
      <c r="B4324" s="125" t="s">
        <v>536</v>
      </c>
      <c r="C4324" s="125" t="s">
        <v>485</v>
      </c>
      <c r="D4324" s="125" t="s">
        <v>457</v>
      </c>
      <c r="E4324" s="125" t="s">
        <v>472</v>
      </c>
      <c r="F4324" s="126">
        <v>42564.0</v>
      </c>
      <c r="G4324" s="127">
        <v>9.86E8</v>
      </c>
      <c r="H4324" s="126">
        <v>42574.0</v>
      </c>
      <c r="I4324" s="128">
        <v>1900.0</v>
      </c>
      <c r="J4324" s="128">
        <v>421.89</v>
      </c>
      <c r="K4324" s="128">
        <v>364.69</v>
      </c>
      <c r="L4324" s="128">
        <v>801591.0</v>
      </c>
      <c r="M4324" s="128">
        <v>692911.0</v>
      </c>
      <c r="N4324" s="128">
        <v>108680.0</v>
      </c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</row>
    <row r="4325">
      <c r="A4325" s="125" t="s">
        <v>469</v>
      </c>
      <c r="B4325" s="125" t="s">
        <v>647</v>
      </c>
      <c r="C4325" s="125" t="s">
        <v>453</v>
      </c>
      <c r="D4325" s="125" t="s">
        <v>457</v>
      </c>
      <c r="E4325" s="125" t="s">
        <v>189</v>
      </c>
      <c r="F4325" s="126">
        <v>42238.0</v>
      </c>
      <c r="G4325" s="127">
        <v>7.64E8</v>
      </c>
      <c r="H4325" s="126">
        <v>42250.0</v>
      </c>
      <c r="I4325" s="128">
        <v>6888.0</v>
      </c>
      <c r="J4325" s="128">
        <v>255.28</v>
      </c>
      <c r="K4325" s="128">
        <v>159.42</v>
      </c>
      <c r="L4325" s="128">
        <v>1758369.0</v>
      </c>
      <c r="M4325" s="128">
        <v>1098085.0</v>
      </c>
      <c r="N4325" s="128">
        <v>660283.7</v>
      </c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</row>
    <row r="4326">
      <c r="A4326" s="125" t="s">
        <v>466</v>
      </c>
      <c r="B4326" s="125" t="s">
        <v>474</v>
      </c>
      <c r="C4326" s="125" t="s">
        <v>463</v>
      </c>
      <c r="D4326" s="125" t="s">
        <v>454</v>
      </c>
      <c r="E4326" s="125" t="s">
        <v>284</v>
      </c>
      <c r="F4326" s="126">
        <v>41320.0</v>
      </c>
      <c r="G4326" s="127">
        <v>9.11E8</v>
      </c>
      <c r="H4326" s="126">
        <v>41358.0</v>
      </c>
      <c r="I4326" s="128">
        <v>6467.0</v>
      </c>
      <c r="J4326" s="128">
        <v>205.7</v>
      </c>
      <c r="K4326" s="128">
        <v>117.11</v>
      </c>
      <c r="L4326" s="128">
        <v>1330262.0</v>
      </c>
      <c r="M4326" s="128">
        <v>757350.4</v>
      </c>
      <c r="N4326" s="128">
        <v>572911.5</v>
      </c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</row>
    <row r="4327">
      <c r="A4327" s="125" t="s">
        <v>458</v>
      </c>
      <c r="B4327" s="125" t="s">
        <v>626</v>
      </c>
      <c r="C4327" s="125" t="s">
        <v>453</v>
      </c>
      <c r="D4327" s="125" t="s">
        <v>457</v>
      </c>
      <c r="E4327" s="125" t="s">
        <v>284</v>
      </c>
      <c r="F4327" s="126">
        <v>41340.0</v>
      </c>
      <c r="G4327" s="127">
        <v>3.81E8</v>
      </c>
      <c r="H4327" s="126">
        <v>41377.0</v>
      </c>
      <c r="I4327" s="128">
        <v>6267.0</v>
      </c>
      <c r="J4327" s="128">
        <v>255.28</v>
      </c>
      <c r="K4327" s="128">
        <v>159.42</v>
      </c>
      <c r="L4327" s="128">
        <v>1599840.0</v>
      </c>
      <c r="M4327" s="128">
        <v>999085.1</v>
      </c>
      <c r="N4327" s="128">
        <v>600754.6</v>
      </c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/>
    </row>
    <row r="4328">
      <c r="A4328" s="125" t="s">
        <v>466</v>
      </c>
      <c r="B4328" s="125" t="s">
        <v>598</v>
      </c>
      <c r="C4328" s="125" t="s">
        <v>514</v>
      </c>
      <c r="D4328" s="125" t="s">
        <v>454</v>
      </c>
      <c r="E4328" s="125" t="s">
        <v>189</v>
      </c>
      <c r="F4328" s="126">
        <v>41449.0</v>
      </c>
      <c r="G4328" s="127">
        <v>4.52E8</v>
      </c>
      <c r="H4328" s="126">
        <v>41469.0</v>
      </c>
      <c r="I4328" s="128">
        <v>3948.0</v>
      </c>
      <c r="J4328" s="128">
        <v>668.27</v>
      </c>
      <c r="K4328" s="128">
        <v>502.54</v>
      </c>
      <c r="L4328" s="128">
        <v>2638330.0</v>
      </c>
      <c r="M4328" s="128">
        <v>1984028.0</v>
      </c>
      <c r="N4328" s="128">
        <v>654302.0</v>
      </c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</row>
    <row r="4329">
      <c r="A4329" s="125" t="s">
        <v>461</v>
      </c>
      <c r="B4329" s="125" t="s">
        <v>576</v>
      </c>
      <c r="C4329" s="125" t="s">
        <v>494</v>
      </c>
      <c r="D4329" s="125" t="s">
        <v>454</v>
      </c>
      <c r="E4329" s="125" t="s">
        <v>472</v>
      </c>
      <c r="F4329" s="126">
        <v>42575.0</v>
      </c>
      <c r="G4329" s="127">
        <v>6.7E8</v>
      </c>
      <c r="H4329" s="126">
        <v>42614.0</v>
      </c>
      <c r="I4329" s="128">
        <v>4203.0</v>
      </c>
      <c r="J4329" s="128">
        <v>9.33</v>
      </c>
      <c r="K4329" s="128">
        <v>6.92</v>
      </c>
      <c r="L4329" s="128">
        <v>39213.99</v>
      </c>
      <c r="M4329" s="128">
        <v>29084.76</v>
      </c>
      <c r="N4329" s="128">
        <v>10129.23</v>
      </c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</row>
    <row r="4330">
      <c r="A4330" s="125" t="s">
        <v>469</v>
      </c>
      <c r="B4330" s="125" t="s">
        <v>519</v>
      </c>
      <c r="C4330" s="125" t="s">
        <v>478</v>
      </c>
      <c r="D4330" s="125" t="s">
        <v>454</v>
      </c>
      <c r="E4330" s="125" t="s">
        <v>464</v>
      </c>
      <c r="F4330" s="126">
        <v>40498.0</v>
      </c>
      <c r="G4330" s="127">
        <v>2.03E8</v>
      </c>
      <c r="H4330" s="126">
        <v>40505.0</v>
      </c>
      <c r="I4330" s="128">
        <v>3756.0</v>
      </c>
      <c r="J4330" s="128">
        <v>651.21</v>
      </c>
      <c r="K4330" s="128">
        <v>524.96</v>
      </c>
      <c r="L4330" s="128">
        <v>2445945.0</v>
      </c>
      <c r="M4330" s="128">
        <v>1971750.0</v>
      </c>
      <c r="N4330" s="128">
        <v>474195.0</v>
      </c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</row>
    <row r="4331">
      <c r="A4331" s="125" t="s">
        <v>458</v>
      </c>
      <c r="B4331" s="125" t="s">
        <v>582</v>
      </c>
      <c r="C4331" s="125" t="s">
        <v>494</v>
      </c>
      <c r="D4331" s="125" t="s">
        <v>454</v>
      </c>
      <c r="E4331" s="125" t="s">
        <v>464</v>
      </c>
      <c r="F4331" s="126">
        <v>41071.0</v>
      </c>
      <c r="G4331" s="127">
        <v>9.89E8</v>
      </c>
      <c r="H4331" s="126">
        <v>41098.0</v>
      </c>
      <c r="I4331" s="128">
        <v>6362.0</v>
      </c>
      <c r="J4331" s="128">
        <v>9.33</v>
      </c>
      <c r="K4331" s="128">
        <v>6.92</v>
      </c>
      <c r="L4331" s="128">
        <v>59357.46</v>
      </c>
      <c r="M4331" s="128">
        <v>44025.04</v>
      </c>
      <c r="N4331" s="128">
        <v>15332.42</v>
      </c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</row>
    <row r="4332">
      <c r="A4332" s="125" t="s">
        <v>475</v>
      </c>
      <c r="B4332" s="125" t="s">
        <v>561</v>
      </c>
      <c r="C4332" s="125" t="s">
        <v>494</v>
      </c>
      <c r="D4332" s="125" t="s">
        <v>457</v>
      </c>
      <c r="E4332" s="125" t="s">
        <v>472</v>
      </c>
      <c r="F4332" s="126">
        <v>42237.0</v>
      </c>
      <c r="G4332" s="127">
        <v>9.85E8</v>
      </c>
      <c r="H4332" s="126">
        <v>42251.0</v>
      </c>
      <c r="I4332" s="128">
        <v>7806.0</v>
      </c>
      <c r="J4332" s="128">
        <v>9.33</v>
      </c>
      <c r="K4332" s="128">
        <v>6.92</v>
      </c>
      <c r="L4332" s="128">
        <v>72829.98</v>
      </c>
      <c r="M4332" s="128">
        <v>54017.52</v>
      </c>
      <c r="N4332" s="128">
        <v>18812.46</v>
      </c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</row>
    <row r="4333">
      <c r="A4333" s="125" t="s">
        <v>475</v>
      </c>
      <c r="B4333" s="125" t="s">
        <v>591</v>
      </c>
      <c r="C4333" s="125" t="s">
        <v>506</v>
      </c>
      <c r="D4333" s="125" t="s">
        <v>454</v>
      </c>
      <c r="E4333" s="125" t="s">
        <v>464</v>
      </c>
      <c r="F4333" s="126">
        <v>40945.0</v>
      </c>
      <c r="G4333" s="127">
        <v>9.2E8</v>
      </c>
      <c r="H4333" s="126">
        <v>40966.0</v>
      </c>
      <c r="I4333" s="128">
        <v>906.0</v>
      </c>
      <c r="J4333" s="128">
        <v>154.06</v>
      </c>
      <c r="K4333" s="128">
        <v>90.93</v>
      </c>
      <c r="L4333" s="128">
        <v>139578.4</v>
      </c>
      <c r="M4333" s="128">
        <v>82382.58</v>
      </c>
      <c r="N4333" s="128">
        <v>57195.78</v>
      </c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</row>
    <row r="4334">
      <c r="A4334" s="125" t="s">
        <v>466</v>
      </c>
      <c r="B4334" s="125" t="s">
        <v>637</v>
      </c>
      <c r="C4334" s="125" t="s">
        <v>456</v>
      </c>
      <c r="D4334" s="125" t="s">
        <v>454</v>
      </c>
      <c r="E4334" s="125" t="s">
        <v>189</v>
      </c>
      <c r="F4334" s="126">
        <v>42831.0</v>
      </c>
      <c r="G4334" s="127">
        <v>2.41E8</v>
      </c>
      <c r="H4334" s="126">
        <v>42846.0</v>
      </c>
      <c r="I4334" s="128">
        <v>511.0</v>
      </c>
      <c r="J4334" s="128">
        <v>152.58</v>
      </c>
      <c r="K4334" s="128">
        <v>97.44</v>
      </c>
      <c r="L4334" s="128">
        <v>77968.38</v>
      </c>
      <c r="M4334" s="128">
        <v>49791.84</v>
      </c>
      <c r="N4334" s="128">
        <v>28176.54</v>
      </c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</row>
    <row r="4335">
      <c r="A4335" s="125" t="s">
        <v>475</v>
      </c>
      <c r="B4335" s="125" t="s">
        <v>552</v>
      </c>
      <c r="C4335" s="125" t="s">
        <v>478</v>
      </c>
      <c r="D4335" s="125" t="s">
        <v>457</v>
      </c>
      <c r="E4335" s="125" t="s">
        <v>472</v>
      </c>
      <c r="F4335" s="126">
        <v>41473.0</v>
      </c>
      <c r="G4335" s="127">
        <v>2.68E8</v>
      </c>
      <c r="H4335" s="126">
        <v>41475.0</v>
      </c>
      <c r="I4335" s="128">
        <v>8500.0</v>
      </c>
      <c r="J4335" s="128">
        <v>651.21</v>
      </c>
      <c r="K4335" s="128">
        <v>524.96</v>
      </c>
      <c r="L4335" s="128">
        <v>5535285.0</v>
      </c>
      <c r="M4335" s="128">
        <v>4462160.0</v>
      </c>
      <c r="N4335" s="128">
        <v>1073125.0</v>
      </c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</row>
    <row r="4336">
      <c r="A4336" s="125" t="s">
        <v>469</v>
      </c>
      <c r="B4336" s="125" t="s">
        <v>634</v>
      </c>
      <c r="C4336" s="125" t="s">
        <v>485</v>
      </c>
      <c r="D4336" s="125" t="s">
        <v>454</v>
      </c>
      <c r="E4336" s="125" t="s">
        <v>189</v>
      </c>
      <c r="F4336" s="126">
        <v>41902.0</v>
      </c>
      <c r="G4336" s="127">
        <v>1.4E8</v>
      </c>
      <c r="H4336" s="126">
        <v>41902.0</v>
      </c>
      <c r="I4336" s="128">
        <v>8785.0</v>
      </c>
      <c r="J4336" s="128">
        <v>421.89</v>
      </c>
      <c r="K4336" s="128">
        <v>364.69</v>
      </c>
      <c r="L4336" s="128">
        <v>3706304.0</v>
      </c>
      <c r="M4336" s="128">
        <v>3203802.0</v>
      </c>
      <c r="N4336" s="128">
        <v>502502.0</v>
      </c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</row>
    <row r="4337">
      <c r="A4337" s="125" t="s">
        <v>475</v>
      </c>
      <c r="B4337" s="125" t="s">
        <v>619</v>
      </c>
      <c r="C4337" s="125" t="s">
        <v>485</v>
      </c>
      <c r="D4337" s="125" t="s">
        <v>454</v>
      </c>
      <c r="E4337" s="125" t="s">
        <v>284</v>
      </c>
      <c r="F4337" s="126">
        <v>42623.0</v>
      </c>
      <c r="G4337" s="127">
        <v>8.66E8</v>
      </c>
      <c r="H4337" s="126">
        <v>42639.0</v>
      </c>
      <c r="I4337" s="128">
        <v>2308.0</v>
      </c>
      <c r="J4337" s="128">
        <v>421.89</v>
      </c>
      <c r="K4337" s="128">
        <v>364.69</v>
      </c>
      <c r="L4337" s="128">
        <v>973722.1</v>
      </c>
      <c r="M4337" s="128">
        <v>841704.5</v>
      </c>
      <c r="N4337" s="128">
        <v>132017.6</v>
      </c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</row>
    <row r="4338">
      <c r="A4338" s="125" t="s">
        <v>466</v>
      </c>
      <c r="B4338" s="125" t="s">
        <v>524</v>
      </c>
      <c r="C4338" s="125" t="s">
        <v>485</v>
      </c>
      <c r="D4338" s="125" t="s">
        <v>457</v>
      </c>
      <c r="E4338" s="125" t="s">
        <v>472</v>
      </c>
      <c r="F4338" s="126">
        <v>42529.0</v>
      </c>
      <c r="G4338" s="127">
        <v>3.76E8</v>
      </c>
      <c r="H4338" s="126">
        <v>42548.0</v>
      </c>
      <c r="I4338" s="128">
        <v>2043.0</v>
      </c>
      <c r="J4338" s="128">
        <v>421.89</v>
      </c>
      <c r="K4338" s="128">
        <v>364.69</v>
      </c>
      <c r="L4338" s="128">
        <v>861921.3</v>
      </c>
      <c r="M4338" s="128">
        <v>745061.7</v>
      </c>
      <c r="N4338" s="128">
        <v>116859.6</v>
      </c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</row>
    <row r="4339">
      <c r="A4339" s="125" t="s">
        <v>466</v>
      </c>
      <c r="B4339" s="125" t="s">
        <v>625</v>
      </c>
      <c r="C4339" s="125" t="s">
        <v>456</v>
      </c>
      <c r="D4339" s="125" t="s">
        <v>454</v>
      </c>
      <c r="E4339" s="125" t="s">
        <v>472</v>
      </c>
      <c r="F4339" s="126">
        <v>42286.0</v>
      </c>
      <c r="G4339" s="127">
        <v>2.7E8</v>
      </c>
      <c r="H4339" s="126">
        <v>42305.0</v>
      </c>
      <c r="I4339" s="128">
        <v>7994.0</v>
      </c>
      <c r="J4339" s="128">
        <v>152.58</v>
      </c>
      <c r="K4339" s="128">
        <v>97.44</v>
      </c>
      <c r="L4339" s="128">
        <v>1219725.0</v>
      </c>
      <c r="M4339" s="128">
        <v>778935.4</v>
      </c>
      <c r="N4339" s="128">
        <v>440789.2</v>
      </c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</row>
    <row r="4340">
      <c r="A4340" s="125" t="s">
        <v>466</v>
      </c>
      <c r="B4340" s="125" t="s">
        <v>496</v>
      </c>
      <c r="C4340" s="125" t="s">
        <v>468</v>
      </c>
      <c r="D4340" s="125" t="s">
        <v>457</v>
      </c>
      <c r="E4340" s="125" t="s">
        <v>189</v>
      </c>
      <c r="F4340" s="126">
        <v>40184.0</v>
      </c>
      <c r="G4340" s="127">
        <v>8.69E8</v>
      </c>
      <c r="H4340" s="126">
        <v>40221.0</v>
      </c>
      <c r="I4340" s="128">
        <v>2198.0</v>
      </c>
      <c r="J4340" s="128">
        <v>81.73</v>
      </c>
      <c r="K4340" s="128">
        <v>56.67</v>
      </c>
      <c r="L4340" s="128">
        <v>179642.5</v>
      </c>
      <c r="M4340" s="128">
        <v>124560.7</v>
      </c>
      <c r="N4340" s="128">
        <v>55081.88</v>
      </c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</row>
    <row r="4341">
      <c r="A4341" s="125" t="s">
        <v>461</v>
      </c>
      <c r="B4341" s="125" t="s">
        <v>481</v>
      </c>
      <c r="C4341" s="125" t="s">
        <v>460</v>
      </c>
      <c r="D4341" s="125" t="s">
        <v>454</v>
      </c>
      <c r="E4341" s="125" t="s">
        <v>464</v>
      </c>
      <c r="F4341" s="126">
        <v>41816.0</v>
      </c>
      <c r="G4341" s="127">
        <v>7.63E8</v>
      </c>
      <c r="H4341" s="126">
        <v>41848.0</v>
      </c>
      <c r="I4341" s="128">
        <v>3722.0</v>
      </c>
      <c r="J4341" s="128">
        <v>47.45</v>
      </c>
      <c r="K4341" s="128">
        <v>31.79</v>
      </c>
      <c r="L4341" s="128">
        <v>176608.9</v>
      </c>
      <c r="M4341" s="128">
        <v>118322.4</v>
      </c>
      <c r="N4341" s="128">
        <v>58286.52</v>
      </c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</row>
    <row r="4342">
      <c r="A4342" s="125" t="s">
        <v>488</v>
      </c>
      <c r="B4342" s="125" t="s">
        <v>489</v>
      </c>
      <c r="C4342" s="125" t="s">
        <v>468</v>
      </c>
      <c r="D4342" s="125" t="s">
        <v>457</v>
      </c>
      <c r="E4342" s="125" t="s">
        <v>472</v>
      </c>
      <c r="F4342" s="126">
        <v>42097.0</v>
      </c>
      <c r="G4342" s="127">
        <v>8.62E8</v>
      </c>
      <c r="H4342" s="126">
        <v>42125.0</v>
      </c>
      <c r="I4342" s="128">
        <v>3665.0</v>
      </c>
      <c r="J4342" s="128">
        <v>81.73</v>
      </c>
      <c r="K4342" s="128">
        <v>56.67</v>
      </c>
      <c r="L4342" s="128">
        <v>299540.5</v>
      </c>
      <c r="M4342" s="128">
        <v>207695.6</v>
      </c>
      <c r="N4342" s="128">
        <v>91844.9</v>
      </c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</row>
    <row r="4343">
      <c r="A4343" s="125" t="s">
        <v>475</v>
      </c>
      <c r="B4343" s="125" t="s">
        <v>513</v>
      </c>
      <c r="C4343" s="125" t="s">
        <v>514</v>
      </c>
      <c r="D4343" s="125" t="s">
        <v>454</v>
      </c>
      <c r="E4343" s="125" t="s">
        <v>472</v>
      </c>
      <c r="F4343" s="126">
        <v>40486.0</v>
      </c>
      <c r="G4343" s="127">
        <v>3.49E8</v>
      </c>
      <c r="H4343" s="126">
        <v>40522.0</v>
      </c>
      <c r="I4343" s="128">
        <v>157.0</v>
      </c>
      <c r="J4343" s="128">
        <v>668.27</v>
      </c>
      <c r="K4343" s="128">
        <v>502.54</v>
      </c>
      <c r="L4343" s="128">
        <v>104918.4</v>
      </c>
      <c r="M4343" s="128">
        <v>78898.78</v>
      </c>
      <c r="N4343" s="128">
        <v>26019.61</v>
      </c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/>
    </row>
    <row r="4344">
      <c r="A4344" s="125" t="s">
        <v>469</v>
      </c>
      <c r="B4344" s="125" t="s">
        <v>470</v>
      </c>
      <c r="C4344" s="125" t="s">
        <v>456</v>
      </c>
      <c r="D4344" s="125" t="s">
        <v>454</v>
      </c>
      <c r="E4344" s="125" t="s">
        <v>284</v>
      </c>
      <c r="F4344" s="126">
        <v>42357.0</v>
      </c>
      <c r="G4344" s="127">
        <v>7.25E8</v>
      </c>
      <c r="H4344" s="126">
        <v>42388.0</v>
      </c>
      <c r="I4344" s="128">
        <v>3358.0</v>
      </c>
      <c r="J4344" s="128">
        <v>152.58</v>
      </c>
      <c r="K4344" s="128">
        <v>97.44</v>
      </c>
      <c r="L4344" s="128">
        <v>512363.6</v>
      </c>
      <c r="M4344" s="128">
        <v>327203.5</v>
      </c>
      <c r="N4344" s="128">
        <v>185160.1</v>
      </c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</row>
    <row r="4345">
      <c r="A4345" s="125" t="s">
        <v>458</v>
      </c>
      <c r="B4345" s="125" t="s">
        <v>540</v>
      </c>
      <c r="C4345" s="125" t="s">
        <v>460</v>
      </c>
      <c r="D4345" s="125" t="s">
        <v>454</v>
      </c>
      <c r="E4345" s="125" t="s">
        <v>189</v>
      </c>
      <c r="F4345" s="126">
        <v>41031.0</v>
      </c>
      <c r="G4345" s="127">
        <v>8.62E8</v>
      </c>
      <c r="H4345" s="126">
        <v>41057.0</v>
      </c>
      <c r="I4345" s="128">
        <v>461.0</v>
      </c>
      <c r="J4345" s="128">
        <v>47.45</v>
      </c>
      <c r="K4345" s="128">
        <v>31.79</v>
      </c>
      <c r="L4345" s="128">
        <v>21874.45</v>
      </c>
      <c r="M4345" s="128">
        <v>14655.19</v>
      </c>
      <c r="N4345" s="128">
        <v>7219.26</v>
      </c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</row>
    <row r="4346">
      <c r="A4346" s="125" t="s">
        <v>458</v>
      </c>
      <c r="B4346" s="125" t="s">
        <v>610</v>
      </c>
      <c r="C4346" s="125" t="s">
        <v>485</v>
      </c>
      <c r="D4346" s="125" t="s">
        <v>454</v>
      </c>
      <c r="E4346" s="125" t="s">
        <v>472</v>
      </c>
      <c r="F4346" s="126">
        <v>41278.0</v>
      </c>
      <c r="G4346" s="127">
        <v>1.52E8</v>
      </c>
      <c r="H4346" s="126">
        <v>41326.0</v>
      </c>
      <c r="I4346" s="128">
        <v>691.0</v>
      </c>
      <c r="J4346" s="128">
        <v>421.89</v>
      </c>
      <c r="K4346" s="128">
        <v>364.69</v>
      </c>
      <c r="L4346" s="128">
        <v>291526.0</v>
      </c>
      <c r="M4346" s="128">
        <v>252000.8</v>
      </c>
      <c r="N4346" s="128">
        <v>39525.2</v>
      </c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</row>
    <row r="4347">
      <c r="A4347" s="125" t="s">
        <v>461</v>
      </c>
      <c r="B4347" s="125" t="s">
        <v>644</v>
      </c>
      <c r="C4347" s="125" t="s">
        <v>480</v>
      </c>
      <c r="D4347" s="125" t="s">
        <v>454</v>
      </c>
      <c r="E4347" s="125" t="s">
        <v>464</v>
      </c>
      <c r="F4347" s="126">
        <v>41344.0</v>
      </c>
      <c r="G4347" s="127">
        <v>7.58E8</v>
      </c>
      <c r="H4347" s="126">
        <v>41354.0</v>
      </c>
      <c r="I4347" s="128">
        <v>300.0</v>
      </c>
      <c r="J4347" s="128">
        <v>437.2</v>
      </c>
      <c r="K4347" s="128">
        <v>263.33</v>
      </c>
      <c r="L4347" s="128">
        <v>131160.0</v>
      </c>
      <c r="M4347" s="128">
        <v>78999.0</v>
      </c>
      <c r="N4347" s="128">
        <v>52161.0</v>
      </c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</row>
    <row r="4348">
      <c r="A4348" s="125" t="s">
        <v>458</v>
      </c>
      <c r="B4348" s="125" t="s">
        <v>538</v>
      </c>
      <c r="C4348" s="125" t="s">
        <v>478</v>
      </c>
      <c r="D4348" s="125" t="s">
        <v>457</v>
      </c>
      <c r="E4348" s="125" t="s">
        <v>284</v>
      </c>
      <c r="F4348" s="126">
        <v>42629.0</v>
      </c>
      <c r="G4348" s="127">
        <v>8.62E8</v>
      </c>
      <c r="H4348" s="126">
        <v>42670.0</v>
      </c>
      <c r="I4348" s="128">
        <v>7577.0</v>
      </c>
      <c r="J4348" s="128">
        <v>651.21</v>
      </c>
      <c r="K4348" s="128">
        <v>524.96</v>
      </c>
      <c r="L4348" s="128">
        <v>4934218.0</v>
      </c>
      <c r="M4348" s="128">
        <v>3977622.0</v>
      </c>
      <c r="N4348" s="128">
        <v>956596.3</v>
      </c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</row>
    <row r="4349">
      <c r="A4349" s="125" t="s">
        <v>461</v>
      </c>
      <c r="B4349" s="125" t="s">
        <v>525</v>
      </c>
      <c r="C4349" s="125" t="s">
        <v>514</v>
      </c>
      <c r="D4349" s="125" t="s">
        <v>457</v>
      </c>
      <c r="E4349" s="125" t="s">
        <v>284</v>
      </c>
      <c r="F4349" s="126">
        <v>42775.0</v>
      </c>
      <c r="G4349" s="127">
        <v>5.19E8</v>
      </c>
      <c r="H4349" s="126">
        <v>42782.0</v>
      </c>
      <c r="I4349" s="128">
        <v>7838.0</v>
      </c>
      <c r="J4349" s="128">
        <v>668.27</v>
      </c>
      <c r="K4349" s="128">
        <v>502.54</v>
      </c>
      <c r="L4349" s="128">
        <v>5237900.0</v>
      </c>
      <c r="M4349" s="128">
        <v>3938909.0</v>
      </c>
      <c r="N4349" s="128">
        <v>1298992.0</v>
      </c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</row>
    <row r="4350">
      <c r="A4350" s="125" t="s">
        <v>458</v>
      </c>
      <c r="B4350" s="125" t="s">
        <v>641</v>
      </c>
      <c r="C4350" s="125" t="s">
        <v>494</v>
      </c>
      <c r="D4350" s="125" t="s">
        <v>457</v>
      </c>
      <c r="E4350" s="125" t="s">
        <v>189</v>
      </c>
      <c r="F4350" s="126">
        <v>42576.0</v>
      </c>
      <c r="G4350" s="127">
        <v>3.0E8</v>
      </c>
      <c r="H4350" s="126">
        <v>42614.0</v>
      </c>
      <c r="I4350" s="128">
        <v>8431.0</v>
      </c>
      <c r="J4350" s="128">
        <v>9.33</v>
      </c>
      <c r="K4350" s="128">
        <v>6.92</v>
      </c>
      <c r="L4350" s="128">
        <v>78661.23</v>
      </c>
      <c r="M4350" s="128">
        <v>58342.52</v>
      </c>
      <c r="N4350" s="128">
        <v>20318.71</v>
      </c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</row>
    <row r="4351">
      <c r="A4351" s="125" t="s">
        <v>466</v>
      </c>
      <c r="B4351" s="125" t="s">
        <v>524</v>
      </c>
      <c r="C4351" s="125" t="s">
        <v>485</v>
      </c>
      <c r="D4351" s="125" t="s">
        <v>454</v>
      </c>
      <c r="E4351" s="125" t="s">
        <v>472</v>
      </c>
      <c r="F4351" s="126">
        <v>41835.0</v>
      </c>
      <c r="G4351" s="127">
        <v>8.5E8</v>
      </c>
      <c r="H4351" s="126">
        <v>41885.0</v>
      </c>
      <c r="I4351" s="128">
        <v>3737.0</v>
      </c>
      <c r="J4351" s="128">
        <v>421.89</v>
      </c>
      <c r="K4351" s="128">
        <v>364.69</v>
      </c>
      <c r="L4351" s="128">
        <v>1576603.0</v>
      </c>
      <c r="M4351" s="128">
        <v>1362847.0</v>
      </c>
      <c r="N4351" s="128">
        <v>213756.4</v>
      </c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</row>
    <row r="4352">
      <c r="A4352" s="125" t="s">
        <v>458</v>
      </c>
      <c r="B4352" s="125" t="s">
        <v>603</v>
      </c>
      <c r="C4352" s="125" t="s">
        <v>485</v>
      </c>
      <c r="D4352" s="125" t="s">
        <v>457</v>
      </c>
      <c r="E4352" s="125" t="s">
        <v>464</v>
      </c>
      <c r="F4352" s="126">
        <v>40741.0</v>
      </c>
      <c r="G4352" s="127">
        <v>6.33E8</v>
      </c>
      <c r="H4352" s="126">
        <v>40766.0</v>
      </c>
      <c r="I4352" s="128">
        <v>167.0</v>
      </c>
      <c r="J4352" s="128">
        <v>421.89</v>
      </c>
      <c r="K4352" s="128">
        <v>364.69</v>
      </c>
      <c r="L4352" s="128">
        <v>70455.63</v>
      </c>
      <c r="M4352" s="128">
        <v>60903.23</v>
      </c>
      <c r="N4352" s="128">
        <v>9552.4</v>
      </c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</row>
    <row r="4353">
      <c r="A4353" s="125" t="s">
        <v>458</v>
      </c>
      <c r="B4353" s="125" t="s">
        <v>563</v>
      </c>
      <c r="C4353" s="125" t="s">
        <v>478</v>
      </c>
      <c r="D4353" s="125" t="s">
        <v>457</v>
      </c>
      <c r="E4353" s="125" t="s">
        <v>284</v>
      </c>
      <c r="F4353" s="126">
        <v>41257.0</v>
      </c>
      <c r="G4353" s="127">
        <v>8.84E8</v>
      </c>
      <c r="H4353" s="126">
        <v>41289.0</v>
      </c>
      <c r="I4353" s="128">
        <v>1164.0</v>
      </c>
      <c r="J4353" s="128">
        <v>651.21</v>
      </c>
      <c r="K4353" s="128">
        <v>524.96</v>
      </c>
      <c r="L4353" s="128">
        <v>758008.4</v>
      </c>
      <c r="M4353" s="128">
        <v>611053.4</v>
      </c>
      <c r="N4353" s="128">
        <v>146955.0</v>
      </c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</row>
    <row r="4354">
      <c r="A4354" s="125" t="s">
        <v>461</v>
      </c>
      <c r="B4354" s="125" t="s">
        <v>615</v>
      </c>
      <c r="C4354" s="125" t="s">
        <v>480</v>
      </c>
      <c r="D4354" s="125" t="s">
        <v>457</v>
      </c>
      <c r="E4354" s="125" t="s">
        <v>284</v>
      </c>
      <c r="F4354" s="126">
        <v>40202.0</v>
      </c>
      <c r="G4354" s="127">
        <v>6.57E8</v>
      </c>
      <c r="H4354" s="126">
        <v>40206.0</v>
      </c>
      <c r="I4354" s="128">
        <v>2200.0</v>
      </c>
      <c r="J4354" s="128">
        <v>437.2</v>
      </c>
      <c r="K4354" s="128">
        <v>263.33</v>
      </c>
      <c r="L4354" s="128">
        <v>961840.0</v>
      </c>
      <c r="M4354" s="128">
        <v>579326.0</v>
      </c>
      <c r="N4354" s="128">
        <v>382514.0</v>
      </c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</row>
    <row r="4355">
      <c r="A4355" s="125" t="s">
        <v>475</v>
      </c>
      <c r="B4355" s="125" t="s">
        <v>623</v>
      </c>
      <c r="C4355" s="125" t="s">
        <v>460</v>
      </c>
      <c r="D4355" s="125" t="s">
        <v>457</v>
      </c>
      <c r="E4355" s="125" t="s">
        <v>189</v>
      </c>
      <c r="F4355" s="126">
        <v>41700.0</v>
      </c>
      <c r="G4355" s="127">
        <v>8.78E8</v>
      </c>
      <c r="H4355" s="126">
        <v>41712.0</v>
      </c>
      <c r="I4355" s="128">
        <v>5780.0</v>
      </c>
      <c r="J4355" s="128">
        <v>47.45</v>
      </c>
      <c r="K4355" s="128">
        <v>31.79</v>
      </c>
      <c r="L4355" s="128">
        <v>274261.0</v>
      </c>
      <c r="M4355" s="128">
        <v>183746.2</v>
      </c>
      <c r="N4355" s="128">
        <v>90514.8</v>
      </c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</row>
    <row r="4356">
      <c r="A4356" s="125" t="s">
        <v>475</v>
      </c>
      <c r="B4356" s="125" t="s">
        <v>604</v>
      </c>
      <c r="C4356" s="125" t="s">
        <v>494</v>
      </c>
      <c r="D4356" s="125" t="s">
        <v>454</v>
      </c>
      <c r="E4356" s="125" t="s">
        <v>189</v>
      </c>
      <c r="F4356" s="126">
        <v>41965.0</v>
      </c>
      <c r="G4356" s="127">
        <v>2.91E8</v>
      </c>
      <c r="H4356" s="126">
        <v>42005.0</v>
      </c>
      <c r="I4356" s="128">
        <v>6442.0</v>
      </c>
      <c r="J4356" s="128">
        <v>9.33</v>
      </c>
      <c r="K4356" s="128">
        <v>6.92</v>
      </c>
      <c r="L4356" s="128">
        <v>60103.86</v>
      </c>
      <c r="M4356" s="128">
        <v>44578.64</v>
      </c>
      <c r="N4356" s="128">
        <v>15525.22</v>
      </c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</row>
    <row r="4357">
      <c r="A4357" s="125" t="s">
        <v>469</v>
      </c>
      <c r="B4357" s="125" t="s">
        <v>501</v>
      </c>
      <c r="C4357" s="125" t="s">
        <v>494</v>
      </c>
      <c r="D4357" s="125" t="s">
        <v>454</v>
      </c>
      <c r="E4357" s="125" t="s">
        <v>472</v>
      </c>
      <c r="F4357" s="126">
        <v>41749.0</v>
      </c>
      <c r="G4357" s="127">
        <v>4.12E8</v>
      </c>
      <c r="H4357" s="126">
        <v>41758.0</v>
      </c>
      <c r="I4357" s="128">
        <v>5752.0</v>
      </c>
      <c r="J4357" s="128">
        <v>9.33</v>
      </c>
      <c r="K4357" s="128">
        <v>6.92</v>
      </c>
      <c r="L4357" s="128">
        <v>53666.16</v>
      </c>
      <c r="M4357" s="128">
        <v>39803.84</v>
      </c>
      <c r="N4357" s="128">
        <v>13862.32</v>
      </c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</row>
    <row r="4358">
      <c r="A4358" s="125" t="s">
        <v>458</v>
      </c>
      <c r="B4358" s="125" t="s">
        <v>627</v>
      </c>
      <c r="C4358" s="125" t="s">
        <v>485</v>
      </c>
      <c r="D4358" s="125" t="s">
        <v>454</v>
      </c>
      <c r="E4358" s="125" t="s">
        <v>189</v>
      </c>
      <c r="F4358" s="126">
        <v>42194.0</v>
      </c>
      <c r="G4358" s="127">
        <v>5.78E8</v>
      </c>
      <c r="H4358" s="126">
        <v>42200.0</v>
      </c>
      <c r="I4358" s="128">
        <v>7309.0</v>
      </c>
      <c r="J4358" s="128">
        <v>421.89</v>
      </c>
      <c r="K4358" s="128">
        <v>364.69</v>
      </c>
      <c r="L4358" s="128">
        <v>3083594.0</v>
      </c>
      <c r="M4358" s="128">
        <v>2665519.0</v>
      </c>
      <c r="N4358" s="128">
        <v>418074.8</v>
      </c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</row>
    <row r="4359">
      <c r="A4359" s="125" t="s">
        <v>458</v>
      </c>
      <c r="B4359" s="125" t="s">
        <v>505</v>
      </c>
      <c r="C4359" s="125" t="s">
        <v>468</v>
      </c>
      <c r="D4359" s="125" t="s">
        <v>454</v>
      </c>
      <c r="E4359" s="125" t="s">
        <v>464</v>
      </c>
      <c r="F4359" s="126">
        <v>40680.0</v>
      </c>
      <c r="G4359" s="127">
        <v>1.95E8</v>
      </c>
      <c r="H4359" s="126">
        <v>40685.0</v>
      </c>
      <c r="I4359" s="128">
        <v>1742.0</v>
      </c>
      <c r="J4359" s="128">
        <v>81.73</v>
      </c>
      <c r="K4359" s="128">
        <v>56.67</v>
      </c>
      <c r="L4359" s="128">
        <v>142373.7</v>
      </c>
      <c r="M4359" s="128">
        <v>98719.14</v>
      </c>
      <c r="N4359" s="128">
        <v>43654.52</v>
      </c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</row>
    <row r="4360">
      <c r="A4360" s="125" t="s">
        <v>458</v>
      </c>
      <c r="B4360" s="125" t="s">
        <v>613</v>
      </c>
      <c r="C4360" s="125" t="s">
        <v>463</v>
      </c>
      <c r="D4360" s="125" t="s">
        <v>457</v>
      </c>
      <c r="E4360" s="125" t="s">
        <v>464</v>
      </c>
      <c r="F4360" s="126">
        <v>40510.0</v>
      </c>
      <c r="G4360" s="127">
        <v>9.89E8</v>
      </c>
      <c r="H4360" s="126">
        <v>40554.0</v>
      </c>
      <c r="I4360" s="128">
        <v>1713.0</v>
      </c>
      <c r="J4360" s="128">
        <v>205.7</v>
      </c>
      <c r="K4360" s="128">
        <v>117.11</v>
      </c>
      <c r="L4360" s="128">
        <v>352364.1</v>
      </c>
      <c r="M4360" s="128">
        <v>200609.4</v>
      </c>
      <c r="N4360" s="128">
        <v>151754.7</v>
      </c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</row>
    <row r="4361">
      <c r="A4361" s="125" t="s">
        <v>461</v>
      </c>
      <c r="B4361" s="125" t="s">
        <v>539</v>
      </c>
      <c r="C4361" s="125" t="s">
        <v>468</v>
      </c>
      <c r="D4361" s="125" t="s">
        <v>454</v>
      </c>
      <c r="E4361" s="125" t="s">
        <v>284</v>
      </c>
      <c r="F4361" s="126">
        <v>41226.0</v>
      </c>
      <c r="G4361" s="127">
        <v>2.57E8</v>
      </c>
      <c r="H4361" s="126">
        <v>41273.0</v>
      </c>
      <c r="I4361" s="128">
        <v>6915.0</v>
      </c>
      <c r="J4361" s="128">
        <v>81.73</v>
      </c>
      <c r="K4361" s="128">
        <v>56.67</v>
      </c>
      <c r="L4361" s="128">
        <v>565163.0</v>
      </c>
      <c r="M4361" s="128">
        <v>391873.1</v>
      </c>
      <c r="N4361" s="128">
        <v>173289.9</v>
      </c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</row>
    <row r="4362">
      <c r="A4362" s="125" t="s">
        <v>461</v>
      </c>
      <c r="B4362" s="125" t="s">
        <v>629</v>
      </c>
      <c r="C4362" s="125" t="s">
        <v>506</v>
      </c>
      <c r="D4362" s="125" t="s">
        <v>457</v>
      </c>
      <c r="E4362" s="125" t="s">
        <v>189</v>
      </c>
      <c r="F4362" s="126">
        <v>42760.0</v>
      </c>
      <c r="G4362" s="127">
        <v>3.16E8</v>
      </c>
      <c r="H4362" s="126">
        <v>42762.0</v>
      </c>
      <c r="I4362" s="128">
        <v>9070.0</v>
      </c>
      <c r="J4362" s="128">
        <v>154.06</v>
      </c>
      <c r="K4362" s="128">
        <v>90.93</v>
      </c>
      <c r="L4362" s="128">
        <v>1397324.0</v>
      </c>
      <c r="M4362" s="128">
        <v>824735.1</v>
      </c>
      <c r="N4362" s="128">
        <v>572589.1</v>
      </c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</row>
    <row r="4363">
      <c r="A4363" s="125" t="s">
        <v>466</v>
      </c>
      <c r="B4363" s="125" t="s">
        <v>607</v>
      </c>
      <c r="C4363" s="125" t="s">
        <v>456</v>
      </c>
      <c r="D4363" s="125" t="s">
        <v>454</v>
      </c>
      <c r="E4363" s="125" t="s">
        <v>464</v>
      </c>
      <c r="F4363" s="126">
        <v>41281.0</v>
      </c>
      <c r="G4363" s="127">
        <v>8.54E8</v>
      </c>
      <c r="H4363" s="126">
        <v>41319.0</v>
      </c>
      <c r="I4363" s="128">
        <v>6934.0</v>
      </c>
      <c r="J4363" s="128">
        <v>152.58</v>
      </c>
      <c r="K4363" s="128">
        <v>97.44</v>
      </c>
      <c r="L4363" s="128">
        <v>1057990.0</v>
      </c>
      <c r="M4363" s="128">
        <v>675649.0</v>
      </c>
      <c r="N4363" s="128">
        <v>382340.8</v>
      </c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</row>
    <row r="4364">
      <c r="A4364" s="125" t="s">
        <v>458</v>
      </c>
      <c r="B4364" s="125" t="s">
        <v>533</v>
      </c>
      <c r="C4364" s="125" t="s">
        <v>463</v>
      </c>
      <c r="D4364" s="125" t="s">
        <v>454</v>
      </c>
      <c r="E4364" s="125" t="s">
        <v>464</v>
      </c>
      <c r="F4364" s="126">
        <v>41649.0</v>
      </c>
      <c r="G4364" s="127">
        <v>2.79E8</v>
      </c>
      <c r="H4364" s="126">
        <v>41694.0</v>
      </c>
      <c r="I4364" s="128">
        <v>1293.0</v>
      </c>
      <c r="J4364" s="128">
        <v>205.7</v>
      </c>
      <c r="K4364" s="128">
        <v>117.11</v>
      </c>
      <c r="L4364" s="128">
        <v>265970.1</v>
      </c>
      <c r="M4364" s="128">
        <v>151423.2</v>
      </c>
      <c r="N4364" s="128">
        <v>114546.9</v>
      </c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</row>
    <row r="4365">
      <c r="A4365" s="125" t="s">
        <v>461</v>
      </c>
      <c r="B4365" s="125" t="s">
        <v>522</v>
      </c>
      <c r="C4365" s="125" t="s">
        <v>485</v>
      </c>
      <c r="D4365" s="125" t="s">
        <v>454</v>
      </c>
      <c r="E4365" s="125" t="s">
        <v>284</v>
      </c>
      <c r="F4365" s="126">
        <v>42195.0</v>
      </c>
      <c r="G4365" s="127">
        <v>6.69E8</v>
      </c>
      <c r="H4365" s="126">
        <v>42196.0</v>
      </c>
      <c r="I4365" s="128">
        <v>9965.0</v>
      </c>
      <c r="J4365" s="128">
        <v>421.89</v>
      </c>
      <c r="K4365" s="128">
        <v>364.69</v>
      </c>
      <c r="L4365" s="128">
        <v>4204134.0</v>
      </c>
      <c r="M4365" s="128">
        <v>3634136.0</v>
      </c>
      <c r="N4365" s="128">
        <v>569998.0</v>
      </c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</row>
    <row r="4366">
      <c r="A4366" s="125" t="s">
        <v>458</v>
      </c>
      <c r="B4366" s="125" t="s">
        <v>493</v>
      </c>
      <c r="C4366" s="125" t="s">
        <v>453</v>
      </c>
      <c r="D4366" s="125" t="s">
        <v>457</v>
      </c>
      <c r="E4366" s="125" t="s">
        <v>189</v>
      </c>
      <c r="F4366" s="126">
        <v>41641.0</v>
      </c>
      <c r="G4366" s="127">
        <v>1.23E8</v>
      </c>
      <c r="H4366" s="126">
        <v>41690.0</v>
      </c>
      <c r="I4366" s="128">
        <v>2797.0</v>
      </c>
      <c r="J4366" s="128">
        <v>255.28</v>
      </c>
      <c r="K4366" s="128">
        <v>159.42</v>
      </c>
      <c r="L4366" s="128">
        <v>714018.2</v>
      </c>
      <c r="M4366" s="128">
        <v>445897.7</v>
      </c>
      <c r="N4366" s="128">
        <v>268120.4</v>
      </c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</row>
    <row r="4367">
      <c r="A4367" s="125" t="s">
        <v>451</v>
      </c>
      <c r="B4367" s="125" t="s">
        <v>609</v>
      </c>
      <c r="C4367" s="125" t="s">
        <v>471</v>
      </c>
      <c r="D4367" s="125" t="s">
        <v>454</v>
      </c>
      <c r="E4367" s="125" t="s">
        <v>189</v>
      </c>
      <c r="F4367" s="126">
        <v>40479.0</v>
      </c>
      <c r="G4367" s="127">
        <v>4.09E8</v>
      </c>
      <c r="H4367" s="126">
        <v>40496.0</v>
      </c>
      <c r="I4367" s="128">
        <v>6670.0</v>
      </c>
      <c r="J4367" s="128">
        <v>109.28</v>
      </c>
      <c r="K4367" s="128">
        <v>35.84</v>
      </c>
      <c r="L4367" s="128">
        <v>728897.6</v>
      </c>
      <c r="M4367" s="128">
        <v>239052.8</v>
      </c>
      <c r="N4367" s="128">
        <v>489844.8</v>
      </c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</row>
    <row r="4368">
      <c r="A4368" s="125" t="s">
        <v>458</v>
      </c>
      <c r="B4368" s="125" t="s">
        <v>505</v>
      </c>
      <c r="C4368" s="125" t="s">
        <v>485</v>
      </c>
      <c r="D4368" s="125" t="s">
        <v>454</v>
      </c>
      <c r="E4368" s="125" t="s">
        <v>189</v>
      </c>
      <c r="F4368" s="126">
        <v>42357.0</v>
      </c>
      <c r="G4368" s="127">
        <v>2.16E8</v>
      </c>
      <c r="H4368" s="126">
        <v>42357.0</v>
      </c>
      <c r="I4368" s="128">
        <v>495.0</v>
      </c>
      <c r="J4368" s="128">
        <v>421.89</v>
      </c>
      <c r="K4368" s="128">
        <v>364.69</v>
      </c>
      <c r="L4368" s="128">
        <v>208835.6</v>
      </c>
      <c r="M4368" s="128">
        <v>180521.6</v>
      </c>
      <c r="N4368" s="128">
        <v>28314.0</v>
      </c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</row>
    <row r="4369">
      <c r="A4369" s="125" t="s">
        <v>488</v>
      </c>
      <c r="B4369" s="125" t="s">
        <v>577</v>
      </c>
      <c r="C4369" s="125" t="s">
        <v>494</v>
      </c>
      <c r="D4369" s="125" t="s">
        <v>454</v>
      </c>
      <c r="E4369" s="125" t="s">
        <v>464</v>
      </c>
      <c r="F4369" s="126">
        <v>41631.0</v>
      </c>
      <c r="G4369" s="127">
        <v>1.04E8</v>
      </c>
      <c r="H4369" s="126">
        <v>41662.0</v>
      </c>
      <c r="I4369" s="128">
        <v>215.0</v>
      </c>
      <c r="J4369" s="128">
        <v>9.33</v>
      </c>
      <c r="K4369" s="128">
        <v>6.92</v>
      </c>
      <c r="L4369" s="128">
        <v>2005.95</v>
      </c>
      <c r="M4369" s="128">
        <v>1487.8</v>
      </c>
      <c r="N4369" s="128">
        <v>518.15</v>
      </c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</row>
    <row r="4370">
      <c r="A4370" s="125" t="s">
        <v>475</v>
      </c>
      <c r="B4370" s="125" t="s">
        <v>476</v>
      </c>
      <c r="C4370" s="125" t="s">
        <v>514</v>
      </c>
      <c r="D4370" s="125" t="s">
        <v>454</v>
      </c>
      <c r="E4370" s="125" t="s">
        <v>284</v>
      </c>
      <c r="F4370" s="126">
        <v>41344.0</v>
      </c>
      <c r="G4370" s="127">
        <v>2.53E8</v>
      </c>
      <c r="H4370" s="126">
        <v>41347.0</v>
      </c>
      <c r="I4370" s="128">
        <v>3802.0</v>
      </c>
      <c r="J4370" s="128">
        <v>668.27</v>
      </c>
      <c r="K4370" s="128">
        <v>502.54</v>
      </c>
      <c r="L4370" s="128">
        <v>2540763.0</v>
      </c>
      <c r="M4370" s="128">
        <v>1910657.0</v>
      </c>
      <c r="N4370" s="128">
        <v>630105.5</v>
      </c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</row>
    <row r="4371">
      <c r="A4371" s="125" t="s">
        <v>461</v>
      </c>
      <c r="B4371" s="125" t="s">
        <v>516</v>
      </c>
      <c r="C4371" s="125" t="s">
        <v>468</v>
      </c>
      <c r="D4371" s="125" t="s">
        <v>454</v>
      </c>
      <c r="E4371" s="125" t="s">
        <v>189</v>
      </c>
      <c r="F4371" s="126">
        <v>40779.0</v>
      </c>
      <c r="G4371" s="127">
        <v>9.12E8</v>
      </c>
      <c r="H4371" s="126">
        <v>40779.0</v>
      </c>
      <c r="I4371" s="128">
        <v>6262.0</v>
      </c>
      <c r="J4371" s="128">
        <v>81.73</v>
      </c>
      <c r="K4371" s="128">
        <v>56.67</v>
      </c>
      <c r="L4371" s="128">
        <v>511793.3</v>
      </c>
      <c r="M4371" s="128">
        <v>354867.5</v>
      </c>
      <c r="N4371" s="128">
        <v>156925.7</v>
      </c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</row>
    <row r="4372">
      <c r="A4372" s="125" t="s">
        <v>451</v>
      </c>
      <c r="B4372" s="125" t="s">
        <v>482</v>
      </c>
      <c r="C4372" s="125" t="s">
        <v>485</v>
      </c>
      <c r="D4372" s="125" t="s">
        <v>454</v>
      </c>
      <c r="E4372" s="125" t="s">
        <v>472</v>
      </c>
      <c r="F4372" s="126">
        <v>42373.0</v>
      </c>
      <c r="G4372" s="127">
        <v>1.53E8</v>
      </c>
      <c r="H4372" s="126">
        <v>42392.0</v>
      </c>
      <c r="I4372" s="128">
        <v>4631.0</v>
      </c>
      <c r="J4372" s="128">
        <v>421.89</v>
      </c>
      <c r="K4372" s="128">
        <v>364.69</v>
      </c>
      <c r="L4372" s="128">
        <v>1953773.0</v>
      </c>
      <c r="M4372" s="128">
        <v>1688879.0</v>
      </c>
      <c r="N4372" s="128">
        <v>264893.2</v>
      </c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</row>
    <row r="4373">
      <c r="A4373" s="125" t="s">
        <v>475</v>
      </c>
      <c r="B4373" s="125" t="s">
        <v>562</v>
      </c>
      <c r="C4373" s="125" t="s">
        <v>463</v>
      </c>
      <c r="D4373" s="125" t="s">
        <v>454</v>
      </c>
      <c r="E4373" s="125" t="s">
        <v>189</v>
      </c>
      <c r="F4373" s="126">
        <v>42039.0</v>
      </c>
      <c r="G4373" s="127">
        <v>6.14E8</v>
      </c>
      <c r="H4373" s="126">
        <v>42084.0</v>
      </c>
      <c r="I4373" s="128">
        <v>2977.0</v>
      </c>
      <c r="J4373" s="128">
        <v>205.7</v>
      </c>
      <c r="K4373" s="128">
        <v>117.11</v>
      </c>
      <c r="L4373" s="128">
        <v>612368.9</v>
      </c>
      <c r="M4373" s="128">
        <v>348636.5</v>
      </c>
      <c r="N4373" s="128">
        <v>263732.4</v>
      </c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</row>
    <row r="4374">
      <c r="A4374" s="125" t="s">
        <v>451</v>
      </c>
      <c r="B4374" s="125" t="s">
        <v>490</v>
      </c>
      <c r="C4374" s="125" t="s">
        <v>514</v>
      </c>
      <c r="D4374" s="125" t="s">
        <v>457</v>
      </c>
      <c r="E4374" s="125" t="s">
        <v>284</v>
      </c>
      <c r="F4374" s="126">
        <v>41609.0</v>
      </c>
      <c r="G4374" s="127">
        <v>9.59E8</v>
      </c>
      <c r="H4374" s="126">
        <v>41634.0</v>
      </c>
      <c r="I4374" s="128">
        <v>7397.0</v>
      </c>
      <c r="J4374" s="128">
        <v>668.27</v>
      </c>
      <c r="K4374" s="128">
        <v>502.54</v>
      </c>
      <c r="L4374" s="128">
        <v>4943193.0</v>
      </c>
      <c r="M4374" s="128">
        <v>3717288.0</v>
      </c>
      <c r="N4374" s="128">
        <v>1225905.0</v>
      </c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</row>
    <row r="4375">
      <c r="A4375" s="125" t="s">
        <v>461</v>
      </c>
      <c r="B4375" s="125" t="s">
        <v>542</v>
      </c>
      <c r="C4375" s="125" t="s">
        <v>514</v>
      </c>
      <c r="D4375" s="125" t="s">
        <v>457</v>
      </c>
      <c r="E4375" s="125" t="s">
        <v>472</v>
      </c>
      <c r="F4375" s="126">
        <v>41922.0</v>
      </c>
      <c r="G4375" s="127">
        <v>8.17E8</v>
      </c>
      <c r="H4375" s="126">
        <v>41969.0</v>
      </c>
      <c r="I4375" s="128">
        <v>1022.0</v>
      </c>
      <c r="J4375" s="128">
        <v>668.27</v>
      </c>
      <c r="K4375" s="128">
        <v>502.54</v>
      </c>
      <c r="L4375" s="128">
        <v>682971.9</v>
      </c>
      <c r="M4375" s="128">
        <v>513595.9</v>
      </c>
      <c r="N4375" s="128">
        <v>169376.1</v>
      </c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</row>
    <row r="4376">
      <c r="A4376" s="125" t="s">
        <v>451</v>
      </c>
      <c r="B4376" s="125" t="s">
        <v>497</v>
      </c>
      <c r="C4376" s="125" t="s">
        <v>478</v>
      </c>
      <c r="D4376" s="125" t="s">
        <v>454</v>
      </c>
      <c r="E4376" s="125" t="s">
        <v>464</v>
      </c>
      <c r="F4376" s="126">
        <v>41440.0</v>
      </c>
      <c r="G4376" s="127">
        <v>3.41E8</v>
      </c>
      <c r="H4376" s="126">
        <v>41448.0</v>
      </c>
      <c r="I4376" s="128">
        <v>9014.0</v>
      </c>
      <c r="J4376" s="128">
        <v>651.21</v>
      </c>
      <c r="K4376" s="128">
        <v>524.96</v>
      </c>
      <c r="L4376" s="128">
        <v>5870007.0</v>
      </c>
      <c r="M4376" s="128">
        <v>4731989.0</v>
      </c>
      <c r="N4376" s="128">
        <v>1138018.0</v>
      </c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</row>
    <row r="4377">
      <c r="A4377" s="125" t="s">
        <v>461</v>
      </c>
      <c r="B4377" s="125" t="s">
        <v>638</v>
      </c>
      <c r="C4377" s="125" t="s">
        <v>480</v>
      </c>
      <c r="D4377" s="125" t="s">
        <v>457</v>
      </c>
      <c r="E4377" s="125" t="s">
        <v>284</v>
      </c>
      <c r="F4377" s="126">
        <v>40396.0</v>
      </c>
      <c r="G4377" s="127">
        <v>6.53E8</v>
      </c>
      <c r="H4377" s="126">
        <v>40446.0</v>
      </c>
      <c r="I4377" s="128">
        <v>3563.0</v>
      </c>
      <c r="J4377" s="128">
        <v>437.2</v>
      </c>
      <c r="K4377" s="128">
        <v>263.33</v>
      </c>
      <c r="L4377" s="128">
        <v>1557744.0</v>
      </c>
      <c r="M4377" s="128">
        <v>938244.8</v>
      </c>
      <c r="N4377" s="128">
        <v>619498.8</v>
      </c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</row>
    <row r="4378">
      <c r="A4378" s="125" t="s">
        <v>458</v>
      </c>
      <c r="B4378" s="125" t="s">
        <v>652</v>
      </c>
      <c r="C4378" s="125" t="s">
        <v>453</v>
      </c>
      <c r="D4378" s="125" t="s">
        <v>457</v>
      </c>
      <c r="E4378" s="125" t="s">
        <v>472</v>
      </c>
      <c r="F4378" s="126">
        <v>42178.0</v>
      </c>
      <c r="G4378" s="127">
        <v>6.94E8</v>
      </c>
      <c r="H4378" s="126">
        <v>42199.0</v>
      </c>
      <c r="I4378" s="128">
        <v>8895.0</v>
      </c>
      <c r="J4378" s="128">
        <v>255.28</v>
      </c>
      <c r="K4378" s="128">
        <v>159.42</v>
      </c>
      <c r="L4378" s="128">
        <v>2270716.0</v>
      </c>
      <c r="M4378" s="128">
        <v>1418041.0</v>
      </c>
      <c r="N4378" s="128">
        <v>852674.7</v>
      </c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</row>
    <row r="4379">
      <c r="A4379" s="125" t="s">
        <v>469</v>
      </c>
      <c r="B4379" s="125" t="s">
        <v>650</v>
      </c>
      <c r="C4379" s="125" t="s">
        <v>463</v>
      </c>
      <c r="D4379" s="125" t="s">
        <v>457</v>
      </c>
      <c r="E4379" s="125" t="s">
        <v>472</v>
      </c>
      <c r="F4379" s="126">
        <v>40884.0</v>
      </c>
      <c r="G4379" s="127">
        <v>3.77E8</v>
      </c>
      <c r="H4379" s="126">
        <v>40896.0</v>
      </c>
      <c r="I4379" s="128">
        <v>6264.0</v>
      </c>
      <c r="J4379" s="128">
        <v>205.7</v>
      </c>
      <c r="K4379" s="128">
        <v>117.11</v>
      </c>
      <c r="L4379" s="128">
        <v>1288505.0</v>
      </c>
      <c r="M4379" s="128">
        <v>733577.0</v>
      </c>
      <c r="N4379" s="128">
        <v>554927.8</v>
      </c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</row>
    <row r="4380">
      <c r="A4380" s="125" t="s">
        <v>451</v>
      </c>
      <c r="B4380" s="125" t="s">
        <v>609</v>
      </c>
      <c r="C4380" s="125" t="s">
        <v>506</v>
      </c>
      <c r="D4380" s="125" t="s">
        <v>454</v>
      </c>
      <c r="E4380" s="125" t="s">
        <v>472</v>
      </c>
      <c r="F4380" s="126">
        <v>42063.0</v>
      </c>
      <c r="G4380" s="127">
        <v>1.36E8</v>
      </c>
      <c r="H4380" s="126">
        <v>42089.0</v>
      </c>
      <c r="I4380" s="128">
        <v>8955.0</v>
      </c>
      <c r="J4380" s="128">
        <v>154.06</v>
      </c>
      <c r="K4380" s="128">
        <v>90.93</v>
      </c>
      <c r="L4380" s="128">
        <v>1379607.0</v>
      </c>
      <c r="M4380" s="128">
        <v>814278.2</v>
      </c>
      <c r="N4380" s="128">
        <v>565329.2</v>
      </c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</row>
    <row r="4381">
      <c r="A4381" s="125" t="s">
        <v>461</v>
      </c>
      <c r="B4381" s="125" t="s">
        <v>611</v>
      </c>
      <c r="C4381" s="125" t="s">
        <v>471</v>
      </c>
      <c r="D4381" s="125" t="s">
        <v>457</v>
      </c>
      <c r="E4381" s="125" t="s">
        <v>464</v>
      </c>
      <c r="F4381" s="126">
        <v>41972.0</v>
      </c>
      <c r="G4381" s="127">
        <v>4.72E8</v>
      </c>
      <c r="H4381" s="126">
        <v>41975.0</v>
      </c>
      <c r="I4381" s="128">
        <v>7287.0</v>
      </c>
      <c r="J4381" s="128">
        <v>109.28</v>
      </c>
      <c r="K4381" s="128">
        <v>35.84</v>
      </c>
      <c r="L4381" s="128">
        <v>796323.4</v>
      </c>
      <c r="M4381" s="128">
        <v>261166.1</v>
      </c>
      <c r="N4381" s="128">
        <v>535157.3</v>
      </c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</row>
    <row r="4382">
      <c r="A4382" s="125" t="s">
        <v>451</v>
      </c>
      <c r="B4382" s="125" t="s">
        <v>523</v>
      </c>
      <c r="C4382" s="125" t="s">
        <v>463</v>
      </c>
      <c r="D4382" s="125" t="s">
        <v>454</v>
      </c>
      <c r="E4382" s="125" t="s">
        <v>464</v>
      </c>
      <c r="F4382" s="126">
        <v>42791.0</v>
      </c>
      <c r="G4382" s="127">
        <v>6.11E8</v>
      </c>
      <c r="H4382" s="126">
        <v>42840.0</v>
      </c>
      <c r="I4382" s="128">
        <v>3608.0</v>
      </c>
      <c r="J4382" s="128">
        <v>205.7</v>
      </c>
      <c r="K4382" s="128">
        <v>117.11</v>
      </c>
      <c r="L4382" s="128">
        <v>742165.6</v>
      </c>
      <c r="M4382" s="128">
        <v>422532.9</v>
      </c>
      <c r="N4382" s="128">
        <v>319632.7</v>
      </c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</row>
    <row r="4383">
      <c r="A4383" s="125" t="s">
        <v>461</v>
      </c>
      <c r="B4383" s="125" t="s">
        <v>510</v>
      </c>
      <c r="C4383" s="125" t="s">
        <v>480</v>
      </c>
      <c r="D4383" s="125" t="s">
        <v>457</v>
      </c>
      <c r="E4383" s="125" t="s">
        <v>284</v>
      </c>
      <c r="F4383" s="126">
        <v>42936.0</v>
      </c>
      <c r="G4383" s="127">
        <v>7.45E8</v>
      </c>
      <c r="H4383" s="126">
        <v>42941.0</v>
      </c>
      <c r="I4383" s="128">
        <v>7298.0</v>
      </c>
      <c r="J4383" s="128">
        <v>437.2</v>
      </c>
      <c r="K4383" s="128">
        <v>263.33</v>
      </c>
      <c r="L4383" s="128">
        <v>3190686.0</v>
      </c>
      <c r="M4383" s="128">
        <v>1921782.0</v>
      </c>
      <c r="N4383" s="128">
        <v>1268903.0</v>
      </c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</row>
    <row r="4384">
      <c r="A4384" s="125" t="s">
        <v>466</v>
      </c>
      <c r="B4384" s="125" t="s">
        <v>598</v>
      </c>
      <c r="C4384" s="125" t="s">
        <v>468</v>
      </c>
      <c r="D4384" s="125" t="s">
        <v>457</v>
      </c>
      <c r="E4384" s="125" t="s">
        <v>189</v>
      </c>
      <c r="F4384" s="126">
        <v>41217.0</v>
      </c>
      <c r="G4384" s="127">
        <v>6.89E8</v>
      </c>
      <c r="H4384" s="126">
        <v>41246.0</v>
      </c>
      <c r="I4384" s="128">
        <v>9768.0</v>
      </c>
      <c r="J4384" s="128">
        <v>81.73</v>
      </c>
      <c r="K4384" s="128">
        <v>56.67</v>
      </c>
      <c r="L4384" s="128">
        <v>798338.6</v>
      </c>
      <c r="M4384" s="128">
        <v>553552.6</v>
      </c>
      <c r="N4384" s="128">
        <v>244786.1</v>
      </c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</row>
    <row r="4385">
      <c r="A4385" s="125" t="s">
        <v>469</v>
      </c>
      <c r="B4385" s="125" t="s">
        <v>647</v>
      </c>
      <c r="C4385" s="125" t="s">
        <v>463</v>
      </c>
      <c r="D4385" s="125" t="s">
        <v>454</v>
      </c>
      <c r="E4385" s="125" t="s">
        <v>464</v>
      </c>
      <c r="F4385" s="126">
        <v>40978.0</v>
      </c>
      <c r="G4385" s="127">
        <v>3.27E8</v>
      </c>
      <c r="H4385" s="126">
        <v>40991.0</v>
      </c>
      <c r="I4385" s="128">
        <v>9461.0</v>
      </c>
      <c r="J4385" s="128">
        <v>205.7</v>
      </c>
      <c r="K4385" s="128">
        <v>117.11</v>
      </c>
      <c r="L4385" s="128">
        <v>1946128.0</v>
      </c>
      <c r="M4385" s="128">
        <v>1107978.0</v>
      </c>
      <c r="N4385" s="128">
        <v>838150.0</v>
      </c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</row>
    <row r="4386">
      <c r="A4386" s="125" t="s">
        <v>458</v>
      </c>
      <c r="B4386" s="125" t="s">
        <v>613</v>
      </c>
      <c r="C4386" s="125" t="s">
        <v>463</v>
      </c>
      <c r="D4386" s="125" t="s">
        <v>454</v>
      </c>
      <c r="E4386" s="125" t="s">
        <v>284</v>
      </c>
      <c r="F4386" s="126">
        <v>40422.0</v>
      </c>
      <c r="G4386" s="127">
        <v>9.63E8</v>
      </c>
      <c r="H4386" s="126">
        <v>40439.0</v>
      </c>
      <c r="I4386" s="128">
        <v>6850.0</v>
      </c>
      <c r="J4386" s="128">
        <v>205.7</v>
      </c>
      <c r="K4386" s="128">
        <v>117.11</v>
      </c>
      <c r="L4386" s="128">
        <v>1409045.0</v>
      </c>
      <c r="M4386" s="128">
        <v>802203.5</v>
      </c>
      <c r="N4386" s="128">
        <v>606841.5</v>
      </c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</row>
    <row r="4387">
      <c r="A4387" s="125" t="s">
        <v>475</v>
      </c>
      <c r="B4387" s="125" t="s">
        <v>571</v>
      </c>
      <c r="C4387" s="125" t="s">
        <v>463</v>
      </c>
      <c r="D4387" s="125" t="s">
        <v>457</v>
      </c>
      <c r="E4387" s="125" t="s">
        <v>284</v>
      </c>
      <c r="F4387" s="126">
        <v>42288.0</v>
      </c>
      <c r="G4387" s="127">
        <v>3.74E8</v>
      </c>
      <c r="H4387" s="126">
        <v>42323.0</v>
      </c>
      <c r="I4387" s="128">
        <v>9439.0</v>
      </c>
      <c r="J4387" s="128">
        <v>205.7</v>
      </c>
      <c r="K4387" s="128">
        <v>117.11</v>
      </c>
      <c r="L4387" s="128">
        <v>1941602.0</v>
      </c>
      <c r="M4387" s="128">
        <v>1105401.0</v>
      </c>
      <c r="N4387" s="128">
        <v>836201.0</v>
      </c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</row>
    <row r="4388">
      <c r="A4388" s="125" t="s">
        <v>451</v>
      </c>
      <c r="B4388" s="125" t="s">
        <v>592</v>
      </c>
      <c r="C4388" s="125" t="s">
        <v>506</v>
      </c>
      <c r="D4388" s="125" t="s">
        <v>454</v>
      </c>
      <c r="E4388" s="125" t="s">
        <v>464</v>
      </c>
      <c r="F4388" s="126">
        <v>41409.0</v>
      </c>
      <c r="G4388" s="127">
        <v>4.54E8</v>
      </c>
      <c r="H4388" s="126">
        <v>41435.0</v>
      </c>
      <c r="I4388" s="128">
        <v>6766.0</v>
      </c>
      <c r="J4388" s="128">
        <v>154.06</v>
      </c>
      <c r="K4388" s="128">
        <v>90.93</v>
      </c>
      <c r="L4388" s="128">
        <v>1042370.0</v>
      </c>
      <c r="M4388" s="128">
        <v>615232.4</v>
      </c>
      <c r="N4388" s="128">
        <v>427137.6</v>
      </c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</row>
    <row r="4389">
      <c r="A4389" s="125" t="s">
        <v>458</v>
      </c>
      <c r="B4389" s="125" t="s">
        <v>486</v>
      </c>
      <c r="C4389" s="125" t="s">
        <v>506</v>
      </c>
      <c r="D4389" s="125" t="s">
        <v>457</v>
      </c>
      <c r="E4389" s="125" t="s">
        <v>189</v>
      </c>
      <c r="F4389" s="126">
        <v>42686.0</v>
      </c>
      <c r="G4389" s="127">
        <v>4.68E8</v>
      </c>
      <c r="H4389" s="126">
        <v>42725.0</v>
      </c>
      <c r="I4389" s="128">
        <v>5397.0</v>
      </c>
      <c r="J4389" s="128">
        <v>154.06</v>
      </c>
      <c r="K4389" s="128">
        <v>90.93</v>
      </c>
      <c r="L4389" s="128">
        <v>831461.8</v>
      </c>
      <c r="M4389" s="128">
        <v>490749.2</v>
      </c>
      <c r="N4389" s="128">
        <v>340712.6</v>
      </c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</row>
    <row r="4390">
      <c r="A4390" s="125" t="s">
        <v>458</v>
      </c>
      <c r="B4390" s="125" t="s">
        <v>627</v>
      </c>
      <c r="C4390" s="125" t="s">
        <v>463</v>
      </c>
      <c r="D4390" s="125" t="s">
        <v>454</v>
      </c>
      <c r="E4390" s="125" t="s">
        <v>189</v>
      </c>
      <c r="F4390" s="126">
        <v>40344.0</v>
      </c>
      <c r="G4390" s="127">
        <v>2.04E8</v>
      </c>
      <c r="H4390" s="126">
        <v>40377.0</v>
      </c>
      <c r="I4390" s="128">
        <v>3931.0</v>
      </c>
      <c r="J4390" s="128">
        <v>205.7</v>
      </c>
      <c r="K4390" s="128">
        <v>117.11</v>
      </c>
      <c r="L4390" s="128">
        <v>808606.7</v>
      </c>
      <c r="M4390" s="128">
        <v>460359.4</v>
      </c>
      <c r="N4390" s="128">
        <v>348247.3</v>
      </c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</row>
    <row r="4391">
      <c r="A4391" s="125" t="s">
        <v>475</v>
      </c>
      <c r="B4391" s="125" t="s">
        <v>536</v>
      </c>
      <c r="C4391" s="125" t="s">
        <v>453</v>
      </c>
      <c r="D4391" s="125" t="s">
        <v>457</v>
      </c>
      <c r="E4391" s="125" t="s">
        <v>284</v>
      </c>
      <c r="F4391" s="126">
        <v>41447.0</v>
      </c>
      <c r="G4391" s="127">
        <v>4.17E8</v>
      </c>
      <c r="H4391" s="126">
        <v>41454.0</v>
      </c>
      <c r="I4391" s="128">
        <v>7998.0</v>
      </c>
      <c r="J4391" s="128">
        <v>255.28</v>
      </c>
      <c r="K4391" s="128">
        <v>159.42</v>
      </c>
      <c r="L4391" s="128">
        <v>2041729.0</v>
      </c>
      <c r="M4391" s="128">
        <v>1275041.0</v>
      </c>
      <c r="N4391" s="128">
        <v>766688.3</v>
      </c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</row>
    <row r="4392">
      <c r="A4392" s="125" t="s">
        <v>458</v>
      </c>
      <c r="B4392" s="125" t="s">
        <v>597</v>
      </c>
      <c r="C4392" s="125" t="s">
        <v>456</v>
      </c>
      <c r="D4392" s="125" t="s">
        <v>457</v>
      </c>
      <c r="E4392" s="125" t="s">
        <v>472</v>
      </c>
      <c r="F4392" s="126">
        <v>42380.0</v>
      </c>
      <c r="G4392" s="127">
        <v>5.83E8</v>
      </c>
      <c r="H4392" s="126">
        <v>42405.0</v>
      </c>
      <c r="I4392" s="128">
        <v>5260.0</v>
      </c>
      <c r="J4392" s="128">
        <v>152.58</v>
      </c>
      <c r="K4392" s="128">
        <v>97.44</v>
      </c>
      <c r="L4392" s="128">
        <v>802570.8</v>
      </c>
      <c r="M4392" s="128">
        <v>512534.4</v>
      </c>
      <c r="N4392" s="128">
        <v>290036.4</v>
      </c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</row>
    <row r="4393">
      <c r="A4393" s="125" t="s">
        <v>458</v>
      </c>
      <c r="B4393" s="125" t="s">
        <v>505</v>
      </c>
      <c r="C4393" s="125" t="s">
        <v>471</v>
      </c>
      <c r="D4393" s="125" t="s">
        <v>454</v>
      </c>
      <c r="E4393" s="125" t="s">
        <v>189</v>
      </c>
      <c r="F4393" s="126">
        <v>41304.0</v>
      </c>
      <c r="G4393" s="127">
        <v>2.51E8</v>
      </c>
      <c r="H4393" s="126">
        <v>41340.0</v>
      </c>
      <c r="I4393" s="128">
        <v>407.0</v>
      </c>
      <c r="J4393" s="128">
        <v>109.28</v>
      </c>
      <c r="K4393" s="128">
        <v>35.84</v>
      </c>
      <c r="L4393" s="128">
        <v>44476.96</v>
      </c>
      <c r="M4393" s="128">
        <v>14586.88</v>
      </c>
      <c r="N4393" s="128">
        <v>29890.08</v>
      </c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</row>
    <row r="4394">
      <c r="A4394" s="125" t="s">
        <v>475</v>
      </c>
      <c r="B4394" s="125" t="s">
        <v>548</v>
      </c>
      <c r="C4394" s="125" t="s">
        <v>485</v>
      </c>
      <c r="D4394" s="125" t="s">
        <v>454</v>
      </c>
      <c r="E4394" s="125" t="s">
        <v>189</v>
      </c>
      <c r="F4394" s="126">
        <v>42299.0</v>
      </c>
      <c r="G4394" s="127">
        <v>3.86E8</v>
      </c>
      <c r="H4394" s="126">
        <v>42302.0</v>
      </c>
      <c r="I4394" s="128">
        <v>165.0</v>
      </c>
      <c r="J4394" s="128">
        <v>421.89</v>
      </c>
      <c r="K4394" s="128">
        <v>364.69</v>
      </c>
      <c r="L4394" s="128">
        <v>69611.85</v>
      </c>
      <c r="M4394" s="128">
        <v>60173.85</v>
      </c>
      <c r="N4394" s="128">
        <v>9438.0</v>
      </c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</row>
    <row r="4395">
      <c r="A4395" s="125" t="s">
        <v>466</v>
      </c>
      <c r="B4395" s="125" t="s">
        <v>658</v>
      </c>
      <c r="C4395" s="125" t="s">
        <v>480</v>
      </c>
      <c r="D4395" s="125" t="s">
        <v>454</v>
      </c>
      <c r="E4395" s="125" t="s">
        <v>472</v>
      </c>
      <c r="F4395" s="126">
        <v>42918.0</v>
      </c>
      <c r="G4395" s="127">
        <v>2.27E8</v>
      </c>
      <c r="H4395" s="126">
        <v>42949.0</v>
      </c>
      <c r="I4395" s="128">
        <v>8288.0</v>
      </c>
      <c r="J4395" s="128">
        <v>437.2</v>
      </c>
      <c r="K4395" s="128">
        <v>263.33</v>
      </c>
      <c r="L4395" s="128">
        <v>3623514.0</v>
      </c>
      <c r="M4395" s="128">
        <v>2182479.0</v>
      </c>
      <c r="N4395" s="128">
        <v>1441035.0</v>
      </c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</row>
    <row r="4396">
      <c r="A4396" s="125" t="s">
        <v>469</v>
      </c>
      <c r="B4396" s="125" t="s">
        <v>630</v>
      </c>
      <c r="C4396" s="125" t="s">
        <v>494</v>
      </c>
      <c r="D4396" s="125" t="s">
        <v>457</v>
      </c>
      <c r="E4396" s="125" t="s">
        <v>189</v>
      </c>
      <c r="F4396" s="126">
        <v>41104.0</v>
      </c>
      <c r="G4396" s="127">
        <v>4.31E8</v>
      </c>
      <c r="H4396" s="126">
        <v>41137.0</v>
      </c>
      <c r="I4396" s="128">
        <v>562.0</v>
      </c>
      <c r="J4396" s="128">
        <v>9.33</v>
      </c>
      <c r="K4396" s="128">
        <v>6.92</v>
      </c>
      <c r="L4396" s="128">
        <v>5243.46</v>
      </c>
      <c r="M4396" s="128">
        <v>3889.04</v>
      </c>
      <c r="N4396" s="128">
        <v>1354.42</v>
      </c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</row>
    <row r="4397">
      <c r="A4397" s="125" t="s">
        <v>475</v>
      </c>
      <c r="B4397" s="125" t="s">
        <v>476</v>
      </c>
      <c r="C4397" s="125" t="s">
        <v>485</v>
      </c>
      <c r="D4397" s="125" t="s">
        <v>457</v>
      </c>
      <c r="E4397" s="125" t="s">
        <v>464</v>
      </c>
      <c r="F4397" s="126">
        <v>42106.0</v>
      </c>
      <c r="G4397" s="127">
        <v>8.27E8</v>
      </c>
      <c r="H4397" s="126">
        <v>42119.0</v>
      </c>
      <c r="I4397" s="128">
        <v>9805.0</v>
      </c>
      <c r="J4397" s="128">
        <v>421.89</v>
      </c>
      <c r="K4397" s="128">
        <v>364.69</v>
      </c>
      <c r="L4397" s="128">
        <v>4136631.0</v>
      </c>
      <c r="M4397" s="128">
        <v>3575785.0</v>
      </c>
      <c r="N4397" s="128">
        <v>560846.0</v>
      </c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</row>
    <row r="4398">
      <c r="A4398" s="125" t="s">
        <v>458</v>
      </c>
      <c r="B4398" s="125" t="s">
        <v>594</v>
      </c>
      <c r="C4398" s="125" t="s">
        <v>485</v>
      </c>
      <c r="D4398" s="125" t="s">
        <v>454</v>
      </c>
      <c r="E4398" s="125" t="s">
        <v>284</v>
      </c>
      <c r="F4398" s="126">
        <v>40494.0</v>
      </c>
      <c r="G4398" s="127">
        <v>8.63E8</v>
      </c>
      <c r="H4398" s="126">
        <v>40533.0</v>
      </c>
      <c r="I4398" s="128">
        <v>865.0</v>
      </c>
      <c r="J4398" s="128">
        <v>421.89</v>
      </c>
      <c r="K4398" s="128">
        <v>364.69</v>
      </c>
      <c r="L4398" s="128">
        <v>364934.9</v>
      </c>
      <c r="M4398" s="128">
        <v>315456.9</v>
      </c>
      <c r="N4398" s="128">
        <v>49478.0</v>
      </c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</row>
    <row r="4399">
      <c r="A4399" s="125" t="s">
        <v>451</v>
      </c>
      <c r="B4399" s="125" t="s">
        <v>523</v>
      </c>
      <c r="C4399" s="125" t="s">
        <v>456</v>
      </c>
      <c r="D4399" s="125" t="s">
        <v>457</v>
      </c>
      <c r="E4399" s="125" t="s">
        <v>464</v>
      </c>
      <c r="F4399" s="126">
        <v>40910.0</v>
      </c>
      <c r="G4399" s="127">
        <v>9.58E8</v>
      </c>
      <c r="H4399" s="126">
        <v>40924.0</v>
      </c>
      <c r="I4399" s="128">
        <v>5622.0</v>
      </c>
      <c r="J4399" s="128">
        <v>152.58</v>
      </c>
      <c r="K4399" s="128">
        <v>97.44</v>
      </c>
      <c r="L4399" s="128">
        <v>857804.8</v>
      </c>
      <c r="M4399" s="128">
        <v>547807.7</v>
      </c>
      <c r="N4399" s="128">
        <v>309997.1</v>
      </c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</row>
    <row r="4400">
      <c r="A4400" s="125" t="s">
        <v>451</v>
      </c>
      <c r="B4400" s="125" t="s">
        <v>609</v>
      </c>
      <c r="C4400" s="125" t="s">
        <v>471</v>
      </c>
      <c r="D4400" s="125" t="s">
        <v>457</v>
      </c>
      <c r="E4400" s="125" t="s">
        <v>464</v>
      </c>
      <c r="F4400" s="126">
        <v>42855.0</v>
      </c>
      <c r="G4400" s="127">
        <v>2.51E8</v>
      </c>
      <c r="H4400" s="126">
        <v>42863.0</v>
      </c>
      <c r="I4400" s="128">
        <v>7987.0</v>
      </c>
      <c r="J4400" s="128">
        <v>109.28</v>
      </c>
      <c r="K4400" s="128">
        <v>35.84</v>
      </c>
      <c r="L4400" s="128">
        <v>872819.4</v>
      </c>
      <c r="M4400" s="128">
        <v>286254.1</v>
      </c>
      <c r="N4400" s="128">
        <v>586565.3</v>
      </c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</row>
    <row r="4401">
      <c r="A4401" s="125" t="s">
        <v>475</v>
      </c>
      <c r="B4401" s="125" t="s">
        <v>656</v>
      </c>
      <c r="C4401" s="125" t="s">
        <v>456</v>
      </c>
      <c r="D4401" s="125" t="s">
        <v>454</v>
      </c>
      <c r="E4401" s="125" t="s">
        <v>472</v>
      </c>
      <c r="F4401" s="126">
        <v>42065.0</v>
      </c>
      <c r="G4401" s="127">
        <v>6.51E8</v>
      </c>
      <c r="H4401" s="126">
        <v>42094.0</v>
      </c>
      <c r="I4401" s="128">
        <v>8903.0</v>
      </c>
      <c r="J4401" s="128">
        <v>152.58</v>
      </c>
      <c r="K4401" s="128">
        <v>97.44</v>
      </c>
      <c r="L4401" s="128">
        <v>1358420.0</v>
      </c>
      <c r="M4401" s="128">
        <v>867508.3</v>
      </c>
      <c r="N4401" s="128">
        <v>490911.4</v>
      </c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</row>
    <row r="4402">
      <c r="A4402" s="125" t="s">
        <v>461</v>
      </c>
      <c r="B4402" s="125" t="s">
        <v>611</v>
      </c>
      <c r="C4402" s="125" t="s">
        <v>494</v>
      </c>
      <c r="D4402" s="125" t="s">
        <v>457</v>
      </c>
      <c r="E4402" s="125" t="s">
        <v>472</v>
      </c>
      <c r="F4402" s="126">
        <v>40202.0</v>
      </c>
      <c r="G4402" s="127">
        <v>9.88E8</v>
      </c>
      <c r="H4402" s="126">
        <v>40247.0</v>
      </c>
      <c r="I4402" s="128">
        <v>1342.0</v>
      </c>
      <c r="J4402" s="128">
        <v>9.33</v>
      </c>
      <c r="K4402" s="128">
        <v>6.92</v>
      </c>
      <c r="L4402" s="128">
        <v>12520.86</v>
      </c>
      <c r="M4402" s="128">
        <v>9286.64</v>
      </c>
      <c r="N4402" s="128">
        <v>3234.22</v>
      </c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</row>
    <row r="4403">
      <c r="A4403" s="125" t="s">
        <v>466</v>
      </c>
      <c r="B4403" s="125" t="s">
        <v>508</v>
      </c>
      <c r="C4403" s="125" t="s">
        <v>480</v>
      </c>
      <c r="D4403" s="125" t="s">
        <v>454</v>
      </c>
      <c r="E4403" s="125" t="s">
        <v>472</v>
      </c>
      <c r="F4403" s="126">
        <v>40697.0</v>
      </c>
      <c r="G4403" s="127">
        <v>1.62E8</v>
      </c>
      <c r="H4403" s="126">
        <v>40711.0</v>
      </c>
      <c r="I4403" s="128">
        <v>5311.0</v>
      </c>
      <c r="J4403" s="128">
        <v>437.2</v>
      </c>
      <c r="K4403" s="128">
        <v>263.33</v>
      </c>
      <c r="L4403" s="128">
        <v>2321969.0</v>
      </c>
      <c r="M4403" s="128">
        <v>1398546.0</v>
      </c>
      <c r="N4403" s="128">
        <v>923423.6</v>
      </c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</row>
    <row r="4404">
      <c r="A4404" s="125" t="s">
        <v>475</v>
      </c>
      <c r="B4404" s="125" t="s">
        <v>585</v>
      </c>
      <c r="C4404" s="125" t="s">
        <v>471</v>
      </c>
      <c r="D4404" s="125" t="s">
        <v>457</v>
      </c>
      <c r="E4404" s="125" t="s">
        <v>472</v>
      </c>
      <c r="F4404" s="126">
        <v>41839.0</v>
      </c>
      <c r="G4404" s="127">
        <v>2.94E8</v>
      </c>
      <c r="H4404" s="126">
        <v>41848.0</v>
      </c>
      <c r="I4404" s="128">
        <v>2845.0</v>
      </c>
      <c r="J4404" s="128">
        <v>109.28</v>
      </c>
      <c r="K4404" s="128">
        <v>35.84</v>
      </c>
      <c r="L4404" s="128">
        <v>310901.6</v>
      </c>
      <c r="M4404" s="128">
        <v>101964.8</v>
      </c>
      <c r="N4404" s="128">
        <v>208936.8</v>
      </c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</row>
    <row r="4405">
      <c r="A4405" s="125" t="s">
        <v>475</v>
      </c>
      <c r="B4405" s="125" t="s">
        <v>512</v>
      </c>
      <c r="C4405" s="125" t="s">
        <v>453</v>
      </c>
      <c r="D4405" s="125" t="s">
        <v>457</v>
      </c>
      <c r="E4405" s="125" t="s">
        <v>464</v>
      </c>
      <c r="F4405" s="126">
        <v>40923.0</v>
      </c>
      <c r="G4405" s="127">
        <v>8.74E8</v>
      </c>
      <c r="H4405" s="126">
        <v>40963.0</v>
      </c>
      <c r="I4405" s="128">
        <v>3012.0</v>
      </c>
      <c r="J4405" s="128">
        <v>255.28</v>
      </c>
      <c r="K4405" s="128">
        <v>159.42</v>
      </c>
      <c r="L4405" s="128">
        <v>768903.4</v>
      </c>
      <c r="M4405" s="128">
        <v>480173.0</v>
      </c>
      <c r="N4405" s="128">
        <v>288730.3</v>
      </c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</row>
    <row r="4406">
      <c r="A4406" s="125" t="s">
        <v>488</v>
      </c>
      <c r="B4406" s="125" t="s">
        <v>645</v>
      </c>
      <c r="C4406" s="125" t="s">
        <v>460</v>
      </c>
      <c r="D4406" s="125" t="s">
        <v>457</v>
      </c>
      <c r="E4406" s="125" t="s">
        <v>284</v>
      </c>
      <c r="F4406" s="126">
        <v>41165.0</v>
      </c>
      <c r="G4406" s="127">
        <v>1.13E8</v>
      </c>
      <c r="H4406" s="126">
        <v>41194.0</v>
      </c>
      <c r="I4406" s="128">
        <v>6910.0</v>
      </c>
      <c r="J4406" s="128">
        <v>47.45</v>
      </c>
      <c r="K4406" s="128">
        <v>31.79</v>
      </c>
      <c r="L4406" s="128">
        <v>327879.5</v>
      </c>
      <c r="M4406" s="128">
        <v>219668.9</v>
      </c>
      <c r="N4406" s="128">
        <v>108210.6</v>
      </c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</row>
    <row r="4407">
      <c r="A4407" s="125" t="s">
        <v>451</v>
      </c>
      <c r="B4407" s="125" t="s">
        <v>609</v>
      </c>
      <c r="C4407" s="125" t="s">
        <v>485</v>
      </c>
      <c r="D4407" s="125" t="s">
        <v>457</v>
      </c>
      <c r="E4407" s="125" t="s">
        <v>472</v>
      </c>
      <c r="F4407" s="126">
        <v>42019.0</v>
      </c>
      <c r="G4407" s="127">
        <v>7.93E8</v>
      </c>
      <c r="H4407" s="126">
        <v>42058.0</v>
      </c>
      <c r="I4407" s="128">
        <v>2669.0</v>
      </c>
      <c r="J4407" s="128">
        <v>421.89</v>
      </c>
      <c r="K4407" s="128">
        <v>364.69</v>
      </c>
      <c r="L4407" s="128">
        <v>1126024.0</v>
      </c>
      <c r="M4407" s="128">
        <v>973357.6</v>
      </c>
      <c r="N4407" s="128">
        <v>152666.8</v>
      </c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</row>
    <row r="4408">
      <c r="A4408" s="125" t="s">
        <v>469</v>
      </c>
      <c r="B4408" s="125" t="s">
        <v>520</v>
      </c>
      <c r="C4408" s="125" t="s">
        <v>494</v>
      </c>
      <c r="D4408" s="125" t="s">
        <v>457</v>
      </c>
      <c r="E4408" s="125" t="s">
        <v>284</v>
      </c>
      <c r="F4408" s="126">
        <v>40566.0</v>
      </c>
      <c r="G4408" s="127">
        <v>8.15E8</v>
      </c>
      <c r="H4408" s="126">
        <v>40609.0</v>
      </c>
      <c r="I4408" s="128">
        <v>451.0</v>
      </c>
      <c r="J4408" s="128">
        <v>9.33</v>
      </c>
      <c r="K4408" s="128">
        <v>6.92</v>
      </c>
      <c r="L4408" s="128">
        <v>4207.83</v>
      </c>
      <c r="M4408" s="128">
        <v>3120.92</v>
      </c>
      <c r="N4408" s="128">
        <v>1086.91</v>
      </c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</row>
    <row r="4409">
      <c r="A4409" s="125" t="s">
        <v>461</v>
      </c>
      <c r="B4409" s="125" t="s">
        <v>462</v>
      </c>
      <c r="C4409" s="125" t="s">
        <v>494</v>
      </c>
      <c r="D4409" s="125" t="s">
        <v>454</v>
      </c>
      <c r="E4409" s="125" t="s">
        <v>189</v>
      </c>
      <c r="F4409" s="126">
        <v>41187.0</v>
      </c>
      <c r="G4409" s="127">
        <v>8.51E8</v>
      </c>
      <c r="H4409" s="126">
        <v>41191.0</v>
      </c>
      <c r="I4409" s="128">
        <v>7447.0</v>
      </c>
      <c r="J4409" s="128">
        <v>9.33</v>
      </c>
      <c r="K4409" s="128">
        <v>6.92</v>
      </c>
      <c r="L4409" s="128">
        <v>69480.51</v>
      </c>
      <c r="M4409" s="128">
        <v>51533.24</v>
      </c>
      <c r="N4409" s="128">
        <v>17947.27</v>
      </c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</row>
    <row r="4410">
      <c r="A4410" s="125" t="s">
        <v>466</v>
      </c>
      <c r="B4410" s="125" t="s">
        <v>568</v>
      </c>
      <c r="C4410" s="125" t="s">
        <v>456</v>
      </c>
      <c r="D4410" s="125" t="s">
        <v>454</v>
      </c>
      <c r="E4410" s="125" t="s">
        <v>189</v>
      </c>
      <c r="F4410" s="126">
        <v>40356.0</v>
      </c>
      <c r="G4410" s="127">
        <v>2.93E8</v>
      </c>
      <c r="H4410" s="126">
        <v>40356.0</v>
      </c>
      <c r="I4410" s="128">
        <v>2881.0</v>
      </c>
      <c r="J4410" s="128">
        <v>152.58</v>
      </c>
      <c r="K4410" s="128">
        <v>97.44</v>
      </c>
      <c r="L4410" s="128">
        <v>439583.0</v>
      </c>
      <c r="M4410" s="128">
        <v>280724.6</v>
      </c>
      <c r="N4410" s="128">
        <v>158858.3</v>
      </c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</row>
    <row r="4411">
      <c r="A4411" s="125" t="s">
        <v>461</v>
      </c>
      <c r="B4411" s="125" t="s">
        <v>564</v>
      </c>
      <c r="C4411" s="125" t="s">
        <v>460</v>
      </c>
      <c r="D4411" s="125" t="s">
        <v>454</v>
      </c>
      <c r="E4411" s="125" t="s">
        <v>472</v>
      </c>
      <c r="F4411" s="126">
        <v>41851.0</v>
      </c>
      <c r="G4411" s="127">
        <v>4.04E8</v>
      </c>
      <c r="H4411" s="126">
        <v>41897.0</v>
      </c>
      <c r="I4411" s="128">
        <v>3008.0</v>
      </c>
      <c r="J4411" s="128">
        <v>47.45</v>
      </c>
      <c r="K4411" s="128">
        <v>31.79</v>
      </c>
      <c r="L4411" s="128">
        <v>142729.6</v>
      </c>
      <c r="M4411" s="128">
        <v>95624.32</v>
      </c>
      <c r="N4411" s="128">
        <v>47105.28</v>
      </c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</row>
    <row r="4412">
      <c r="A4412" s="125" t="s">
        <v>458</v>
      </c>
      <c r="B4412" s="125" t="s">
        <v>541</v>
      </c>
      <c r="C4412" s="125" t="s">
        <v>514</v>
      </c>
      <c r="D4412" s="125" t="s">
        <v>454</v>
      </c>
      <c r="E4412" s="125" t="s">
        <v>189</v>
      </c>
      <c r="F4412" s="126">
        <v>41540.0</v>
      </c>
      <c r="G4412" s="127">
        <v>2.67E8</v>
      </c>
      <c r="H4412" s="126">
        <v>41557.0</v>
      </c>
      <c r="I4412" s="128">
        <v>6115.0</v>
      </c>
      <c r="J4412" s="128">
        <v>668.27</v>
      </c>
      <c r="K4412" s="128">
        <v>502.54</v>
      </c>
      <c r="L4412" s="128">
        <v>4086471.0</v>
      </c>
      <c r="M4412" s="128">
        <v>3073032.0</v>
      </c>
      <c r="N4412" s="128">
        <v>1013439.0</v>
      </c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</row>
    <row r="4413">
      <c r="A4413" s="125" t="s">
        <v>458</v>
      </c>
      <c r="B4413" s="125" t="s">
        <v>626</v>
      </c>
      <c r="C4413" s="125" t="s">
        <v>514</v>
      </c>
      <c r="D4413" s="125" t="s">
        <v>457</v>
      </c>
      <c r="E4413" s="125" t="s">
        <v>464</v>
      </c>
      <c r="F4413" s="126">
        <v>42596.0</v>
      </c>
      <c r="G4413" s="127">
        <v>8.34E8</v>
      </c>
      <c r="H4413" s="126">
        <v>42627.0</v>
      </c>
      <c r="I4413" s="128">
        <v>7518.0</v>
      </c>
      <c r="J4413" s="128">
        <v>668.27</v>
      </c>
      <c r="K4413" s="128">
        <v>502.54</v>
      </c>
      <c r="L4413" s="128">
        <v>5024054.0</v>
      </c>
      <c r="M4413" s="128">
        <v>3778096.0</v>
      </c>
      <c r="N4413" s="128">
        <v>1245958.0</v>
      </c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</row>
    <row r="4414">
      <c r="A4414" s="125" t="s">
        <v>458</v>
      </c>
      <c r="B4414" s="125" t="s">
        <v>590</v>
      </c>
      <c r="C4414" s="125" t="s">
        <v>494</v>
      </c>
      <c r="D4414" s="125" t="s">
        <v>457</v>
      </c>
      <c r="E4414" s="125" t="s">
        <v>189</v>
      </c>
      <c r="F4414" s="126">
        <v>40282.0</v>
      </c>
      <c r="G4414" s="127">
        <v>8.8E8</v>
      </c>
      <c r="H4414" s="126">
        <v>40299.0</v>
      </c>
      <c r="I4414" s="128">
        <v>4567.0</v>
      </c>
      <c r="J4414" s="128">
        <v>9.33</v>
      </c>
      <c r="K4414" s="128">
        <v>6.92</v>
      </c>
      <c r="L4414" s="128">
        <v>42610.11</v>
      </c>
      <c r="M4414" s="128">
        <v>31603.64</v>
      </c>
      <c r="N4414" s="128">
        <v>11006.47</v>
      </c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</row>
    <row r="4415">
      <c r="A4415" s="125" t="s">
        <v>466</v>
      </c>
      <c r="B4415" s="125" t="s">
        <v>598</v>
      </c>
      <c r="C4415" s="125" t="s">
        <v>514</v>
      </c>
      <c r="D4415" s="125" t="s">
        <v>457</v>
      </c>
      <c r="E4415" s="125" t="s">
        <v>189</v>
      </c>
      <c r="F4415" s="126">
        <v>42698.0</v>
      </c>
      <c r="G4415" s="127">
        <v>1.48E8</v>
      </c>
      <c r="H4415" s="126">
        <v>42741.0</v>
      </c>
      <c r="I4415" s="128">
        <v>1641.0</v>
      </c>
      <c r="J4415" s="128">
        <v>668.27</v>
      </c>
      <c r="K4415" s="128">
        <v>502.54</v>
      </c>
      <c r="L4415" s="128">
        <v>1096631.0</v>
      </c>
      <c r="M4415" s="128">
        <v>824668.1</v>
      </c>
      <c r="N4415" s="128">
        <v>271962.9</v>
      </c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</row>
    <row r="4416">
      <c r="A4416" s="125" t="s">
        <v>475</v>
      </c>
      <c r="B4416" s="125" t="s">
        <v>566</v>
      </c>
      <c r="C4416" s="125" t="s">
        <v>453</v>
      </c>
      <c r="D4416" s="125" t="s">
        <v>454</v>
      </c>
      <c r="E4416" s="125" t="s">
        <v>189</v>
      </c>
      <c r="F4416" s="126">
        <v>41737.0</v>
      </c>
      <c r="G4416" s="127">
        <v>7.02E8</v>
      </c>
      <c r="H4416" s="126">
        <v>41777.0</v>
      </c>
      <c r="I4416" s="128">
        <v>5151.0</v>
      </c>
      <c r="J4416" s="128">
        <v>255.28</v>
      </c>
      <c r="K4416" s="128">
        <v>159.42</v>
      </c>
      <c r="L4416" s="128">
        <v>1314947.0</v>
      </c>
      <c r="M4416" s="128">
        <v>821172.4</v>
      </c>
      <c r="N4416" s="128">
        <v>493774.9</v>
      </c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</row>
    <row r="4417">
      <c r="A4417" s="125" t="s">
        <v>475</v>
      </c>
      <c r="B4417" s="125" t="s">
        <v>532</v>
      </c>
      <c r="C4417" s="125" t="s">
        <v>468</v>
      </c>
      <c r="D4417" s="125" t="s">
        <v>454</v>
      </c>
      <c r="E4417" s="125" t="s">
        <v>284</v>
      </c>
      <c r="F4417" s="126">
        <v>42126.0</v>
      </c>
      <c r="G4417" s="127">
        <v>1.77E8</v>
      </c>
      <c r="H4417" s="126">
        <v>42153.0</v>
      </c>
      <c r="I4417" s="128">
        <v>8539.0</v>
      </c>
      <c r="J4417" s="128">
        <v>81.73</v>
      </c>
      <c r="K4417" s="128">
        <v>56.67</v>
      </c>
      <c r="L4417" s="128">
        <v>697892.5</v>
      </c>
      <c r="M4417" s="128">
        <v>483905.1</v>
      </c>
      <c r="N4417" s="128">
        <v>213987.3</v>
      </c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</row>
    <row r="4418">
      <c r="A4418" s="125" t="s">
        <v>451</v>
      </c>
      <c r="B4418" s="125" t="s">
        <v>523</v>
      </c>
      <c r="C4418" s="125" t="s">
        <v>494</v>
      </c>
      <c r="D4418" s="125" t="s">
        <v>457</v>
      </c>
      <c r="E4418" s="125" t="s">
        <v>472</v>
      </c>
      <c r="F4418" s="126">
        <v>40685.0</v>
      </c>
      <c r="G4418" s="127">
        <v>3.27E8</v>
      </c>
      <c r="H4418" s="126">
        <v>40721.0</v>
      </c>
      <c r="I4418" s="128">
        <v>7281.0</v>
      </c>
      <c r="J4418" s="128">
        <v>9.33</v>
      </c>
      <c r="K4418" s="128">
        <v>6.92</v>
      </c>
      <c r="L4418" s="128">
        <v>67931.73</v>
      </c>
      <c r="M4418" s="128">
        <v>50384.52</v>
      </c>
      <c r="N4418" s="128">
        <v>17547.21</v>
      </c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</row>
    <row r="4419">
      <c r="A4419" s="125" t="s">
        <v>466</v>
      </c>
      <c r="B4419" s="125" t="s">
        <v>492</v>
      </c>
      <c r="C4419" s="125" t="s">
        <v>453</v>
      </c>
      <c r="D4419" s="125" t="s">
        <v>454</v>
      </c>
      <c r="E4419" s="125" t="s">
        <v>472</v>
      </c>
      <c r="F4419" s="126">
        <v>41537.0</v>
      </c>
      <c r="G4419" s="127">
        <v>2.78E8</v>
      </c>
      <c r="H4419" s="126">
        <v>41576.0</v>
      </c>
      <c r="I4419" s="128">
        <v>3879.0</v>
      </c>
      <c r="J4419" s="128">
        <v>255.28</v>
      </c>
      <c r="K4419" s="128">
        <v>159.42</v>
      </c>
      <c r="L4419" s="128">
        <v>990231.1</v>
      </c>
      <c r="M4419" s="128">
        <v>618390.2</v>
      </c>
      <c r="N4419" s="128">
        <v>371840.9</v>
      </c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</row>
    <row r="4420">
      <c r="A4420" s="125" t="s">
        <v>466</v>
      </c>
      <c r="B4420" s="125" t="s">
        <v>580</v>
      </c>
      <c r="C4420" s="125" t="s">
        <v>514</v>
      </c>
      <c r="D4420" s="125" t="s">
        <v>454</v>
      </c>
      <c r="E4420" s="125" t="s">
        <v>189</v>
      </c>
      <c r="F4420" s="126">
        <v>40897.0</v>
      </c>
      <c r="G4420" s="127">
        <v>5.74E8</v>
      </c>
      <c r="H4420" s="126">
        <v>40916.0</v>
      </c>
      <c r="I4420" s="128">
        <v>2871.0</v>
      </c>
      <c r="J4420" s="128">
        <v>668.27</v>
      </c>
      <c r="K4420" s="128">
        <v>502.54</v>
      </c>
      <c r="L4420" s="128">
        <v>1918603.0</v>
      </c>
      <c r="M4420" s="128">
        <v>1442792.0</v>
      </c>
      <c r="N4420" s="128">
        <v>475810.8</v>
      </c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</row>
    <row r="4421">
      <c r="A4421" s="125" t="s">
        <v>475</v>
      </c>
      <c r="B4421" s="125" t="s">
        <v>604</v>
      </c>
      <c r="C4421" s="125" t="s">
        <v>480</v>
      </c>
      <c r="D4421" s="125" t="s">
        <v>457</v>
      </c>
      <c r="E4421" s="125" t="s">
        <v>464</v>
      </c>
      <c r="F4421" s="126">
        <v>42283.0</v>
      </c>
      <c r="G4421" s="127">
        <v>9.32E8</v>
      </c>
      <c r="H4421" s="126">
        <v>42333.0</v>
      </c>
      <c r="I4421" s="128">
        <v>5823.0</v>
      </c>
      <c r="J4421" s="128">
        <v>437.2</v>
      </c>
      <c r="K4421" s="128">
        <v>263.33</v>
      </c>
      <c r="L4421" s="128">
        <v>2545816.0</v>
      </c>
      <c r="M4421" s="128">
        <v>1533371.0</v>
      </c>
      <c r="N4421" s="128">
        <v>1012445.0</v>
      </c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</row>
    <row r="4422">
      <c r="A4422" s="125" t="s">
        <v>461</v>
      </c>
      <c r="B4422" s="125" t="s">
        <v>522</v>
      </c>
      <c r="C4422" s="125" t="s">
        <v>463</v>
      </c>
      <c r="D4422" s="125" t="s">
        <v>454</v>
      </c>
      <c r="E4422" s="125" t="s">
        <v>464</v>
      </c>
      <c r="F4422" s="126">
        <v>41304.0</v>
      </c>
      <c r="G4422" s="127">
        <v>6.87E8</v>
      </c>
      <c r="H4422" s="126">
        <v>41319.0</v>
      </c>
      <c r="I4422" s="128">
        <v>6335.0</v>
      </c>
      <c r="J4422" s="128">
        <v>205.7</v>
      </c>
      <c r="K4422" s="128">
        <v>117.11</v>
      </c>
      <c r="L4422" s="128">
        <v>1303110.0</v>
      </c>
      <c r="M4422" s="128">
        <v>741891.9</v>
      </c>
      <c r="N4422" s="128">
        <v>561217.7</v>
      </c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</row>
    <row r="4423">
      <c r="A4423" s="125" t="s">
        <v>458</v>
      </c>
      <c r="B4423" s="125" t="s">
        <v>633</v>
      </c>
      <c r="C4423" s="125" t="s">
        <v>480</v>
      </c>
      <c r="D4423" s="125" t="s">
        <v>457</v>
      </c>
      <c r="E4423" s="125" t="s">
        <v>189</v>
      </c>
      <c r="F4423" s="126">
        <v>40874.0</v>
      </c>
      <c r="G4423" s="127">
        <v>1.47E8</v>
      </c>
      <c r="H4423" s="126">
        <v>40915.0</v>
      </c>
      <c r="I4423" s="128">
        <v>5036.0</v>
      </c>
      <c r="J4423" s="128">
        <v>437.2</v>
      </c>
      <c r="K4423" s="128">
        <v>263.33</v>
      </c>
      <c r="L4423" s="128">
        <v>2201739.0</v>
      </c>
      <c r="M4423" s="128">
        <v>1326130.0</v>
      </c>
      <c r="N4423" s="128">
        <v>875609.3</v>
      </c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</row>
    <row r="4424">
      <c r="A4424" s="125" t="s">
        <v>466</v>
      </c>
      <c r="B4424" s="125" t="s">
        <v>467</v>
      </c>
      <c r="C4424" s="125" t="s">
        <v>456</v>
      </c>
      <c r="D4424" s="125" t="s">
        <v>457</v>
      </c>
      <c r="E4424" s="125" t="s">
        <v>284</v>
      </c>
      <c r="F4424" s="126">
        <v>41528.0</v>
      </c>
      <c r="G4424" s="127">
        <v>1.36E8</v>
      </c>
      <c r="H4424" s="126">
        <v>41540.0</v>
      </c>
      <c r="I4424" s="128">
        <v>4587.0</v>
      </c>
      <c r="J4424" s="128">
        <v>152.58</v>
      </c>
      <c r="K4424" s="128">
        <v>97.44</v>
      </c>
      <c r="L4424" s="128">
        <v>699884.5</v>
      </c>
      <c r="M4424" s="128">
        <v>446957.3</v>
      </c>
      <c r="N4424" s="128">
        <v>252927.2</v>
      </c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</row>
    <row r="4425">
      <c r="A4425" s="125" t="s">
        <v>461</v>
      </c>
      <c r="B4425" s="125" t="s">
        <v>556</v>
      </c>
      <c r="C4425" s="125" t="s">
        <v>514</v>
      </c>
      <c r="D4425" s="125" t="s">
        <v>454</v>
      </c>
      <c r="E4425" s="125" t="s">
        <v>284</v>
      </c>
      <c r="F4425" s="126">
        <v>42808.0</v>
      </c>
      <c r="G4425" s="127">
        <v>6.53E8</v>
      </c>
      <c r="H4425" s="126">
        <v>42814.0</v>
      </c>
      <c r="I4425" s="128">
        <v>4681.0</v>
      </c>
      <c r="J4425" s="128">
        <v>668.27</v>
      </c>
      <c r="K4425" s="128">
        <v>502.54</v>
      </c>
      <c r="L4425" s="128">
        <v>3128172.0</v>
      </c>
      <c r="M4425" s="128">
        <v>2352390.0</v>
      </c>
      <c r="N4425" s="128">
        <v>775782.1</v>
      </c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</row>
    <row r="4426">
      <c r="A4426" s="125" t="s">
        <v>458</v>
      </c>
      <c r="B4426" s="125" t="s">
        <v>652</v>
      </c>
      <c r="C4426" s="125" t="s">
        <v>453</v>
      </c>
      <c r="D4426" s="125" t="s">
        <v>457</v>
      </c>
      <c r="E4426" s="125" t="s">
        <v>284</v>
      </c>
      <c r="F4426" s="126">
        <v>41881.0</v>
      </c>
      <c r="G4426" s="127">
        <v>4.14E8</v>
      </c>
      <c r="H4426" s="126">
        <v>41893.0</v>
      </c>
      <c r="I4426" s="128">
        <v>7042.0</v>
      </c>
      <c r="J4426" s="128">
        <v>255.28</v>
      </c>
      <c r="K4426" s="128">
        <v>159.42</v>
      </c>
      <c r="L4426" s="128">
        <v>1797682.0</v>
      </c>
      <c r="M4426" s="128">
        <v>1122636.0</v>
      </c>
      <c r="N4426" s="128">
        <v>675046.1</v>
      </c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</row>
    <row r="4427">
      <c r="A4427" s="125" t="s">
        <v>451</v>
      </c>
      <c r="B4427" s="125" t="s">
        <v>608</v>
      </c>
      <c r="C4427" s="125" t="s">
        <v>506</v>
      </c>
      <c r="D4427" s="125" t="s">
        <v>454</v>
      </c>
      <c r="E4427" s="125" t="s">
        <v>464</v>
      </c>
      <c r="F4427" s="126">
        <v>40448.0</v>
      </c>
      <c r="G4427" s="127">
        <v>9.08E8</v>
      </c>
      <c r="H4427" s="126">
        <v>40453.0</v>
      </c>
      <c r="I4427" s="128">
        <v>423.0</v>
      </c>
      <c r="J4427" s="128">
        <v>154.06</v>
      </c>
      <c r="K4427" s="128">
        <v>90.93</v>
      </c>
      <c r="L4427" s="128">
        <v>65167.38</v>
      </c>
      <c r="M4427" s="128">
        <v>38463.39</v>
      </c>
      <c r="N4427" s="128">
        <v>26703.99</v>
      </c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</row>
    <row r="4428">
      <c r="A4428" s="125" t="s">
        <v>466</v>
      </c>
      <c r="B4428" s="125" t="s">
        <v>491</v>
      </c>
      <c r="C4428" s="125" t="s">
        <v>514</v>
      </c>
      <c r="D4428" s="125" t="s">
        <v>457</v>
      </c>
      <c r="E4428" s="125" t="s">
        <v>189</v>
      </c>
      <c r="F4428" s="126">
        <v>40603.0</v>
      </c>
      <c r="G4428" s="127">
        <v>5.41E8</v>
      </c>
      <c r="H4428" s="126">
        <v>40631.0</v>
      </c>
      <c r="I4428" s="128">
        <v>5613.0</v>
      </c>
      <c r="J4428" s="128">
        <v>668.27</v>
      </c>
      <c r="K4428" s="128">
        <v>502.54</v>
      </c>
      <c r="L4428" s="128">
        <v>3751000.0</v>
      </c>
      <c r="M4428" s="128">
        <v>2820757.0</v>
      </c>
      <c r="N4428" s="128">
        <v>930242.5</v>
      </c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</row>
    <row r="4429">
      <c r="A4429" s="125" t="s">
        <v>451</v>
      </c>
      <c r="B4429" s="125" t="s">
        <v>593</v>
      </c>
      <c r="C4429" s="125" t="s">
        <v>506</v>
      </c>
      <c r="D4429" s="125" t="s">
        <v>457</v>
      </c>
      <c r="E4429" s="125" t="s">
        <v>189</v>
      </c>
      <c r="F4429" s="126">
        <v>40676.0</v>
      </c>
      <c r="G4429" s="127">
        <v>4.93E8</v>
      </c>
      <c r="H4429" s="126">
        <v>40683.0</v>
      </c>
      <c r="I4429" s="128">
        <v>427.0</v>
      </c>
      <c r="J4429" s="128">
        <v>154.06</v>
      </c>
      <c r="K4429" s="128">
        <v>90.93</v>
      </c>
      <c r="L4429" s="128">
        <v>65783.62</v>
      </c>
      <c r="M4429" s="128">
        <v>38827.11</v>
      </c>
      <c r="N4429" s="128">
        <v>26956.51</v>
      </c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</row>
    <row r="4430">
      <c r="A4430" s="125" t="s">
        <v>469</v>
      </c>
      <c r="B4430" s="125" t="s">
        <v>530</v>
      </c>
      <c r="C4430" s="125" t="s">
        <v>494</v>
      </c>
      <c r="D4430" s="125" t="s">
        <v>457</v>
      </c>
      <c r="E4430" s="125" t="s">
        <v>284</v>
      </c>
      <c r="F4430" s="126">
        <v>42156.0</v>
      </c>
      <c r="G4430" s="127">
        <v>6.61E8</v>
      </c>
      <c r="H4430" s="126">
        <v>42192.0</v>
      </c>
      <c r="I4430" s="128">
        <v>4714.0</v>
      </c>
      <c r="J4430" s="128">
        <v>9.33</v>
      </c>
      <c r="K4430" s="128">
        <v>6.92</v>
      </c>
      <c r="L4430" s="128">
        <v>43981.62</v>
      </c>
      <c r="M4430" s="128">
        <v>32620.88</v>
      </c>
      <c r="N4430" s="128">
        <v>11360.74</v>
      </c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</row>
    <row r="4431">
      <c r="A4431" s="125" t="s">
        <v>475</v>
      </c>
      <c r="B4431" s="125" t="s">
        <v>585</v>
      </c>
      <c r="C4431" s="125" t="s">
        <v>514</v>
      </c>
      <c r="D4431" s="125" t="s">
        <v>454</v>
      </c>
      <c r="E4431" s="125" t="s">
        <v>464</v>
      </c>
      <c r="F4431" s="126">
        <v>42768.0</v>
      </c>
      <c r="G4431" s="127">
        <v>1.15E8</v>
      </c>
      <c r="H4431" s="126">
        <v>42811.0</v>
      </c>
      <c r="I4431" s="128">
        <v>5355.0</v>
      </c>
      <c r="J4431" s="128">
        <v>668.27</v>
      </c>
      <c r="K4431" s="128">
        <v>502.54</v>
      </c>
      <c r="L4431" s="128">
        <v>3578586.0</v>
      </c>
      <c r="M4431" s="128">
        <v>2691102.0</v>
      </c>
      <c r="N4431" s="128">
        <v>887484.2</v>
      </c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</row>
    <row r="4432">
      <c r="A4432" s="125" t="s">
        <v>451</v>
      </c>
      <c r="B4432" s="125" t="s">
        <v>523</v>
      </c>
      <c r="C4432" s="125" t="s">
        <v>506</v>
      </c>
      <c r="D4432" s="125" t="s">
        <v>457</v>
      </c>
      <c r="E4432" s="125" t="s">
        <v>189</v>
      </c>
      <c r="F4432" s="126">
        <v>40630.0</v>
      </c>
      <c r="G4432" s="127">
        <v>2.43E8</v>
      </c>
      <c r="H4432" s="126">
        <v>40653.0</v>
      </c>
      <c r="I4432" s="128">
        <v>1260.0</v>
      </c>
      <c r="J4432" s="128">
        <v>154.06</v>
      </c>
      <c r="K4432" s="128">
        <v>90.93</v>
      </c>
      <c r="L4432" s="128">
        <v>194115.6</v>
      </c>
      <c r="M4432" s="128">
        <v>114571.8</v>
      </c>
      <c r="N4432" s="128">
        <v>79543.8</v>
      </c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</row>
    <row r="4433">
      <c r="A4433" s="125" t="s">
        <v>461</v>
      </c>
      <c r="B4433" s="125" t="s">
        <v>578</v>
      </c>
      <c r="C4433" s="125" t="s">
        <v>494</v>
      </c>
      <c r="D4433" s="125" t="s">
        <v>454</v>
      </c>
      <c r="E4433" s="125" t="s">
        <v>189</v>
      </c>
      <c r="F4433" s="126">
        <v>41160.0</v>
      </c>
      <c r="G4433" s="127">
        <v>7.05E8</v>
      </c>
      <c r="H4433" s="126">
        <v>41167.0</v>
      </c>
      <c r="I4433" s="128">
        <v>8372.0</v>
      </c>
      <c r="J4433" s="128">
        <v>9.33</v>
      </c>
      <c r="K4433" s="128">
        <v>6.92</v>
      </c>
      <c r="L4433" s="128">
        <v>78110.76</v>
      </c>
      <c r="M4433" s="128">
        <v>57934.24</v>
      </c>
      <c r="N4433" s="128">
        <v>20176.52</v>
      </c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</row>
    <row r="4434">
      <c r="A4434" s="125" t="s">
        <v>461</v>
      </c>
      <c r="B4434" s="125" t="s">
        <v>542</v>
      </c>
      <c r="C4434" s="125" t="s">
        <v>463</v>
      </c>
      <c r="D4434" s="125" t="s">
        <v>454</v>
      </c>
      <c r="E4434" s="125" t="s">
        <v>464</v>
      </c>
      <c r="F4434" s="126">
        <v>41870.0</v>
      </c>
      <c r="G4434" s="127">
        <v>7.8E8</v>
      </c>
      <c r="H4434" s="126">
        <v>41912.0</v>
      </c>
      <c r="I4434" s="128">
        <v>4664.0</v>
      </c>
      <c r="J4434" s="128">
        <v>205.7</v>
      </c>
      <c r="K4434" s="128">
        <v>117.11</v>
      </c>
      <c r="L4434" s="128">
        <v>959384.8</v>
      </c>
      <c r="M4434" s="128">
        <v>546201.0</v>
      </c>
      <c r="N4434" s="128">
        <v>413183.8</v>
      </c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</row>
    <row r="4435">
      <c r="A4435" s="125" t="s">
        <v>451</v>
      </c>
      <c r="B4435" s="125" t="s">
        <v>455</v>
      </c>
      <c r="C4435" s="125" t="s">
        <v>485</v>
      </c>
      <c r="D4435" s="125" t="s">
        <v>457</v>
      </c>
      <c r="E4435" s="125" t="s">
        <v>284</v>
      </c>
      <c r="F4435" s="126">
        <v>42042.0</v>
      </c>
      <c r="G4435" s="127">
        <v>7.2E8</v>
      </c>
      <c r="H4435" s="126">
        <v>42051.0</v>
      </c>
      <c r="I4435" s="128">
        <v>5142.0</v>
      </c>
      <c r="J4435" s="128">
        <v>421.89</v>
      </c>
      <c r="K4435" s="128">
        <v>364.69</v>
      </c>
      <c r="L4435" s="128">
        <v>2169358.0</v>
      </c>
      <c r="M4435" s="128">
        <v>1875236.0</v>
      </c>
      <c r="N4435" s="128">
        <v>294122.4</v>
      </c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</row>
    <row r="4436">
      <c r="A4436" s="125" t="s">
        <v>475</v>
      </c>
      <c r="B4436" s="125" t="s">
        <v>635</v>
      </c>
      <c r="C4436" s="125" t="s">
        <v>494</v>
      </c>
      <c r="D4436" s="125" t="s">
        <v>454</v>
      </c>
      <c r="E4436" s="125" t="s">
        <v>464</v>
      </c>
      <c r="F4436" s="126">
        <v>41349.0</v>
      </c>
      <c r="G4436" s="127">
        <v>3.93E8</v>
      </c>
      <c r="H4436" s="126">
        <v>41354.0</v>
      </c>
      <c r="I4436" s="128">
        <v>6841.0</v>
      </c>
      <c r="J4436" s="128">
        <v>9.33</v>
      </c>
      <c r="K4436" s="128">
        <v>6.92</v>
      </c>
      <c r="L4436" s="128">
        <v>63826.53</v>
      </c>
      <c r="M4436" s="128">
        <v>47339.72</v>
      </c>
      <c r="N4436" s="128">
        <v>16486.81</v>
      </c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</row>
    <row r="4437">
      <c r="A4437" s="125" t="s">
        <v>475</v>
      </c>
      <c r="B4437" s="125" t="s">
        <v>628</v>
      </c>
      <c r="C4437" s="125" t="s">
        <v>471</v>
      </c>
      <c r="D4437" s="125" t="s">
        <v>454</v>
      </c>
      <c r="E4437" s="125" t="s">
        <v>284</v>
      </c>
      <c r="F4437" s="126">
        <v>41233.0</v>
      </c>
      <c r="G4437" s="127">
        <v>6.42E8</v>
      </c>
      <c r="H4437" s="126">
        <v>41250.0</v>
      </c>
      <c r="I4437" s="128">
        <v>3829.0</v>
      </c>
      <c r="J4437" s="128">
        <v>109.28</v>
      </c>
      <c r="K4437" s="128">
        <v>35.84</v>
      </c>
      <c r="L4437" s="128">
        <v>418433.1</v>
      </c>
      <c r="M4437" s="128">
        <v>137231.4</v>
      </c>
      <c r="N4437" s="128">
        <v>281201.8</v>
      </c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</row>
    <row r="4438">
      <c r="A4438" s="125" t="s">
        <v>466</v>
      </c>
      <c r="B4438" s="125" t="s">
        <v>535</v>
      </c>
      <c r="C4438" s="125" t="s">
        <v>468</v>
      </c>
      <c r="D4438" s="125" t="s">
        <v>457</v>
      </c>
      <c r="E4438" s="125" t="s">
        <v>189</v>
      </c>
      <c r="F4438" s="126">
        <v>40763.0</v>
      </c>
      <c r="G4438" s="127">
        <v>1.26E8</v>
      </c>
      <c r="H4438" s="126">
        <v>40804.0</v>
      </c>
      <c r="I4438" s="128">
        <v>2205.0</v>
      </c>
      <c r="J4438" s="128">
        <v>81.73</v>
      </c>
      <c r="K4438" s="128">
        <v>56.67</v>
      </c>
      <c r="L4438" s="128">
        <v>180214.7</v>
      </c>
      <c r="M4438" s="128">
        <v>124957.4</v>
      </c>
      <c r="N4438" s="128">
        <v>55257.3</v>
      </c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</row>
    <row r="4439">
      <c r="A4439" s="125" t="s">
        <v>458</v>
      </c>
      <c r="B4439" s="125" t="s">
        <v>555</v>
      </c>
      <c r="C4439" s="125" t="s">
        <v>453</v>
      </c>
      <c r="D4439" s="125" t="s">
        <v>457</v>
      </c>
      <c r="E4439" s="125" t="s">
        <v>464</v>
      </c>
      <c r="F4439" s="126">
        <v>40776.0</v>
      </c>
      <c r="G4439" s="127">
        <v>2.77E8</v>
      </c>
      <c r="H4439" s="126">
        <v>40789.0</v>
      </c>
      <c r="I4439" s="128">
        <v>5097.0</v>
      </c>
      <c r="J4439" s="128">
        <v>255.28</v>
      </c>
      <c r="K4439" s="128">
        <v>159.42</v>
      </c>
      <c r="L4439" s="128">
        <v>1301162.0</v>
      </c>
      <c r="M4439" s="128">
        <v>812563.7</v>
      </c>
      <c r="N4439" s="128">
        <v>488598.4</v>
      </c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</row>
    <row r="4440">
      <c r="A4440" s="125" t="s">
        <v>461</v>
      </c>
      <c r="B4440" s="125" t="s">
        <v>522</v>
      </c>
      <c r="C4440" s="125" t="s">
        <v>478</v>
      </c>
      <c r="D4440" s="125" t="s">
        <v>454</v>
      </c>
      <c r="E4440" s="125" t="s">
        <v>472</v>
      </c>
      <c r="F4440" s="126">
        <v>42500.0</v>
      </c>
      <c r="G4440" s="127">
        <v>3.47E8</v>
      </c>
      <c r="H4440" s="126">
        <v>42534.0</v>
      </c>
      <c r="I4440" s="128">
        <v>7669.0</v>
      </c>
      <c r="J4440" s="128">
        <v>651.21</v>
      </c>
      <c r="K4440" s="128">
        <v>524.96</v>
      </c>
      <c r="L4440" s="128">
        <v>4994129.0</v>
      </c>
      <c r="M4440" s="128">
        <v>4025918.0</v>
      </c>
      <c r="N4440" s="128">
        <v>968211.3</v>
      </c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</row>
    <row r="4441">
      <c r="A4441" s="125" t="s">
        <v>458</v>
      </c>
      <c r="B4441" s="125" t="s">
        <v>626</v>
      </c>
      <c r="C4441" s="125" t="s">
        <v>463</v>
      </c>
      <c r="D4441" s="125" t="s">
        <v>454</v>
      </c>
      <c r="E4441" s="125" t="s">
        <v>464</v>
      </c>
      <c r="F4441" s="126">
        <v>40638.0</v>
      </c>
      <c r="G4441" s="127">
        <v>5.57E8</v>
      </c>
      <c r="H4441" s="126">
        <v>40680.0</v>
      </c>
      <c r="I4441" s="128">
        <v>2111.0</v>
      </c>
      <c r="J4441" s="128">
        <v>205.7</v>
      </c>
      <c r="K4441" s="128">
        <v>117.11</v>
      </c>
      <c r="L4441" s="128">
        <v>434232.7</v>
      </c>
      <c r="M4441" s="128">
        <v>247219.2</v>
      </c>
      <c r="N4441" s="128">
        <v>187013.5</v>
      </c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</row>
    <row r="4442">
      <c r="A4442" s="125" t="s">
        <v>475</v>
      </c>
      <c r="B4442" s="125" t="s">
        <v>549</v>
      </c>
      <c r="C4442" s="125" t="s">
        <v>453</v>
      </c>
      <c r="D4442" s="125" t="s">
        <v>457</v>
      </c>
      <c r="E4442" s="125" t="s">
        <v>284</v>
      </c>
      <c r="F4442" s="126">
        <v>41342.0</v>
      </c>
      <c r="G4442" s="127">
        <v>7.5E8</v>
      </c>
      <c r="H4442" s="126">
        <v>41380.0</v>
      </c>
      <c r="I4442" s="128">
        <v>2648.0</v>
      </c>
      <c r="J4442" s="128">
        <v>255.28</v>
      </c>
      <c r="K4442" s="128">
        <v>159.42</v>
      </c>
      <c r="L4442" s="128">
        <v>675981.4</v>
      </c>
      <c r="M4442" s="128">
        <v>422144.2</v>
      </c>
      <c r="N4442" s="128">
        <v>253837.3</v>
      </c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</row>
    <row r="4443">
      <c r="A4443" s="125" t="s">
        <v>451</v>
      </c>
      <c r="B4443" s="125" t="s">
        <v>523</v>
      </c>
      <c r="C4443" s="125" t="s">
        <v>478</v>
      </c>
      <c r="D4443" s="125" t="s">
        <v>457</v>
      </c>
      <c r="E4443" s="125" t="s">
        <v>472</v>
      </c>
      <c r="F4443" s="126">
        <v>41477.0</v>
      </c>
      <c r="G4443" s="127">
        <v>8.39E8</v>
      </c>
      <c r="H4443" s="126">
        <v>41488.0</v>
      </c>
      <c r="I4443" s="128">
        <v>534.0</v>
      </c>
      <c r="J4443" s="128">
        <v>651.21</v>
      </c>
      <c r="K4443" s="128">
        <v>524.96</v>
      </c>
      <c r="L4443" s="128">
        <v>347746.1</v>
      </c>
      <c r="M4443" s="128">
        <v>280328.6</v>
      </c>
      <c r="N4443" s="128">
        <v>67417.5</v>
      </c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</row>
    <row r="4444">
      <c r="A4444" s="125" t="s">
        <v>461</v>
      </c>
      <c r="B4444" s="125" t="s">
        <v>516</v>
      </c>
      <c r="C4444" s="125" t="s">
        <v>480</v>
      </c>
      <c r="D4444" s="125" t="s">
        <v>454</v>
      </c>
      <c r="E4444" s="125" t="s">
        <v>472</v>
      </c>
      <c r="F4444" s="126">
        <v>41060.0</v>
      </c>
      <c r="G4444" s="127">
        <v>3.55E8</v>
      </c>
      <c r="H4444" s="126">
        <v>41075.0</v>
      </c>
      <c r="I4444" s="128">
        <v>9056.0</v>
      </c>
      <c r="J4444" s="128">
        <v>437.2</v>
      </c>
      <c r="K4444" s="128">
        <v>263.33</v>
      </c>
      <c r="L4444" s="128">
        <v>3959283.0</v>
      </c>
      <c r="M4444" s="128">
        <v>2384716.0</v>
      </c>
      <c r="N4444" s="128">
        <v>1574567.0</v>
      </c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</row>
    <row r="4445">
      <c r="A4445" s="125" t="s">
        <v>475</v>
      </c>
      <c r="B4445" s="125" t="s">
        <v>649</v>
      </c>
      <c r="C4445" s="125" t="s">
        <v>506</v>
      </c>
      <c r="D4445" s="125" t="s">
        <v>457</v>
      </c>
      <c r="E4445" s="125" t="s">
        <v>472</v>
      </c>
      <c r="F4445" s="126">
        <v>41880.0</v>
      </c>
      <c r="G4445" s="127">
        <v>7.04E8</v>
      </c>
      <c r="H4445" s="126">
        <v>41921.0</v>
      </c>
      <c r="I4445" s="128">
        <v>8530.0</v>
      </c>
      <c r="J4445" s="128">
        <v>154.06</v>
      </c>
      <c r="K4445" s="128">
        <v>90.93</v>
      </c>
      <c r="L4445" s="128">
        <v>1314132.0</v>
      </c>
      <c r="M4445" s="128">
        <v>775632.9</v>
      </c>
      <c r="N4445" s="128">
        <v>538498.9</v>
      </c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</row>
    <row r="4446">
      <c r="A4446" s="125" t="s">
        <v>469</v>
      </c>
      <c r="B4446" s="125" t="s">
        <v>495</v>
      </c>
      <c r="C4446" s="125" t="s">
        <v>514</v>
      </c>
      <c r="D4446" s="125" t="s">
        <v>457</v>
      </c>
      <c r="E4446" s="125" t="s">
        <v>189</v>
      </c>
      <c r="F4446" s="126">
        <v>40583.0</v>
      </c>
      <c r="G4446" s="127">
        <v>2.07E8</v>
      </c>
      <c r="H4446" s="126">
        <v>40626.0</v>
      </c>
      <c r="I4446" s="128">
        <v>1306.0</v>
      </c>
      <c r="J4446" s="128">
        <v>668.27</v>
      </c>
      <c r="K4446" s="128">
        <v>502.54</v>
      </c>
      <c r="L4446" s="128">
        <v>872760.6</v>
      </c>
      <c r="M4446" s="128">
        <v>656317.2</v>
      </c>
      <c r="N4446" s="128">
        <v>216443.4</v>
      </c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</row>
    <row r="4447">
      <c r="A4447" s="125" t="s">
        <v>488</v>
      </c>
      <c r="B4447" s="125" t="s">
        <v>645</v>
      </c>
      <c r="C4447" s="125" t="s">
        <v>460</v>
      </c>
      <c r="D4447" s="125" t="s">
        <v>454</v>
      </c>
      <c r="E4447" s="125" t="s">
        <v>284</v>
      </c>
      <c r="F4447" s="126">
        <v>41120.0</v>
      </c>
      <c r="G4447" s="127">
        <v>8.58E8</v>
      </c>
      <c r="H4447" s="126">
        <v>41133.0</v>
      </c>
      <c r="I4447" s="128">
        <v>6764.0</v>
      </c>
      <c r="J4447" s="128">
        <v>47.45</v>
      </c>
      <c r="K4447" s="128">
        <v>31.79</v>
      </c>
      <c r="L4447" s="128">
        <v>320951.8</v>
      </c>
      <c r="M4447" s="128">
        <v>215027.6</v>
      </c>
      <c r="N4447" s="128">
        <v>105924.2</v>
      </c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</row>
    <row r="4448">
      <c r="A4448" s="125" t="s">
        <v>461</v>
      </c>
      <c r="B4448" s="125" t="s">
        <v>465</v>
      </c>
      <c r="C4448" s="125" t="s">
        <v>471</v>
      </c>
      <c r="D4448" s="125" t="s">
        <v>454</v>
      </c>
      <c r="E4448" s="125" t="s">
        <v>464</v>
      </c>
      <c r="F4448" s="126">
        <v>42299.0</v>
      </c>
      <c r="G4448" s="127">
        <v>6.73E8</v>
      </c>
      <c r="H4448" s="126">
        <v>42307.0</v>
      </c>
      <c r="I4448" s="128">
        <v>6314.0</v>
      </c>
      <c r="J4448" s="128">
        <v>109.28</v>
      </c>
      <c r="K4448" s="128">
        <v>35.84</v>
      </c>
      <c r="L4448" s="128">
        <v>689993.9</v>
      </c>
      <c r="M4448" s="128">
        <v>226293.8</v>
      </c>
      <c r="N4448" s="128">
        <v>463700.2</v>
      </c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</row>
    <row r="4449">
      <c r="A4449" s="125" t="s">
        <v>475</v>
      </c>
      <c r="B4449" s="125" t="s">
        <v>624</v>
      </c>
      <c r="C4449" s="125" t="s">
        <v>460</v>
      </c>
      <c r="D4449" s="125" t="s">
        <v>457</v>
      </c>
      <c r="E4449" s="125" t="s">
        <v>472</v>
      </c>
      <c r="F4449" s="126">
        <v>41933.0</v>
      </c>
      <c r="G4449" s="127">
        <v>4.35E8</v>
      </c>
      <c r="H4449" s="126">
        <v>41955.0</v>
      </c>
      <c r="I4449" s="128">
        <v>8399.0</v>
      </c>
      <c r="J4449" s="128">
        <v>47.45</v>
      </c>
      <c r="K4449" s="128">
        <v>31.79</v>
      </c>
      <c r="L4449" s="128">
        <v>398532.6</v>
      </c>
      <c r="M4449" s="128">
        <v>267004.2</v>
      </c>
      <c r="N4449" s="128">
        <v>131528.3</v>
      </c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</row>
    <row r="4450">
      <c r="A4450" s="125" t="s">
        <v>458</v>
      </c>
      <c r="B4450" s="125" t="s">
        <v>553</v>
      </c>
      <c r="C4450" s="125" t="s">
        <v>514</v>
      </c>
      <c r="D4450" s="125" t="s">
        <v>454</v>
      </c>
      <c r="E4450" s="125" t="s">
        <v>284</v>
      </c>
      <c r="F4450" s="126">
        <v>40991.0</v>
      </c>
      <c r="G4450" s="127">
        <v>5.48E8</v>
      </c>
      <c r="H4450" s="126">
        <v>41003.0</v>
      </c>
      <c r="I4450" s="128">
        <v>3493.0</v>
      </c>
      <c r="J4450" s="128">
        <v>668.27</v>
      </c>
      <c r="K4450" s="128">
        <v>502.54</v>
      </c>
      <c r="L4450" s="128">
        <v>2334267.0</v>
      </c>
      <c r="M4450" s="128">
        <v>1755372.0</v>
      </c>
      <c r="N4450" s="128">
        <v>578894.9</v>
      </c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</row>
    <row r="4451">
      <c r="A4451" s="125" t="s">
        <v>475</v>
      </c>
      <c r="B4451" s="125" t="s">
        <v>549</v>
      </c>
      <c r="C4451" s="125" t="s">
        <v>471</v>
      </c>
      <c r="D4451" s="125" t="s">
        <v>457</v>
      </c>
      <c r="E4451" s="125" t="s">
        <v>189</v>
      </c>
      <c r="F4451" s="126">
        <v>42212.0</v>
      </c>
      <c r="G4451" s="127">
        <v>5.89E8</v>
      </c>
      <c r="H4451" s="126">
        <v>42237.0</v>
      </c>
      <c r="I4451" s="128">
        <v>9100.0</v>
      </c>
      <c r="J4451" s="128">
        <v>109.28</v>
      </c>
      <c r="K4451" s="128">
        <v>35.84</v>
      </c>
      <c r="L4451" s="128">
        <v>994448.0</v>
      </c>
      <c r="M4451" s="128">
        <v>326144.0</v>
      </c>
      <c r="N4451" s="128">
        <v>668304.0</v>
      </c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</row>
    <row r="4452">
      <c r="A4452" s="125" t="s">
        <v>458</v>
      </c>
      <c r="B4452" s="125" t="s">
        <v>553</v>
      </c>
      <c r="C4452" s="125" t="s">
        <v>506</v>
      </c>
      <c r="D4452" s="125" t="s">
        <v>454</v>
      </c>
      <c r="E4452" s="125" t="s">
        <v>464</v>
      </c>
      <c r="F4452" s="126">
        <v>40428.0</v>
      </c>
      <c r="G4452" s="127">
        <v>6.52E8</v>
      </c>
      <c r="H4452" s="126">
        <v>40447.0</v>
      </c>
      <c r="I4452" s="128">
        <v>4757.0</v>
      </c>
      <c r="J4452" s="128">
        <v>154.06</v>
      </c>
      <c r="K4452" s="128">
        <v>90.93</v>
      </c>
      <c r="L4452" s="128">
        <v>732863.4</v>
      </c>
      <c r="M4452" s="128">
        <v>432554.0</v>
      </c>
      <c r="N4452" s="128">
        <v>300309.4</v>
      </c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</row>
    <row r="4453">
      <c r="A4453" s="125" t="s">
        <v>475</v>
      </c>
      <c r="B4453" s="125" t="s">
        <v>619</v>
      </c>
      <c r="C4453" s="125" t="s">
        <v>456</v>
      </c>
      <c r="D4453" s="125" t="s">
        <v>454</v>
      </c>
      <c r="E4453" s="125" t="s">
        <v>284</v>
      </c>
      <c r="F4453" s="126">
        <v>40540.0</v>
      </c>
      <c r="G4453" s="127">
        <v>9.03E8</v>
      </c>
      <c r="H4453" s="126">
        <v>40583.0</v>
      </c>
      <c r="I4453" s="128">
        <v>7030.0</v>
      </c>
      <c r="J4453" s="128">
        <v>152.58</v>
      </c>
      <c r="K4453" s="128">
        <v>97.44</v>
      </c>
      <c r="L4453" s="128">
        <v>1072637.0</v>
      </c>
      <c r="M4453" s="128">
        <v>685003.2</v>
      </c>
      <c r="N4453" s="128">
        <v>387634.2</v>
      </c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</row>
    <row r="4454">
      <c r="A4454" s="125" t="s">
        <v>475</v>
      </c>
      <c r="B4454" s="125" t="s">
        <v>507</v>
      </c>
      <c r="C4454" s="125" t="s">
        <v>506</v>
      </c>
      <c r="D4454" s="125" t="s">
        <v>457</v>
      </c>
      <c r="E4454" s="125" t="s">
        <v>472</v>
      </c>
      <c r="F4454" s="126">
        <v>42307.0</v>
      </c>
      <c r="G4454" s="127">
        <v>2.29E8</v>
      </c>
      <c r="H4454" s="126">
        <v>42311.0</v>
      </c>
      <c r="I4454" s="128">
        <v>4520.0</v>
      </c>
      <c r="J4454" s="128">
        <v>154.06</v>
      </c>
      <c r="K4454" s="128">
        <v>90.93</v>
      </c>
      <c r="L4454" s="128">
        <v>696351.2</v>
      </c>
      <c r="M4454" s="128">
        <v>411003.6</v>
      </c>
      <c r="N4454" s="128">
        <v>285347.6</v>
      </c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</row>
    <row r="4455">
      <c r="A4455" s="125" t="s">
        <v>458</v>
      </c>
      <c r="B4455" s="125" t="s">
        <v>555</v>
      </c>
      <c r="C4455" s="125" t="s">
        <v>480</v>
      </c>
      <c r="D4455" s="125" t="s">
        <v>454</v>
      </c>
      <c r="E4455" s="125" t="s">
        <v>189</v>
      </c>
      <c r="F4455" s="126">
        <v>41727.0</v>
      </c>
      <c r="G4455" s="127">
        <v>2.84E8</v>
      </c>
      <c r="H4455" s="126">
        <v>41732.0</v>
      </c>
      <c r="I4455" s="128">
        <v>2854.0</v>
      </c>
      <c r="J4455" s="128">
        <v>437.2</v>
      </c>
      <c r="K4455" s="128">
        <v>263.33</v>
      </c>
      <c r="L4455" s="128">
        <v>1247769.0</v>
      </c>
      <c r="M4455" s="128">
        <v>751543.8</v>
      </c>
      <c r="N4455" s="128">
        <v>496225.0</v>
      </c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</row>
    <row r="4456">
      <c r="A4456" s="125" t="s">
        <v>475</v>
      </c>
      <c r="B4456" s="125" t="s">
        <v>561</v>
      </c>
      <c r="C4456" s="125" t="s">
        <v>463</v>
      </c>
      <c r="D4456" s="125" t="s">
        <v>457</v>
      </c>
      <c r="E4456" s="125" t="s">
        <v>284</v>
      </c>
      <c r="F4456" s="126">
        <v>40718.0</v>
      </c>
      <c r="G4456" s="127">
        <v>5.47E8</v>
      </c>
      <c r="H4456" s="126">
        <v>40725.0</v>
      </c>
      <c r="I4456" s="128">
        <v>9696.0</v>
      </c>
      <c r="J4456" s="128">
        <v>205.7</v>
      </c>
      <c r="K4456" s="128">
        <v>117.11</v>
      </c>
      <c r="L4456" s="128">
        <v>1994467.0</v>
      </c>
      <c r="M4456" s="128">
        <v>1135499.0</v>
      </c>
      <c r="N4456" s="128">
        <v>858968.6</v>
      </c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</row>
    <row r="4457">
      <c r="A4457" s="125" t="s">
        <v>475</v>
      </c>
      <c r="B4457" s="125" t="s">
        <v>574</v>
      </c>
      <c r="C4457" s="125" t="s">
        <v>478</v>
      </c>
      <c r="D4457" s="125" t="s">
        <v>454</v>
      </c>
      <c r="E4457" s="125" t="s">
        <v>472</v>
      </c>
      <c r="F4457" s="126">
        <v>40207.0</v>
      </c>
      <c r="G4457" s="127">
        <v>5.63E8</v>
      </c>
      <c r="H4457" s="126">
        <v>40217.0</v>
      </c>
      <c r="I4457" s="128">
        <v>9736.0</v>
      </c>
      <c r="J4457" s="128">
        <v>651.21</v>
      </c>
      <c r="K4457" s="128">
        <v>524.96</v>
      </c>
      <c r="L4457" s="128">
        <v>6340181.0</v>
      </c>
      <c r="M4457" s="128">
        <v>5111011.0</v>
      </c>
      <c r="N4457" s="128">
        <v>1229170.0</v>
      </c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</row>
    <row r="4458">
      <c r="A4458" s="125" t="s">
        <v>475</v>
      </c>
      <c r="B4458" s="125" t="s">
        <v>526</v>
      </c>
      <c r="C4458" s="125" t="s">
        <v>456</v>
      </c>
      <c r="D4458" s="125" t="s">
        <v>454</v>
      </c>
      <c r="E4458" s="125" t="s">
        <v>464</v>
      </c>
      <c r="F4458" s="126">
        <v>41506.0</v>
      </c>
      <c r="G4458" s="127">
        <v>4.0E8</v>
      </c>
      <c r="H4458" s="126">
        <v>41534.0</v>
      </c>
      <c r="I4458" s="128">
        <v>9699.0</v>
      </c>
      <c r="J4458" s="128">
        <v>152.58</v>
      </c>
      <c r="K4458" s="128">
        <v>97.44</v>
      </c>
      <c r="L4458" s="128">
        <v>1479873.0</v>
      </c>
      <c r="M4458" s="128">
        <v>945070.6</v>
      </c>
      <c r="N4458" s="128">
        <v>534802.9</v>
      </c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</row>
    <row r="4459">
      <c r="A4459" s="125" t="s">
        <v>466</v>
      </c>
      <c r="B4459" s="125" t="s">
        <v>598</v>
      </c>
      <c r="C4459" s="125" t="s">
        <v>494</v>
      </c>
      <c r="D4459" s="125" t="s">
        <v>454</v>
      </c>
      <c r="E4459" s="125" t="s">
        <v>472</v>
      </c>
      <c r="F4459" s="126">
        <v>42171.0</v>
      </c>
      <c r="G4459" s="127">
        <v>1.96E8</v>
      </c>
      <c r="H4459" s="126">
        <v>42183.0</v>
      </c>
      <c r="I4459" s="128">
        <v>3340.0</v>
      </c>
      <c r="J4459" s="128">
        <v>9.33</v>
      </c>
      <c r="K4459" s="128">
        <v>6.92</v>
      </c>
      <c r="L4459" s="128">
        <v>31162.2</v>
      </c>
      <c r="M4459" s="128">
        <v>23112.8</v>
      </c>
      <c r="N4459" s="128">
        <v>8049.4</v>
      </c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</row>
    <row r="4460">
      <c r="A4460" s="125" t="s">
        <v>466</v>
      </c>
      <c r="B4460" s="125" t="s">
        <v>584</v>
      </c>
      <c r="C4460" s="125" t="s">
        <v>506</v>
      </c>
      <c r="D4460" s="125" t="s">
        <v>457</v>
      </c>
      <c r="E4460" s="125" t="s">
        <v>284</v>
      </c>
      <c r="F4460" s="126">
        <v>42911.0</v>
      </c>
      <c r="G4460" s="127">
        <v>6.09E8</v>
      </c>
      <c r="H4460" s="126">
        <v>42941.0</v>
      </c>
      <c r="I4460" s="128">
        <v>6444.0</v>
      </c>
      <c r="J4460" s="128">
        <v>154.06</v>
      </c>
      <c r="K4460" s="128">
        <v>90.93</v>
      </c>
      <c r="L4460" s="128">
        <v>992762.6</v>
      </c>
      <c r="M4460" s="128">
        <v>585952.9</v>
      </c>
      <c r="N4460" s="128">
        <v>406809.7</v>
      </c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</row>
    <row r="4461">
      <c r="A4461" s="125" t="s">
        <v>475</v>
      </c>
      <c r="B4461" s="125" t="s">
        <v>635</v>
      </c>
      <c r="C4461" s="125" t="s">
        <v>460</v>
      </c>
      <c r="D4461" s="125" t="s">
        <v>457</v>
      </c>
      <c r="E4461" s="125" t="s">
        <v>284</v>
      </c>
      <c r="F4461" s="126">
        <v>40673.0</v>
      </c>
      <c r="G4461" s="127">
        <v>5.66E8</v>
      </c>
      <c r="H4461" s="126">
        <v>40706.0</v>
      </c>
      <c r="I4461" s="128">
        <v>1829.0</v>
      </c>
      <c r="J4461" s="128">
        <v>47.45</v>
      </c>
      <c r="K4461" s="128">
        <v>31.79</v>
      </c>
      <c r="L4461" s="128">
        <v>86786.05</v>
      </c>
      <c r="M4461" s="128">
        <v>58143.91</v>
      </c>
      <c r="N4461" s="128">
        <v>28642.14</v>
      </c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</row>
    <row r="4462">
      <c r="A4462" s="125" t="s">
        <v>458</v>
      </c>
      <c r="B4462" s="125" t="s">
        <v>563</v>
      </c>
      <c r="C4462" s="125" t="s">
        <v>506</v>
      </c>
      <c r="D4462" s="125" t="s">
        <v>457</v>
      </c>
      <c r="E4462" s="125" t="s">
        <v>472</v>
      </c>
      <c r="F4462" s="126">
        <v>41095.0</v>
      </c>
      <c r="G4462" s="127">
        <v>4.17E8</v>
      </c>
      <c r="H4462" s="126">
        <v>41135.0</v>
      </c>
      <c r="I4462" s="128">
        <v>4344.0</v>
      </c>
      <c r="J4462" s="128">
        <v>154.06</v>
      </c>
      <c r="K4462" s="128">
        <v>90.93</v>
      </c>
      <c r="L4462" s="128">
        <v>669236.6</v>
      </c>
      <c r="M4462" s="128">
        <v>394999.9</v>
      </c>
      <c r="N4462" s="128">
        <v>274236.7</v>
      </c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</row>
    <row r="4463">
      <c r="A4463" s="125" t="s">
        <v>458</v>
      </c>
      <c r="B4463" s="125" t="s">
        <v>559</v>
      </c>
      <c r="C4463" s="125" t="s">
        <v>506</v>
      </c>
      <c r="D4463" s="125" t="s">
        <v>457</v>
      </c>
      <c r="E4463" s="125" t="s">
        <v>189</v>
      </c>
      <c r="F4463" s="126">
        <v>40520.0</v>
      </c>
      <c r="G4463" s="127">
        <v>5.79E8</v>
      </c>
      <c r="H4463" s="126">
        <v>40523.0</v>
      </c>
      <c r="I4463" s="128">
        <v>5869.0</v>
      </c>
      <c r="J4463" s="128">
        <v>154.06</v>
      </c>
      <c r="K4463" s="128">
        <v>90.93</v>
      </c>
      <c r="L4463" s="128">
        <v>904178.1</v>
      </c>
      <c r="M4463" s="128">
        <v>533668.2</v>
      </c>
      <c r="N4463" s="128">
        <v>370510.0</v>
      </c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</row>
    <row r="4464">
      <c r="A4464" s="125" t="s">
        <v>458</v>
      </c>
      <c r="B4464" s="125" t="s">
        <v>459</v>
      </c>
      <c r="C4464" s="125" t="s">
        <v>494</v>
      </c>
      <c r="D4464" s="125" t="s">
        <v>454</v>
      </c>
      <c r="E4464" s="125" t="s">
        <v>189</v>
      </c>
      <c r="F4464" s="126">
        <v>41214.0</v>
      </c>
      <c r="G4464" s="127">
        <v>1.93E8</v>
      </c>
      <c r="H4464" s="126">
        <v>41259.0</v>
      </c>
      <c r="I4464" s="128">
        <v>314.0</v>
      </c>
      <c r="J4464" s="128">
        <v>9.33</v>
      </c>
      <c r="K4464" s="128">
        <v>6.92</v>
      </c>
      <c r="L4464" s="128">
        <v>2929.62</v>
      </c>
      <c r="M4464" s="128">
        <v>2172.88</v>
      </c>
      <c r="N4464" s="128">
        <v>756.74</v>
      </c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</row>
    <row r="4465">
      <c r="A4465" s="125" t="s">
        <v>475</v>
      </c>
      <c r="B4465" s="125" t="s">
        <v>640</v>
      </c>
      <c r="C4465" s="125" t="s">
        <v>478</v>
      </c>
      <c r="D4465" s="125" t="s">
        <v>454</v>
      </c>
      <c r="E4465" s="125" t="s">
        <v>189</v>
      </c>
      <c r="F4465" s="126">
        <v>41681.0</v>
      </c>
      <c r="G4465" s="127">
        <v>2.67E8</v>
      </c>
      <c r="H4465" s="126">
        <v>41700.0</v>
      </c>
      <c r="I4465" s="128">
        <v>8622.0</v>
      </c>
      <c r="J4465" s="128">
        <v>651.21</v>
      </c>
      <c r="K4465" s="128">
        <v>524.96</v>
      </c>
      <c r="L4465" s="128">
        <v>5614733.0</v>
      </c>
      <c r="M4465" s="128">
        <v>4526205.0</v>
      </c>
      <c r="N4465" s="128">
        <v>1088528.0</v>
      </c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</row>
    <row r="4466">
      <c r="A4466" s="125" t="s">
        <v>475</v>
      </c>
      <c r="B4466" s="125" t="s">
        <v>623</v>
      </c>
      <c r="C4466" s="125" t="s">
        <v>480</v>
      </c>
      <c r="D4466" s="125" t="s">
        <v>457</v>
      </c>
      <c r="E4466" s="125" t="s">
        <v>464</v>
      </c>
      <c r="F4466" s="126">
        <v>40814.0</v>
      </c>
      <c r="G4466" s="127">
        <v>5.31E8</v>
      </c>
      <c r="H4466" s="126">
        <v>40861.0</v>
      </c>
      <c r="I4466" s="128">
        <v>3767.0</v>
      </c>
      <c r="J4466" s="128">
        <v>437.2</v>
      </c>
      <c r="K4466" s="128">
        <v>263.33</v>
      </c>
      <c r="L4466" s="128">
        <v>1646932.0</v>
      </c>
      <c r="M4466" s="128">
        <v>991964.1</v>
      </c>
      <c r="N4466" s="128">
        <v>654968.3</v>
      </c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</row>
    <row r="4467">
      <c r="A4467" s="125" t="s">
        <v>458</v>
      </c>
      <c r="B4467" s="125" t="s">
        <v>642</v>
      </c>
      <c r="C4467" s="125" t="s">
        <v>514</v>
      </c>
      <c r="D4467" s="125" t="s">
        <v>457</v>
      </c>
      <c r="E4467" s="125" t="s">
        <v>189</v>
      </c>
      <c r="F4467" s="126">
        <v>42047.0</v>
      </c>
      <c r="G4467" s="127">
        <v>7.85E8</v>
      </c>
      <c r="H4467" s="126">
        <v>42084.0</v>
      </c>
      <c r="I4467" s="128">
        <v>5754.0</v>
      </c>
      <c r="J4467" s="128">
        <v>668.27</v>
      </c>
      <c r="K4467" s="128">
        <v>502.54</v>
      </c>
      <c r="L4467" s="128">
        <v>3845226.0</v>
      </c>
      <c r="M4467" s="128">
        <v>2891615.0</v>
      </c>
      <c r="N4467" s="128">
        <v>953610.4</v>
      </c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</row>
    <row r="4468">
      <c r="A4468" s="125" t="s">
        <v>458</v>
      </c>
      <c r="B4468" s="125" t="s">
        <v>533</v>
      </c>
      <c r="C4468" s="125" t="s">
        <v>453</v>
      </c>
      <c r="D4468" s="125" t="s">
        <v>457</v>
      </c>
      <c r="E4468" s="125" t="s">
        <v>189</v>
      </c>
      <c r="F4468" s="126">
        <v>40901.0</v>
      </c>
      <c r="G4468" s="127">
        <v>4.51E8</v>
      </c>
      <c r="H4468" s="126">
        <v>40910.0</v>
      </c>
      <c r="I4468" s="128">
        <v>6618.0</v>
      </c>
      <c r="J4468" s="128">
        <v>255.28</v>
      </c>
      <c r="K4468" s="128">
        <v>159.42</v>
      </c>
      <c r="L4468" s="128">
        <v>1689443.0</v>
      </c>
      <c r="M4468" s="128">
        <v>1055042.0</v>
      </c>
      <c r="N4468" s="128">
        <v>634401.5</v>
      </c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</row>
    <row r="4469">
      <c r="A4469" s="125" t="s">
        <v>458</v>
      </c>
      <c r="B4469" s="125" t="s">
        <v>487</v>
      </c>
      <c r="C4469" s="125" t="s">
        <v>506</v>
      </c>
      <c r="D4469" s="125" t="s">
        <v>457</v>
      </c>
      <c r="E4469" s="125" t="s">
        <v>284</v>
      </c>
      <c r="F4469" s="126">
        <v>40204.0</v>
      </c>
      <c r="G4469" s="127">
        <v>8.17E8</v>
      </c>
      <c r="H4469" s="126">
        <v>40230.0</v>
      </c>
      <c r="I4469" s="128">
        <v>5427.0</v>
      </c>
      <c r="J4469" s="128">
        <v>154.06</v>
      </c>
      <c r="K4469" s="128">
        <v>90.93</v>
      </c>
      <c r="L4469" s="128">
        <v>836083.6</v>
      </c>
      <c r="M4469" s="128">
        <v>493477.1</v>
      </c>
      <c r="N4469" s="128">
        <v>342606.5</v>
      </c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</row>
    <row r="4470">
      <c r="A4470" s="125" t="s">
        <v>451</v>
      </c>
      <c r="B4470" s="125" t="s">
        <v>620</v>
      </c>
      <c r="C4470" s="125" t="s">
        <v>478</v>
      </c>
      <c r="D4470" s="125" t="s">
        <v>454</v>
      </c>
      <c r="E4470" s="125" t="s">
        <v>472</v>
      </c>
      <c r="F4470" s="126">
        <v>40405.0</v>
      </c>
      <c r="G4470" s="127">
        <v>9.96E8</v>
      </c>
      <c r="H4470" s="126">
        <v>40413.0</v>
      </c>
      <c r="I4470" s="128">
        <v>3280.0</v>
      </c>
      <c r="J4470" s="128">
        <v>651.21</v>
      </c>
      <c r="K4470" s="128">
        <v>524.96</v>
      </c>
      <c r="L4470" s="128">
        <v>2135969.0</v>
      </c>
      <c r="M4470" s="128">
        <v>1721869.0</v>
      </c>
      <c r="N4470" s="128">
        <v>414100.0</v>
      </c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</row>
    <row r="4471">
      <c r="A4471" s="125" t="s">
        <v>458</v>
      </c>
      <c r="B4471" s="125" t="s">
        <v>633</v>
      </c>
      <c r="C4471" s="125" t="s">
        <v>478</v>
      </c>
      <c r="D4471" s="125" t="s">
        <v>454</v>
      </c>
      <c r="E4471" s="125" t="s">
        <v>472</v>
      </c>
      <c r="F4471" s="126">
        <v>40959.0</v>
      </c>
      <c r="G4471" s="127">
        <v>1.68E8</v>
      </c>
      <c r="H4471" s="126">
        <v>40978.0</v>
      </c>
      <c r="I4471" s="128">
        <v>8307.0</v>
      </c>
      <c r="J4471" s="128">
        <v>651.21</v>
      </c>
      <c r="K4471" s="128">
        <v>524.96</v>
      </c>
      <c r="L4471" s="128">
        <v>5409601.0</v>
      </c>
      <c r="M4471" s="128">
        <v>4360843.0</v>
      </c>
      <c r="N4471" s="128">
        <v>1048759.0</v>
      </c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</row>
    <row r="4472">
      <c r="A4472" s="125" t="s">
        <v>461</v>
      </c>
      <c r="B4472" s="125" t="s">
        <v>510</v>
      </c>
      <c r="C4472" s="125" t="s">
        <v>460</v>
      </c>
      <c r="D4472" s="125" t="s">
        <v>457</v>
      </c>
      <c r="E4472" s="125" t="s">
        <v>472</v>
      </c>
      <c r="F4472" s="126">
        <v>41713.0</v>
      </c>
      <c r="G4472" s="127">
        <v>7.36E8</v>
      </c>
      <c r="H4472" s="126">
        <v>41746.0</v>
      </c>
      <c r="I4472" s="128">
        <v>668.0</v>
      </c>
      <c r="J4472" s="128">
        <v>47.45</v>
      </c>
      <c r="K4472" s="128">
        <v>31.79</v>
      </c>
      <c r="L4472" s="128">
        <v>31696.6</v>
      </c>
      <c r="M4472" s="128">
        <v>21235.72</v>
      </c>
      <c r="N4472" s="128">
        <v>10460.88</v>
      </c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</row>
    <row r="4473">
      <c r="A4473" s="125" t="s">
        <v>475</v>
      </c>
      <c r="B4473" s="125" t="s">
        <v>500</v>
      </c>
      <c r="C4473" s="125" t="s">
        <v>471</v>
      </c>
      <c r="D4473" s="125" t="s">
        <v>457</v>
      </c>
      <c r="E4473" s="125" t="s">
        <v>284</v>
      </c>
      <c r="F4473" s="126">
        <v>41515.0</v>
      </c>
      <c r="G4473" s="127">
        <v>6.71E8</v>
      </c>
      <c r="H4473" s="126">
        <v>41526.0</v>
      </c>
      <c r="I4473" s="128">
        <v>7557.0</v>
      </c>
      <c r="J4473" s="128">
        <v>109.28</v>
      </c>
      <c r="K4473" s="128">
        <v>35.84</v>
      </c>
      <c r="L4473" s="128">
        <v>825829.0</v>
      </c>
      <c r="M4473" s="128">
        <v>270842.9</v>
      </c>
      <c r="N4473" s="128">
        <v>554986.1</v>
      </c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</row>
    <row r="4474">
      <c r="A4474" s="125" t="s">
        <v>469</v>
      </c>
      <c r="B4474" s="125" t="s">
        <v>519</v>
      </c>
      <c r="C4474" s="125" t="s">
        <v>478</v>
      </c>
      <c r="D4474" s="125" t="s">
        <v>454</v>
      </c>
      <c r="E4474" s="125" t="s">
        <v>284</v>
      </c>
      <c r="F4474" s="126">
        <v>42373.0</v>
      </c>
      <c r="G4474" s="127">
        <v>2.65E8</v>
      </c>
      <c r="H4474" s="126">
        <v>42405.0</v>
      </c>
      <c r="I4474" s="128">
        <v>8196.0</v>
      </c>
      <c r="J4474" s="128">
        <v>651.21</v>
      </c>
      <c r="K4474" s="128">
        <v>524.96</v>
      </c>
      <c r="L4474" s="128">
        <v>5337317.0</v>
      </c>
      <c r="M4474" s="128">
        <v>4302572.0</v>
      </c>
      <c r="N4474" s="128">
        <v>1034745.0</v>
      </c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</row>
    <row r="4475">
      <c r="A4475" s="125" t="s">
        <v>458</v>
      </c>
      <c r="B4475" s="125" t="s">
        <v>631</v>
      </c>
      <c r="C4475" s="125" t="s">
        <v>471</v>
      </c>
      <c r="D4475" s="125" t="s">
        <v>454</v>
      </c>
      <c r="E4475" s="125" t="s">
        <v>284</v>
      </c>
      <c r="F4475" s="126">
        <v>42530.0</v>
      </c>
      <c r="G4475" s="127">
        <v>7.81E8</v>
      </c>
      <c r="H4475" s="126">
        <v>42539.0</v>
      </c>
      <c r="I4475" s="128">
        <v>8841.0</v>
      </c>
      <c r="J4475" s="128">
        <v>109.28</v>
      </c>
      <c r="K4475" s="128">
        <v>35.84</v>
      </c>
      <c r="L4475" s="128">
        <v>966144.5</v>
      </c>
      <c r="M4475" s="128">
        <v>316861.4</v>
      </c>
      <c r="N4475" s="128">
        <v>649283.0</v>
      </c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</row>
    <row r="4476">
      <c r="A4476" s="125" t="s">
        <v>458</v>
      </c>
      <c r="B4476" s="125" t="s">
        <v>538</v>
      </c>
      <c r="C4476" s="125" t="s">
        <v>463</v>
      </c>
      <c r="D4476" s="125" t="s">
        <v>457</v>
      </c>
      <c r="E4476" s="125" t="s">
        <v>189</v>
      </c>
      <c r="F4476" s="126">
        <v>40623.0</v>
      </c>
      <c r="G4476" s="127">
        <v>4.02E8</v>
      </c>
      <c r="H4476" s="126">
        <v>40644.0</v>
      </c>
      <c r="I4476" s="128">
        <v>7778.0</v>
      </c>
      <c r="J4476" s="128">
        <v>205.7</v>
      </c>
      <c r="K4476" s="128">
        <v>117.11</v>
      </c>
      <c r="L4476" s="128">
        <v>1599935.0</v>
      </c>
      <c r="M4476" s="128">
        <v>910881.6</v>
      </c>
      <c r="N4476" s="128">
        <v>689053.0</v>
      </c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</row>
    <row r="4477">
      <c r="A4477" s="125" t="s">
        <v>451</v>
      </c>
      <c r="B4477" s="125" t="s">
        <v>596</v>
      </c>
      <c r="C4477" s="125" t="s">
        <v>456</v>
      </c>
      <c r="D4477" s="125" t="s">
        <v>457</v>
      </c>
      <c r="E4477" s="125" t="s">
        <v>464</v>
      </c>
      <c r="F4477" s="126">
        <v>42589.0</v>
      </c>
      <c r="G4477" s="127">
        <v>9.81E8</v>
      </c>
      <c r="H4477" s="126">
        <v>42622.0</v>
      </c>
      <c r="I4477" s="128">
        <v>324.0</v>
      </c>
      <c r="J4477" s="128">
        <v>152.58</v>
      </c>
      <c r="K4477" s="128">
        <v>97.44</v>
      </c>
      <c r="L4477" s="128">
        <v>49435.92</v>
      </c>
      <c r="M4477" s="128">
        <v>31570.56</v>
      </c>
      <c r="N4477" s="128">
        <v>17865.36</v>
      </c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</row>
    <row r="4478">
      <c r="A4478" s="125" t="s">
        <v>458</v>
      </c>
      <c r="B4478" s="125" t="s">
        <v>603</v>
      </c>
      <c r="C4478" s="125" t="s">
        <v>478</v>
      </c>
      <c r="D4478" s="125" t="s">
        <v>454</v>
      </c>
      <c r="E4478" s="125" t="s">
        <v>464</v>
      </c>
      <c r="F4478" s="126">
        <v>40927.0</v>
      </c>
      <c r="G4478" s="127">
        <v>3.91E8</v>
      </c>
      <c r="H4478" s="126">
        <v>40952.0</v>
      </c>
      <c r="I4478" s="128">
        <v>3827.0</v>
      </c>
      <c r="J4478" s="128">
        <v>651.21</v>
      </c>
      <c r="K4478" s="128">
        <v>524.96</v>
      </c>
      <c r="L4478" s="128">
        <v>2492181.0</v>
      </c>
      <c r="M4478" s="128">
        <v>2009022.0</v>
      </c>
      <c r="N4478" s="128">
        <v>483158.8</v>
      </c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</row>
    <row r="4479">
      <c r="A4479" s="125" t="s">
        <v>466</v>
      </c>
      <c r="B4479" s="125" t="s">
        <v>531</v>
      </c>
      <c r="C4479" s="125" t="s">
        <v>453</v>
      </c>
      <c r="D4479" s="125" t="s">
        <v>457</v>
      </c>
      <c r="E4479" s="125" t="s">
        <v>472</v>
      </c>
      <c r="F4479" s="126">
        <v>40969.0</v>
      </c>
      <c r="G4479" s="127">
        <v>1.77E8</v>
      </c>
      <c r="H4479" s="126">
        <v>40984.0</v>
      </c>
      <c r="I4479" s="128">
        <v>2669.0</v>
      </c>
      <c r="J4479" s="128">
        <v>255.28</v>
      </c>
      <c r="K4479" s="128">
        <v>159.42</v>
      </c>
      <c r="L4479" s="128">
        <v>681342.3</v>
      </c>
      <c r="M4479" s="128">
        <v>425492.0</v>
      </c>
      <c r="N4479" s="128">
        <v>255850.3</v>
      </c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</row>
    <row r="4480">
      <c r="A4480" s="125" t="s">
        <v>466</v>
      </c>
      <c r="B4480" s="125" t="s">
        <v>524</v>
      </c>
      <c r="C4480" s="125" t="s">
        <v>456</v>
      </c>
      <c r="D4480" s="125" t="s">
        <v>457</v>
      </c>
      <c r="E4480" s="125" t="s">
        <v>189</v>
      </c>
      <c r="F4480" s="126">
        <v>42905.0</v>
      </c>
      <c r="G4480" s="127">
        <v>6.02E8</v>
      </c>
      <c r="H4480" s="126">
        <v>42938.0</v>
      </c>
      <c r="I4480" s="128">
        <v>3259.0</v>
      </c>
      <c r="J4480" s="128">
        <v>152.58</v>
      </c>
      <c r="K4480" s="128">
        <v>97.44</v>
      </c>
      <c r="L4480" s="128">
        <v>497258.2</v>
      </c>
      <c r="M4480" s="128">
        <v>317557.0</v>
      </c>
      <c r="N4480" s="128">
        <v>179701.3</v>
      </c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</row>
    <row r="4481">
      <c r="A4481" s="125" t="s">
        <v>461</v>
      </c>
      <c r="B4481" s="125" t="s">
        <v>539</v>
      </c>
      <c r="C4481" s="125" t="s">
        <v>453</v>
      </c>
      <c r="D4481" s="125" t="s">
        <v>454</v>
      </c>
      <c r="E4481" s="125" t="s">
        <v>189</v>
      </c>
      <c r="F4481" s="126">
        <v>40401.0</v>
      </c>
      <c r="G4481" s="127">
        <v>2.0E8</v>
      </c>
      <c r="H4481" s="126">
        <v>40451.0</v>
      </c>
      <c r="I4481" s="128">
        <v>9040.0</v>
      </c>
      <c r="J4481" s="128">
        <v>255.28</v>
      </c>
      <c r="K4481" s="128">
        <v>159.42</v>
      </c>
      <c r="L4481" s="128">
        <v>2307731.0</v>
      </c>
      <c r="M4481" s="128">
        <v>1441157.0</v>
      </c>
      <c r="N4481" s="128">
        <v>866574.4</v>
      </c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</row>
    <row r="4482">
      <c r="A4482" s="125" t="s">
        <v>466</v>
      </c>
      <c r="B4482" s="125" t="s">
        <v>479</v>
      </c>
      <c r="C4482" s="125" t="s">
        <v>478</v>
      </c>
      <c r="D4482" s="125" t="s">
        <v>457</v>
      </c>
      <c r="E4482" s="125" t="s">
        <v>284</v>
      </c>
      <c r="F4482" s="126">
        <v>41340.0</v>
      </c>
      <c r="G4482" s="127">
        <v>7.28E8</v>
      </c>
      <c r="H4482" s="126">
        <v>41386.0</v>
      </c>
      <c r="I4482" s="128">
        <v>5486.0</v>
      </c>
      <c r="J4482" s="128">
        <v>651.21</v>
      </c>
      <c r="K4482" s="128">
        <v>524.96</v>
      </c>
      <c r="L4482" s="128">
        <v>3572538.0</v>
      </c>
      <c r="M4482" s="128">
        <v>2879931.0</v>
      </c>
      <c r="N4482" s="128">
        <v>692607.5</v>
      </c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</row>
    <row r="4483">
      <c r="A4483" s="125" t="s">
        <v>458</v>
      </c>
      <c r="B4483" s="125" t="s">
        <v>518</v>
      </c>
      <c r="C4483" s="125" t="s">
        <v>506</v>
      </c>
      <c r="D4483" s="125" t="s">
        <v>457</v>
      </c>
      <c r="E4483" s="125" t="s">
        <v>189</v>
      </c>
      <c r="F4483" s="126">
        <v>41547.0</v>
      </c>
      <c r="G4483" s="127">
        <v>4.09E8</v>
      </c>
      <c r="H4483" s="126">
        <v>41591.0</v>
      </c>
      <c r="I4483" s="128">
        <v>5102.0</v>
      </c>
      <c r="J4483" s="128">
        <v>154.06</v>
      </c>
      <c r="K4483" s="128">
        <v>90.93</v>
      </c>
      <c r="L4483" s="128">
        <v>786014.1</v>
      </c>
      <c r="M4483" s="128">
        <v>463924.9</v>
      </c>
      <c r="N4483" s="128">
        <v>322089.3</v>
      </c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</row>
    <row r="4484">
      <c r="A4484" s="125" t="s">
        <v>451</v>
      </c>
      <c r="B4484" s="125" t="s">
        <v>550</v>
      </c>
      <c r="C4484" s="125" t="s">
        <v>494</v>
      </c>
      <c r="D4484" s="125" t="s">
        <v>454</v>
      </c>
      <c r="E4484" s="125" t="s">
        <v>472</v>
      </c>
      <c r="F4484" s="126">
        <v>42768.0</v>
      </c>
      <c r="G4484" s="127">
        <v>6.88E8</v>
      </c>
      <c r="H4484" s="126">
        <v>42795.0</v>
      </c>
      <c r="I4484" s="128">
        <v>2424.0</v>
      </c>
      <c r="J4484" s="128">
        <v>9.33</v>
      </c>
      <c r="K4484" s="128">
        <v>6.92</v>
      </c>
      <c r="L4484" s="128">
        <v>22615.92</v>
      </c>
      <c r="M4484" s="128">
        <v>16774.08</v>
      </c>
      <c r="N4484" s="128">
        <v>5841.84</v>
      </c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</row>
    <row r="4485">
      <c r="A4485" s="125" t="s">
        <v>475</v>
      </c>
      <c r="B4485" s="125" t="s">
        <v>635</v>
      </c>
      <c r="C4485" s="125" t="s">
        <v>494</v>
      </c>
      <c r="D4485" s="125" t="s">
        <v>454</v>
      </c>
      <c r="E4485" s="125" t="s">
        <v>464</v>
      </c>
      <c r="F4485" s="126">
        <v>40224.0</v>
      </c>
      <c r="G4485" s="127">
        <v>3.83E8</v>
      </c>
      <c r="H4485" s="126">
        <v>40241.0</v>
      </c>
      <c r="I4485" s="128">
        <v>9019.0</v>
      </c>
      <c r="J4485" s="128">
        <v>9.33</v>
      </c>
      <c r="K4485" s="128">
        <v>6.92</v>
      </c>
      <c r="L4485" s="128">
        <v>84147.27</v>
      </c>
      <c r="M4485" s="128">
        <v>62411.48</v>
      </c>
      <c r="N4485" s="128">
        <v>21735.79</v>
      </c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</row>
    <row r="4486">
      <c r="A4486" s="125" t="s">
        <v>469</v>
      </c>
      <c r="B4486" s="125" t="s">
        <v>617</v>
      </c>
      <c r="C4486" s="125" t="s">
        <v>460</v>
      </c>
      <c r="D4486" s="125" t="s">
        <v>457</v>
      </c>
      <c r="E4486" s="125" t="s">
        <v>472</v>
      </c>
      <c r="F4486" s="126">
        <v>40587.0</v>
      </c>
      <c r="G4486" s="127">
        <v>6.28E8</v>
      </c>
      <c r="H4486" s="126">
        <v>40588.0</v>
      </c>
      <c r="I4486" s="128">
        <v>8486.0</v>
      </c>
      <c r="J4486" s="128">
        <v>47.45</v>
      </c>
      <c r="K4486" s="128">
        <v>31.79</v>
      </c>
      <c r="L4486" s="128">
        <v>402660.7</v>
      </c>
      <c r="M4486" s="128">
        <v>269769.9</v>
      </c>
      <c r="N4486" s="128">
        <v>132890.8</v>
      </c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</row>
    <row r="4487">
      <c r="A4487" s="125" t="s">
        <v>451</v>
      </c>
      <c r="B4487" s="125" t="s">
        <v>593</v>
      </c>
      <c r="C4487" s="125" t="s">
        <v>460</v>
      </c>
      <c r="D4487" s="125" t="s">
        <v>454</v>
      </c>
      <c r="E4487" s="125" t="s">
        <v>189</v>
      </c>
      <c r="F4487" s="126">
        <v>41240.0</v>
      </c>
      <c r="G4487" s="127">
        <v>8.29E8</v>
      </c>
      <c r="H4487" s="126">
        <v>41243.0</v>
      </c>
      <c r="I4487" s="128">
        <v>1454.0</v>
      </c>
      <c r="J4487" s="128">
        <v>47.45</v>
      </c>
      <c r="K4487" s="128">
        <v>31.79</v>
      </c>
      <c r="L4487" s="128">
        <v>68992.3</v>
      </c>
      <c r="M4487" s="128">
        <v>46222.66</v>
      </c>
      <c r="N4487" s="128">
        <v>22769.64</v>
      </c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</row>
    <row r="4488">
      <c r="A4488" s="125" t="s">
        <v>461</v>
      </c>
      <c r="B4488" s="125" t="s">
        <v>510</v>
      </c>
      <c r="C4488" s="125" t="s">
        <v>471</v>
      </c>
      <c r="D4488" s="125" t="s">
        <v>457</v>
      </c>
      <c r="E4488" s="125" t="s">
        <v>189</v>
      </c>
      <c r="F4488" s="126">
        <v>42718.0</v>
      </c>
      <c r="G4488" s="127">
        <v>9.15E8</v>
      </c>
      <c r="H4488" s="126">
        <v>42727.0</v>
      </c>
      <c r="I4488" s="128">
        <v>586.0</v>
      </c>
      <c r="J4488" s="128">
        <v>109.28</v>
      </c>
      <c r="K4488" s="128">
        <v>35.84</v>
      </c>
      <c r="L4488" s="128">
        <v>64038.08</v>
      </c>
      <c r="M4488" s="128">
        <v>21002.24</v>
      </c>
      <c r="N4488" s="128">
        <v>43035.84</v>
      </c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</row>
    <row r="4489">
      <c r="A4489" s="125" t="s">
        <v>469</v>
      </c>
      <c r="B4489" s="125" t="s">
        <v>569</v>
      </c>
      <c r="C4489" s="125" t="s">
        <v>453</v>
      </c>
      <c r="D4489" s="125" t="s">
        <v>454</v>
      </c>
      <c r="E4489" s="125" t="s">
        <v>472</v>
      </c>
      <c r="F4489" s="126">
        <v>41797.0</v>
      </c>
      <c r="G4489" s="127">
        <v>8.81E8</v>
      </c>
      <c r="H4489" s="126">
        <v>41843.0</v>
      </c>
      <c r="I4489" s="128">
        <v>5573.0</v>
      </c>
      <c r="J4489" s="128">
        <v>255.28</v>
      </c>
      <c r="K4489" s="128">
        <v>159.42</v>
      </c>
      <c r="L4489" s="128">
        <v>1422675.0</v>
      </c>
      <c r="M4489" s="128">
        <v>888447.7</v>
      </c>
      <c r="N4489" s="128">
        <v>534227.8</v>
      </c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</row>
    <row r="4490">
      <c r="A4490" s="125" t="s">
        <v>469</v>
      </c>
      <c r="B4490" s="125" t="s">
        <v>530</v>
      </c>
      <c r="C4490" s="125" t="s">
        <v>460</v>
      </c>
      <c r="D4490" s="125" t="s">
        <v>457</v>
      </c>
      <c r="E4490" s="125" t="s">
        <v>464</v>
      </c>
      <c r="F4490" s="126">
        <v>41175.0</v>
      </c>
      <c r="G4490" s="127">
        <v>3.44E8</v>
      </c>
      <c r="H4490" s="126">
        <v>41175.0</v>
      </c>
      <c r="I4490" s="128">
        <v>8138.0</v>
      </c>
      <c r="J4490" s="128">
        <v>47.45</v>
      </c>
      <c r="K4490" s="128">
        <v>31.79</v>
      </c>
      <c r="L4490" s="128">
        <v>386148.1</v>
      </c>
      <c r="M4490" s="128">
        <v>258707.0</v>
      </c>
      <c r="N4490" s="128">
        <v>127441.1</v>
      </c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</row>
    <row r="4491">
      <c r="A4491" s="125" t="s">
        <v>461</v>
      </c>
      <c r="B4491" s="125" t="s">
        <v>599</v>
      </c>
      <c r="C4491" s="125" t="s">
        <v>453</v>
      </c>
      <c r="D4491" s="125" t="s">
        <v>454</v>
      </c>
      <c r="E4491" s="125" t="s">
        <v>472</v>
      </c>
      <c r="F4491" s="126">
        <v>42554.0</v>
      </c>
      <c r="G4491" s="127">
        <v>7.93E8</v>
      </c>
      <c r="H4491" s="126">
        <v>42555.0</v>
      </c>
      <c r="I4491" s="128">
        <v>7038.0</v>
      </c>
      <c r="J4491" s="128">
        <v>255.28</v>
      </c>
      <c r="K4491" s="128">
        <v>159.42</v>
      </c>
      <c r="L4491" s="128">
        <v>1796661.0</v>
      </c>
      <c r="M4491" s="128">
        <v>1121998.0</v>
      </c>
      <c r="N4491" s="128">
        <v>674662.7</v>
      </c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</row>
    <row r="4492">
      <c r="A4492" s="125" t="s">
        <v>461</v>
      </c>
      <c r="B4492" s="125" t="s">
        <v>644</v>
      </c>
      <c r="C4492" s="125" t="s">
        <v>506</v>
      </c>
      <c r="D4492" s="125" t="s">
        <v>454</v>
      </c>
      <c r="E4492" s="125" t="s">
        <v>464</v>
      </c>
      <c r="F4492" s="126">
        <v>42495.0</v>
      </c>
      <c r="G4492" s="127">
        <v>6.34E8</v>
      </c>
      <c r="H4492" s="126">
        <v>42534.0</v>
      </c>
      <c r="I4492" s="128">
        <v>3057.0</v>
      </c>
      <c r="J4492" s="128">
        <v>154.06</v>
      </c>
      <c r="K4492" s="128">
        <v>90.93</v>
      </c>
      <c r="L4492" s="128">
        <v>470961.4</v>
      </c>
      <c r="M4492" s="128">
        <v>277973.0</v>
      </c>
      <c r="N4492" s="128">
        <v>192988.4</v>
      </c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</row>
    <row r="4493">
      <c r="A4493" s="125" t="s">
        <v>466</v>
      </c>
      <c r="B4493" s="125" t="s">
        <v>598</v>
      </c>
      <c r="C4493" s="125" t="s">
        <v>494</v>
      </c>
      <c r="D4493" s="125" t="s">
        <v>457</v>
      </c>
      <c r="E4493" s="125" t="s">
        <v>189</v>
      </c>
      <c r="F4493" s="126">
        <v>42096.0</v>
      </c>
      <c r="G4493" s="127">
        <v>1.47E8</v>
      </c>
      <c r="H4493" s="126">
        <v>42138.0</v>
      </c>
      <c r="I4493" s="128">
        <v>4013.0</v>
      </c>
      <c r="J4493" s="128">
        <v>9.33</v>
      </c>
      <c r="K4493" s="128">
        <v>6.92</v>
      </c>
      <c r="L4493" s="128">
        <v>37441.29</v>
      </c>
      <c r="M4493" s="128">
        <v>27769.96</v>
      </c>
      <c r="N4493" s="128">
        <v>9671.33</v>
      </c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</row>
    <row r="4494">
      <c r="A4494" s="125" t="s">
        <v>475</v>
      </c>
      <c r="B4494" s="125" t="s">
        <v>549</v>
      </c>
      <c r="C4494" s="125" t="s">
        <v>471</v>
      </c>
      <c r="D4494" s="125" t="s">
        <v>454</v>
      </c>
      <c r="E4494" s="125" t="s">
        <v>464</v>
      </c>
      <c r="F4494" s="126">
        <v>42844.0</v>
      </c>
      <c r="G4494" s="127">
        <v>1.3E8</v>
      </c>
      <c r="H4494" s="126">
        <v>42844.0</v>
      </c>
      <c r="I4494" s="128">
        <v>9756.0</v>
      </c>
      <c r="J4494" s="128">
        <v>109.28</v>
      </c>
      <c r="K4494" s="128">
        <v>35.84</v>
      </c>
      <c r="L4494" s="128">
        <v>1066136.0</v>
      </c>
      <c r="M4494" s="128">
        <v>349655.0</v>
      </c>
      <c r="N4494" s="128">
        <v>716480.6</v>
      </c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</row>
    <row r="4495">
      <c r="A4495" s="125" t="s">
        <v>461</v>
      </c>
      <c r="B4495" s="125" t="s">
        <v>539</v>
      </c>
      <c r="C4495" s="125" t="s">
        <v>456</v>
      </c>
      <c r="D4495" s="125" t="s">
        <v>457</v>
      </c>
      <c r="E4495" s="125" t="s">
        <v>472</v>
      </c>
      <c r="F4495" s="126">
        <v>42465.0</v>
      </c>
      <c r="G4495" s="127">
        <v>5.51E8</v>
      </c>
      <c r="H4495" s="126">
        <v>42512.0</v>
      </c>
      <c r="I4495" s="128">
        <v>7164.0</v>
      </c>
      <c r="J4495" s="128">
        <v>152.58</v>
      </c>
      <c r="K4495" s="128">
        <v>97.44</v>
      </c>
      <c r="L4495" s="128">
        <v>1093083.0</v>
      </c>
      <c r="M4495" s="128">
        <v>698060.2</v>
      </c>
      <c r="N4495" s="128">
        <v>395023.0</v>
      </c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</row>
    <row r="4496">
      <c r="A4496" s="125" t="s">
        <v>475</v>
      </c>
      <c r="B4496" s="125" t="s">
        <v>585</v>
      </c>
      <c r="C4496" s="125" t="s">
        <v>478</v>
      </c>
      <c r="D4496" s="125" t="s">
        <v>457</v>
      </c>
      <c r="E4496" s="125" t="s">
        <v>464</v>
      </c>
      <c r="F4496" s="126">
        <v>41842.0</v>
      </c>
      <c r="G4496" s="127">
        <v>1.0E8</v>
      </c>
      <c r="H4496" s="126">
        <v>41865.0</v>
      </c>
      <c r="I4496" s="128">
        <v>5149.0</v>
      </c>
      <c r="J4496" s="128">
        <v>651.21</v>
      </c>
      <c r="K4496" s="128">
        <v>524.96</v>
      </c>
      <c r="L4496" s="128">
        <v>3353080.0</v>
      </c>
      <c r="M4496" s="128">
        <v>2703019.0</v>
      </c>
      <c r="N4496" s="128">
        <v>650061.3</v>
      </c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</row>
    <row r="4497">
      <c r="A4497" s="125" t="s">
        <v>475</v>
      </c>
      <c r="B4497" s="125" t="s">
        <v>601</v>
      </c>
      <c r="C4497" s="125" t="s">
        <v>478</v>
      </c>
      <c r="D4497" s="125" t="s">
        <v>457</v>
      </c>
      <c r="E4497" s="125" t="s">
        <v>189</v>
      </c>
      <c r="F4497" s="126">
        <v>40862.0</v>
      </c>
      <c r="G4497" s="127">
        <v>2.36E8</v>
      </c>
      <c r="H4497" s="126">
        <v>40874.0</v>
      </c>
      <c r="I4497" s="128">
        <v>9654.0</v>
      </c>
      <c r="J4497" s="128">
        <v>651.21</v>
      </c>
      <c r="K4497" s="128">
        <v>524.96</v>
      </c>
      <c r="L4497" s="128">
        <v>6286781.0</v>
      </c>
      <c r="M4497" s="128">
        <v>5067964.0</v>
      </c>
      <c r="N4497" s="128">
        <v>1218818.0</v>
      </c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</row>
    <row r="4498">
      <c r="A4498" s="125" t="s">
        <v>458</v>
      </c>
      <c r="B4498" s="125" t="s">
        <v>518</v>
      </c>
      <c r="C4498" s="125" t="s">
        <v>468</v>
      </c>
      <c r="D4498" s="125" t="s">
        <v>454</v>
      </c>
      <c r="E4498" s="125" t="s">
        <v>464</v>
      </c>
      <c r="F4498" s="126">
        <v>42568.0</v>
      </c>
      <c r="G4498" s="127">
        <v>2.39E8</v>
      </c>
      <c r="H4498" s="126">
        <v>42577.0</v>
      </c>
      <c r="I4498" s="128">
        <v>8651.0</v>
      </c>
      <c r="J4498" s="128">
        <v>81.73</v>
      </c>
      <c r="K4498" s="128">
        <v>56.67</v>
      </c>
      <c r="L4498" s="128">
        <v>707046.2</v>
      </c>
      <c r="M4498" s="128">
        <v>490252.2</v>
      </c>
      <c r="N4498" s="128">
        <v>216794.1</v>
      </c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</row>
    <row r="4499">
      <c r="A4499" s="125" t="s">
        <v>466</v>
      </c>
      <c r="B4499" s="125" t="s">
        <v>584</v>
      </c>
      <c r="C4499" s="125" t="s">
        <v>514</v>
      </c>
      <c r="D4499" s="125" t="s">
        <v>454</v>
      </c>
      <c r="E4499" s="125" t="s">
        <v>284</v>
      </c>
      <c r="F4499" s="126">
        <v>40712.0</v>
      </c>
      <c r="G4499" s="127">
        <v>3.59E8</v>
      </c>
      <c r="H4499" s="126">
        <v>40758.0</v>
      </c>
      <c r="I4499" s="128">
        <v>7147.0</v>
      </c>
      <c r="J4499" s="128">
        <v>668.27</v>
      </c>
      <c r="K4499" s="128">
        <v>502.54</v>
      </c>
      <c r="L4499" s="128">
        <v>4776126.0</v>
      </c>
      <c r="M4499" s="128">
        <v>3591653.0</v>
      </c>
      <c r="N4499" s="128">
        <v>1184472.0</v>
      </c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</row>
    <row r="4500">
      <c r="A4500" s="125" t="s">
        <v>469</v>
      </c>
      <c r="B4500" s="125" t="s">
        <v>632</v>
      </c>
      <c r="C4500" s="125" t="s">
        <v>463</v>
      </c>
      <c r="D4500" s="125" t="s">
        <v>454</v>
      </c>
      <c r="E4500" s="125" t="s">
        <v>189</v>
      </c>
      <c r="F4500" s="126">
        <v>40497.0</v>
      </c>
      <c r="G4500" s="127">
        <v>4.66E8</v>
      </c>
      <c r="H4500" s="126">
        <v>40517.0</v>
      </c>
      <c r="I4500" s="128">
        <v>2176.0</v>
      </c>
      <c r="J4500" s="128">
        <v>205.7</v>
      </c>
      <c r="K4500" s="128">
        <v>117.11</v>
      </c>
      <c r="L4500" s="128">
        <v>447603.2</v>
      </c>
      <c r="M4500" s="128">
        <v>254831.4</v>
      </c>
      <c r="N4500" s="128">
        <v>192771.8</v>
      </c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</row>
    <row r="4501">
      <c r="A4501" s="125" t="s">
        <v>461</v>
      </c>
      <c r="B4501" s="125" t="s">
        <v>611</v>
      </c>
      <c r="C4501" s="125" t="s">
        <v>514</v>
      </c>
      <c r="D4501" s="125" t="s">
        <v>454</v>
      </c>
      <c r="E4501" s="125" t="s">
        <v>464</v>
      </c>
      <c r="F4501" s="126">
        <v>40600.0</v>
      </c>
      <c r="G4501" s="127">
        <v>5.0E8</v>
      </c>
      <c r="H4501" s="126">
        <v>40617.0</v>
      </c>
      <c r="I4501" s="128">
        <v>7806.0</v>
      </c>
      <c r="J4501" s="128">
        <v>668.27</v>
      </c>
      <c r="K4501" s="128">
        <v>502.54</v>
      </c>
      <c r="L4501" s="128">
        <v>5216516.0</v>
      </c>
      <c r="M4501" s="128">
        <v>3922827.0</v>
      </c>
      <c r="N4501" s="128">
        <v>1293688.0</v>
      </c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</row>
    <row r="4502">
      <c r="A4502" s="125" t="s">
        <v>475</v>
      </c>
      <c r="B4502" s="125" t="s">
        <v>500</v>
      </c>
      <c r="C4502" s="125" t="s">
        <v>514</v>
      </c>
      <c r="D4502" s="125" t="s">
        <v>457</v>
      </c>
      <c r="E4502" s="125" t="s">
        <v>472</v>
      </c>
      <c r="F4502" s="126">
        <v>42855.0</v>
      </c>
      <c r="G4502" s="127">
        <v>9.24E8</v>
      </c>
      <c r="H4502" s="126">
        <v>42889.0</v>
      </c>
      <c r="I4502" s="128">
        <v>137.0</v>
      </c>
      <c r="J4502" s="128">
        <v>668.27</v>
      </c>
      <c r="K4502" s="128">
        <v>502.54</v>
      </c>
      <c r="L4502" s="128">
        <v>91552.99</v>
      </c>
      <c r="M4502" s="128">
        <v>68847.98</v>
      </c>
      <c r="N4502" s="128">
        <v>22705.01</v>
      </c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</row>
    <row r="4503">
      <c r="A4503" s="125" t="s">
        <v>475</v>
      </c>
      <c r="B4503" s="125" t="s">
        <v>585</v>
      </c>
      <c r="C4503" s="125" t="s">
        <v>468</v>
      </c>
      <c r="D4503" s="125" t="s">
        <v>454</v>
      </c>
      <c r="E4503" s="125" t="s">
        <v>464</v>
      </c>
      <c r="F4503" s="126">
        <v>42569.0</v>
      </c>
      <c r="G4503" s="127">
        <v>4.68E8</v>
      </c>
      <c r="H4503" s="126">
        <v>42576.0</v>
      </c>
      <c r="I4503" s="128">
        <v>2297.0</v>
      </c>
      <c r="J4503" s="128">
        <v>81.73</v>
      </c>
      <c r="K4503" s="128">
        <v>56.67</v>
      </c>
      <c r="L4503" s="128">
        <v>187733.8</v>
      </c>
      <c r="M4503" s="128">
        <v>130171.0</v>
      </c>
      <c r="N4503" s="128">
        <v>57562.82</v>
      </c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</row>
    <row r="4504">
      <c r="A4504" s="125" t="s">
        <v>475</v>
      </c>
      <c r="B4504" s="125" t="s">
        <v>566</v>
      </c>
      <c r="C4504" s="125" t="s">
        <v>514</v>
      </c>
      <c r="D4504" s="125" t="s">
        <v>457</v>
      </c>
      <c r="E4504" s="125" t="s">
        <v>472</v>
      </c>
      <c r="F4504" s="126">
        <v>40968.0</v>
      </c>
      <c r="G4504" s="127">
        <v>1.83E8</v>
      </c>
      <c r="H4504" s="126">
        <v>41006.0</v>
      </c>
      <c r="I4504" s="128">
        <v>9449.0</v>
      </c>
      <c r="J4504" s="128">
        <v>668.27</v>
      </c>
      <c r="K4504" s="128">
        <v>502.54</v>
      </c>
      <c r="L4504" s="128">
        <v>6314483.0</v>
      </c>
      <c r="M4504" s="128">
        <v>4748500.0</v>
      </c>
      <c r="N4504" s="128">
        <v>1565983.0</v>
      </c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</row>
    <row r="4505">
      <c r="A4505" s="125" t="s">
        <v>458</v>
      </c>
      <c r="B4505" s="125" t="s">
        <v>641</v>
      </c>
      <c r="C4505" s="125" t="s">
        <v>480</v>
      </c>
      <c r="D4505" s="125" t="s">
        <v>457</v>
      </c>
      <c r="E4505" s="125" t="s">
        <v>284</v>
      </c>
      <c r="F4505" s="126">
        <v>41053.0</v>
      </c>
      <c r="G4505" s="127">
        <v>2.92E8</v>
      </c>
      <c r="H4505" s="126">
        <v>41065.0</v>
      </c>
      <c r="I4505" s="128">
        <v>3784.0</v>
      </c>
      <c r="J4505" s="128">
        <v>437.2</v>
      </c>
      <c r="K4505" s="128">
        <v>263.33</v>
      </c>
      <c r="L4505" s="128">
        <v>1654365.0</v>
      </c>
      <c r="M4505" s="128">
        <v>996440.7</v>
      </c>
      <c r="N4505" s="128">
        <v>657924.1</v>
      </c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</row>
    <row r="4506">
      <c r="A4506" s="125" t="s">
        <v>469</v>
      </c>
      <c r="B4506" s="125" t="s">
        <v>647</v>
      </c>
      <c r="C4506" s="125" t="s">
        <v>480</v>
      </c>
      <c r="D4506" s="125" t="s">
        <v>454</v>
      </c>
      <c r="E4506" s="125" t="s">
        <v>472</v>
      </c>
      <c r="F4506" s="126">
        <v>40680.0</v>
      </c>
      <c r="G4506" s="127">
        <v>6.38E8</v>
      </c>
      <c r="H4506" s="126">
        <v>40713.0</v>
      </c>
      <c r="I4506" s="128">
        <v>9526.0</v>
      </c>
      <c r="J4506" s="128">
        <v>437.2</v>
      </c>
      <c r="K4506" s="128">
        <v>263.33</v>
      </c>
      <c r="L4506" s="128">
        <v>4164767.0</v>
      </c>
      <c r="M4506" s="128">
        <v>2508482.0</v>
      </c>
      <c r="N4506" s="128">
        <v>1656286.0</v>
      </c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</row>
    <row r="4507">
      <c r="A4507" s="125" t="s">
        <v>458</v>
      </c>
      <c r="B4507" s="125" t="s">
        <v>473</v>
      </c>
      <c r="C4507" s="125" t="s">
        <v>460</v>
      </c>
      <c r="D4507" s="125" t="s">
        <v>454</v>
      </c>
      <c r="E4507" s="125" t="s">
        <v>189</v>
      </c>
      <c r="F4507" s="126">
        <v>42244.0</v>
      </c>
      <c r="G4507" s="127">
        <v>2.31E8</v>
      </c>
      <c r="H4507" s="126">
        <v>42284.0</v>
      </c>
      <c r="I4507" s="128">
        <v>7929.0</v>
      </c>
      <c r="J4507" s="128">
        <v>47.45</v>
      </c>
      <c r="K4507" s="128">
        <v>31.79</v>
      </c>
      <c r="L4507" s="128">
        <v>376231.1</v>
      </c>
      <c r="M4507" s="128">
        <v>252062.9</v>
      </c>
      <c r="N4507" s="128">
        <v>124168.1</v>
      </c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</row>
    <row r="4508">
      <c r="A4508" s="125" t="s">
        <v>475</v>
      </c>
      <c r="B4508" s="125" t="s">
        <v>657</v>
      </c>
      <c r="C4508" s="125" t="s">
        <v>494</v>
      </c>
      <c r="D4508" s="125" t="s">
        <v>454</v>
      </c>
      <c r="E4508" s="125" t="s">
        <v>284</v>
      </c>
      <c r="F4508" s="126">
        <v>40230.0</v>
      </c>
      <c r="G4508" s="127">
        <v>4.06E8</v>
      </c>
      <c r="H4508" s="126">
        <v>40264.0</v>
      </c>
      <c r="I4508" s="128">
        <v>2281.0</v>
      </c>
      <c r="J4508" s="128">
        <v>9.33</v>
      </c>
      <c r="K4508" s="128">
        <v>6.92</v>
      </c>
      <c r="L4508" s="128">
        <v>21281.73</v>
      </c>
      <c r="M4508" s="128">
        <v>15784.52</v>
      </c>
      <c r="N4508" s="128">
        <v>5497.21</v>
      </c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</row>
    <row r="4509">
      <c r="A4509" s="125" t="s">
        <v>451</v>
      </c>
      <c r="B4509" s="125" t="s">
        <v>646</v>
      </c>
      <c r="C4509" s="125" t="s">
        <v>480</v>
      </c>
      <c r="D4509" s="125" t="s">
        <v>457</v>
      </c>
      <c r="E4509" s="125" t="s">
        <v>284</v>
      </c>
      <c r="F4509" s="126">
        <v>41960.0</v>
      </c>
      <c r="G4509" s="127">
        <v>7.66E8</v>
      </c>
      <c r="H4509" s="126">
        <v>41967.0</v>
      </c>
      <c r="I4509" s="128">
        <v>2898.0</v>
      </c>
      <c r="J4509" s="128">
        <v>437.2</v>
      </c>
      <c r="K4509" s="128">
        <v>263.33</v>
      </c>
      <c r="L4509" s="128">
        <v>1267006.0</v>
      </c>
      <c r="M4509" s="128">
        <v>763130.3</v>
      </c>
      <c r="N4509" s="128">
        <v>503875.3</v>
      </c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</row>
    <row r="4510">
      <c r="A4510" s="125" t="s">
        <v>458</v>
      </c>
      <c r="B4510" s="125" t="s">
        <v>545</v>
      </c>
      <c r="C4510" s="125" t="s">
        <v>478</v>
      </c>
      <c r="D4510" s="125" t="s">
        <v>454</v>
      </c>
      <c r="E4510" s="125" t="s">
        <v>189</v>
      </c>
      <c r="F4510" s="126">
        <v>41314.0</v>
      </c>
      <c r="G4510" s="127">
        <v>5.34E8</v>
      </c>
      <c r="H4510" s="126">
        <v>41329.0</v>
      </c>
      <c r="I4510" s="128">
        <v>2130.0</v>
      </c>
      <c r="J4510" s="128">
        <v>651.21</v>
      </c>
      <c r="K4510" s="128">
        <v>524.96</v>
      </c>
      <c r="L4510" s="128">
        <v>1387077.0</v>
      </c>
      <c r="M4510" s="128">
        <v>1118165.0</v>
      </c>
      <c r="N4510" s="128">
        <v>268912.5</v>
      </c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</row>
    <row r="4511">
      <c r="A4511" s="125" t="s">
        <v>461</v>
      </c>
      <c r="B4511" s="125" t="s">
        <v>481</v>
      </c>
      <c r="C4511" s="125" t="s">
        <v>460</v>
      </c>
      <c r="D4511" s="125" t="s">
        <v>457</v>
      </c>
      <c r="E4511" s="125" t="s">
        <v>472</v>
      </c>
      <c r="F4511" s="126">
        <v>42243.0</v>
      </c>
      <c r="G4511" s="127">
        <v>8.03E8</v>
      </c>
      <c r="H4511" s="126">
        <v>42292.0</v>
      </c>
      <c r="I4511" s="128">
        <v>9355.0</v>
      </c>
      <c r="J4511" s="128">
        <v>47.45</v>
      </c>
      <c r="K4511" s="128">
        <v>31.79</v>
      </c>
      <c r="L4511" s="128">
        <v>443894.8</v>
      </c>
      <c r="M4511" s="128">
        <v>297395.5</v>
      </c>
      <c r="N4511" s="128">
        <v>146499.3</v>
      </c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</row>
    <row r="4512">
      <c r="A4512" s="125" t="s">
        <v>461</v>
      </c>
      <c r="B4512" s="125" t="s">
        <v>516</v>
      </c>
      <c r="C4512" s="125" t="s">
        <v>463</v>
      </c>
      <c r="D4512" s="125" t="s">
        <v>457</v>
      </c>
      <c r="E4512" s="125" t="s">
        <v>189</v>
      </c>
      <c r="F4512" s="126">
        <v>40789.0</v>
      </c>
      <c r="G4512" s="127">
        <v>4.88E8</v>
      </c>
      <c r="H4512" s="126">
        <v>40804.0</v>
      </c>
      <c r="I4512" s="128">
        <v>5985.0</v>
      </c>
      <c r="J4512" s="128">
        <v>205.7</v>
      </c>
      <c r="K4512" s="128">
        <v>117.11</v>
      </c>
      <c r="L4512" s="128">
        <v>1231115.0</v>
      </c>
      <c r="M4512" s="128">
        <v>700903.4</v>
      </c>
      <c r="N4512" s="128">
        <v>530211.2</v>
      </c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</row>
    <row r="4513">
      <c r="A4513" s="125" t="s">
        <v>475</v>
      </c>
      <c r="B4513" s="125" t="s">
        <v>512</v>
      </c>
      <c r="C4513" s="125" t="s">
        <v>456</v>
      </c>
      <c r="D4513" s="125" t="s">
        <v>457</v>
      </c>
      <c r="E4513" s="125" t="s">
        <v>472</v>
      </c>
      <c r="F4513" s="126">
        <v>40296.0</v>
      </c>
      <c r="G4513" s="127">
        <v>3.74E8</v>
      </c>
      <c r="H4513" s="126">
        <v>40304.0</v>
      </c>
      <c r="I4513" s="128">
        <v>463.0</v>
      </c>
      <c r="J4513" s="128">
        <v>152.58</v>
      </c>
      <c r="K4513" s="128">
        <v>97.44</v>
      </c>
      <c r="L4513" s="128">
        <v>70644.54</v>
      </c>
      <c r="M4513" s="128">
        <v>45114.72</v>
      </c>
      <c r="N4513" s="128">
        <v>25529.82</v>
      </c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</row>
    <row r="4514">
      <c r="A4514" s="125" t="s">
        <v>475</v>
      </c>
      <c r="B4514" s="125" t="s">
        <v>549</v>
      </c>
      <c r="C4514" s="125" t="s">
        <v>485</v>
      </c>
      <c r="D4514" s="125" t="s">
        <v>457</v>
      </c>
      <c r="E4514" s="125" t="s">
        <v>472</v>
      </c>
      <c r="F4514" s="126">
        <v>41733.0</v>
      </c>
      <c r="G4514" s="127">
        <v>8.65E8</v>
      </c>
      <c r="H4514" s="126">
        <v>41769.0</v>
      </c>
      <c r="I4514" s="128">
        <v>3261.0</v>
      </c>
      <c r="J4514" s="128">
        <v>421.89</v>
      </c>
      <c r="K4514" s="128">
        <v>364.69</v>
      </c>
      <c r="L4514" s="128">
        <v>1375783.0</v>
      </c>
      <c r="M4514" s="128">
        <v>1189254.0</v>
      </c>
      <c r="N4514" s="128">
        <v>186529.2</v>
      </c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</row>
    <row r="4515">
      <c r="A4515" s="125" t="s">
        <v>488</v>
      </c>
      <c r="B4515" s="125" t="s">
        <v>654</v>
      </c>
      <c r="C4515" s="125" t="s">
        <v>514</v>
      </c>
      <c r="D4515" s="125" t="s">
        <v>457</v>
      </c>
      <c r="E4515" s="125" t="s">
        <v>472</v>
      </c>
      <c r="F4515" s="126">
        <v>42308.0</v>
      </c>
      <c r="G4515" s="127">
        <v>6.36E8</v>
      </c>
      <c r="H4515" s="126">
        <v>42352.0</v>
      </c>
      <c r="I4515" s="128">
        <v>1886.0</v>
      </c>
      <c r="J4515" s="128">
        <v>668.27</v>
      </c>
      <c r="K4515" s="128">
        <v>502.54</v>
      </c>
      <c r="L4515" s="128">
        <v>1260357.0</v>
      </c>
      <c r="M4515" s="128">
        <v>947790.4</v>
      </c>
      <c r="N4515" s="128">
        <v>312566.8</v>
      </c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</row>
    <row r="4516">
      <c r="A4516" s="125" t="s">
        <v>458</v>
      </c>
      <c r="B4516" s="125" t="s">
        <v>652</v>
      </c>
      <c r="C4516" s="125" t="s">
        <v>485</v>
      </c>
      <c r="D4516" s="125" t="s">
        <v>457</v>
      </c>
      <c r="E4516" s="125" t="s">
        <v>284</v>
      </c>
      <c r="F4516" s="126">
        <v>42385.0</v>
      </c>
      <c r="G4516" s="127">
        <v>6.82E8</v>
      </c>
      <c r="H4516" s="126">
        <v>42426.0</v>
      </c>
      <c r="I4516" s="128">
        <v>5873.0</v>
      </c>
      <c r="J4516" s="128">
        <v>421.89</v>
      </c>
      <c r="K4516" s="128">
        <v>364.69</v>
      </c>
      <c r="L4516" s="128">
        <v>2477760.0</v>
      </c>
      <c r="M4516" s="128">
        <v>2141824.0</v>
      </c>
      <c r="N4516" s="128">
        <v>335935.6</v>
      </c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</row>
    <row r="4517">
      <c r="A4517" s="125" t="s">
        <v>461</v>
      </c>
      <c r="B4517" s="125" t="s">
        <v>516</v>
      </c>
      <c r="C4517" s="125" t="s">
        <v>485</v>
      </c>
      <c r="D4517" s="125" t="s">
        <v>454</v>
      </c>
      <c r="E4517" s="125" t="s">
        <v>189</v>
      </c>
      <c r="F4517" s="126">
        <v>41334.0</v>
      </c>
      <c r="G4517" s="127">
        <v>2.7E8</v>
      </c>
      <c r="H4517" s="126">
        <v>41359.0</v>
      </c>
      <c r="I4517" s="128">
        <v>1789.0</v>
      </c>
      <c r="J4517" s="128">
        <v>421.89</v>
      </c>
      <c r="K4517" s="128">
        <v>364.69</v>
      </c>
      <c r="L4517" s="128">
        <v>754761.2</v>
      </c>
      <c r="M4517" s="128">
        <v>652430.4</v>
      </c>
      <c r="N4517" s="128">
        <v>102330.8</v>
      </c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</row>
    <row r="4518">
      <c r="A4518" s="125" t="s">
        <v>461</v>
      </c>
      <c r="B4518" s="125" t="s">
        <v>615</v>
      </c>
      <c r="C4518" s="125" t="s">
        <v>471</v>
      </c>
      <c r="D4518" s="125" t="s">
        <v>454</v>
      </c>
      <c r="E4518" s="125" t="s">
        <v>189</v>
      </c>
      <c r="F4518" s="126">
        <v>41677.0</v>
      </c>
      <c r="G4518" s="127">
        <v>9.84E8</v>
      </c>
      <c r="H4518" s="126">
        <v>41682.0</v>
      </c>
      <c r="I4518" s="128">
        <v>8233.0</v>
      </c>
      <c r="J4518" s="128">
        <v>109.28</v>
      </c>
      <c r="K4518" s="128">
        <v>35.84</v>
      </c>
      <c r="L4518" s="128">
        <v>899702.2</v>
      </c>
      <c r="M4518" s="128">
        <v>295070.7</v>
      </c>
      <c r="N4518" s="128">
        <v>604631.5</v>
      </c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</row>
    <row r="4519">
      <c r="A4519" s="125" t="s">
        <v>461</v>
      </c>
      <c r="B4519" s="125" t="s">
        <v>539</v>
      </c>
      <c r="C4519" s="125" t="s">
        <v>485</v>
      </c>
      <c r="D4519" s="125" t="s">
        <v>454</v>
      </c>
      <c r="E4519" s="125" t="s">
        <v>472</v>
      </c>
      <c r="F4519" s="126">
        <v>42180.0</v>
      </c>
      <c r="G4519" s="127">
        <v>8.83E8</v>
      </c>
      <c r="H4519" s="126">
        <v>42213.0</v>
      </c>
      <c r="I4519" s="128">
        <v>836.0</v>
      </c>
      <c r="J4519" s="128">
        <v>421.89</v>
      </c>
      <c r="K4519" s="128">
        <v>364.69</v>
      </c>
      <c r="L4519" s="128">
        <v>352700.0</v>
      </c>
      <c r="M4519" s="128">
        <v>304880.8</v>
      </c>
      <c r="N4519" s="128">
        <v>47819.2</v>
      </c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</row>
    <row r="4520">
      <c r="A4520" s="125" t="s">
        <v>461</v>
      </c>
      <c r="B4520" s="125" t="s">
        <v>621</v>
      </c>
      <c r="C4520" s="125" t="s">
        <v>514</v>
      </c>
      <c r="D4520" s="125" t="s">
        <v>454</v>
      </c>
      <c r="E4520" s="125" t="s">
        <v>472</v>
      </c>
      <c r="F4520" s="126">
        <v>41995.0</v>
      </c>
      <c r="G4520" s="127">
        <v>3.41E8</v>
      </c>
      <c r="H4520" s="126">
        <v>42013.0</v>
      </c>
      <c r="I4520" s="128">
        <v>7257.0</v>
      </c>
      <c r="J4520" s="128">
        <v>668.27</v>
      </c>
      <c r="K4520" s="128">
        <v>502.54</v>
      </c>
      <c r="L4520" s="128">
        <v>4849635.0</v>
      </c>
      <c r="M4520" s="128">
        <v>3646933.0</v>
      </c>
      <c r="N4520" s="128">
        <v>1202703.0</v>
      </c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</row>
    <row r="4521">
      <c r="A4521" s="125" t="s">
        <v>458</v>
      </c>
      <c r="B4521" s="125" t="s">
        <v>627</v>
      </c>
      <c r="C4521" s="125" t="s">
        <v>506</v>
      </c>
      <c r="D4521" s="125" t="s">
        <v>457</v>
      </c>
      <c r="E4521" s="125" t="s">
        <v>284</v>
      </c>
      <c r="F4521" s="126">
        <v>42048.0</v>
      </c>
      <c r="G4521" s="127">
        <v>7.06E8</v>
      </c>
      <c r="H4521" s="126">
        <v>42061.0</v>
      </c>
      <c r="I4521" s="128">
        <v>2190.0</v>
      </c>
      <c r="J4521" s="128">
        <v>154.06</v>
      </c>
      <c r="K4521" s="128">
        <v>90.93</v>
      </c>
      <c r="L4521" s="128">
        <v>337391.4</v>
      </c>
      <c r="M4521" s="128">
        <v>199136.7</v>
      </c>
      <c r="N4521" s="128">
        <v>138254.7</v>
      </c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</row>
    <row r="4522">
      <c r="A4522" s="125" t="s">
        <v>475</v>
      </c>
      <c r="B4522" s="125" t="s">
        <v>528</v>
      </c>
      <c r="C4522" s="125" t="s">
        <v>506</v>
      </c>
      <c r="D4522" s="125" t="s">
        <v>457</v>
      </c>
      <c r="E4522" s="125" t="s">
        <v>472</v>
      </c>
      <c r="F4522" s="126">
        <v>40887.0</v>
      </c>
      <c r="G4522" s="127">
        <v>2.46E8</v>
      </c>
      <c r="H4522" s="126">
        <v>40917.0</v>
      </c>
      <c r="I4522" s="128">
        <v>2358.0</v>
      </c>
      <c r="J4522" s="128">
        <v>154.06</v>
      </c>
      <c r="K4522" s="128">
        <v>90.93</v>
      </c>
      <c r="L4522" s="128">
        <v>363273.5</v>
      </c>
      <c r="M4522" s="128">
        <v>214412.9</v>
      </c>
      <c r="N4522" s="128">
        <v>148860.5</v>
      </c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</row>
    <row r="4523">
      <c r="A4523" s="125" t="s">
        <v>466</v>
      </c>
      <c r="B4523" s="125" t="s">
        <v>492</v>
      </c>
      <c r="C4523" s="125" t="s">
        <v>468</v>
      </c>
      <c r="D4523" s="125" t="s">
        <v>454</v>
      </c>
      <c r="E4523" s="125" t="s">
        <v>472</v>
      </c>
      <c r="F4523" s="126">
        <v>41598.0</v>
      </c>
      <c r="G4523" s="127">
        <v>8.97E8</v>
      </c>
      <c r="H4523" s="126">
        <v>41620.0</v>
      </c>
      <c r="I4523" s="128">
        <v>1516.0</v>
      </c>
      <c r="J4523" s="128">
        <v>81.73</v>
      </c>
      <c r="K4523" s="128">
        <v>56.67</v>
      </c>
      <c r="L4523" s="128">
        <v>123902.7</v>
      </c>
      <c r="M4523" s="128">
        <v>85911.72</v>
      </c>
      <c r="N4523" s="128">
        <v>37990.96</v>
      </c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</row>
    <row r="4524">
      <c r="A4524" s="125" t="s">
        <v>488</v>
      </c>
      <c r="B4524" s="125" t="s">
        <v>577</v>
      </c>
      <c r="C4524" s="125" t="s">
        <v>514</v>
      </c>
      <c r="D4524" s="125" t="s">
        <v>454</v>
      </c>
      <c r="E4524" s="125" t="s">
        <v>464</v>
      </c>
      <c r="F4524" s="126">
        <v>42124.0</v>
      </c>
      <c r="G4524" s="127">
        <v>6.18E8</v>
      </c>
      <c r="H4524" s="126">
        <v>42129.0</v>
      </c>
      <c r="I4524" s="128">
        <v>5451.0</v>
      </c>
      <c r="J4524" s="128">
        <v>668.27</v>
      </c>
      <c r="K4524" s="128">
        <v>502.54</v>
      </c>
      <c r="L4524" s="128">
        <v>3642740.0</v>
      </c>
      <c r="M4524" s="128">
        <v>2739346.0</v>
      </c>
      <c r="N4524" s="128">
        <v>903394.2</v>
      </c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</row>
    <row r="4525">
      <c r="A4525" s="125" t="s">
        <v>475</v>
      </c>
      <c r="B4525" s="125" t="s">
        <v>526</v>
      </c>
      <c r="C4525" s="125" t="s">
        <v>485</v>
      </c>
      <c r="D4525" s="125" t="s">
        <v>457</v>
      </c>
      <c r="E4525" s="125" t="s">
        <v>464</v>
      </c>
      <c r="F4525" s="126">
        <v>42180.0</v>
      </c>
      <c r="G4525" s="127">
        <v>1.36E8</v>
      </c>
      <c r="H4525" s="126">
        <v>42211.0</v>
      </c>
      <c r="I4525" s="128">
        <v>6979.0</v>
      </c>
      <c r="J4525" s="128">
        <v>421.89</v>
      </c>
      <c r="K4525" s="128">
        <v>364.69</v>
      </c>
      <c r="L4525" s="128">
        <v>2944370.0</v>
      </c>
      <c r="M4525" s="128">
        <v>2545172.0</v>
      </c>
      <c r="N4525" s="128">
        <v>399198.8</v>
      </c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</row>
    <row r="4526">
      <c r="A4526" s="125" t="s">
        <v>475</v>
      </c>
      <c r="B4526" s="125" t="s">
        <v>549</v>
      </c>
      <c r="C4526" s="125" t="s">
        <v>478</v>
      </c>
      <c r="D4526" s="125" t="s">
        <v>454</v>
      </c>
      <c r="E4526" s="125" t="s">
        <v>189</v>
      </c>
      <c r="F4526" s="126">
        <v>41869.0</v>
      </c>
      <c r="G4526" s="127">
        <v>7.01E8</v>
      </c>
      <c r="H4526" s="126">
        <v>41887.0</v>
      </c>
      <c r="I4526" s="128">
        <v>949.0</v>
      </c>
      <c r="J4526" s="128">
        <v>651.21</v>
      </c>
      <c r="K4526" s="128">
        <v>524.96</v>
      </c>
      <c r="L4526" s="128">
        <v>617998.3</v>
      </c>
      <c r="M4526" s="128">
        <v>498187.0</v>
      </c>
      <c r="N4526" s="128">
        <v>119811.3</v>
      </c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</row>
    <row r="4527">
      <c r="A4527" s="125" t="s">
        <v>461</v>
      </c>
      <c r="B4527" s="125" t="s">
        <v>618</v>
      </c>
      <c r="C4527" s="125" t="s">
        <v>463</v>
      </c>
      <c r="D4527" s="125" t="s">
        <v>457</v>
      </c>
      <c r="E4527" s="125" t="s">
        <v>464</v>
      </c>
      <c r="F4527" s="126">
        <v>40303.0</v>
      </c>
      <c r="G4527" s="127">
        <v>9.32E8</v>
      </c>
      <c r="H4527" s="126">
        <v>40324.0</v>
      </c>
      <c r="I4527" s="128">
        <v>9241.0</v>
      </c>
      <c r="J4527" s="128">
        <v>205.7</v>
      </c>
      <c r="K4527" s="128">
        <v>117.11</v>
      </c>
      <c r="L4527" s="128">
        <v>1900874.0</v>
      </c>
      <c r="M4527" s="128">
        <v>1082214.0</v>
      </c>
      <c r="N4527" s="128">
        <v>818660.2</v>
      </c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</row>
    <row r="4528">
      <c r="A4528" s="125" t="s">
        <v>461</v>
      </c>
      <c r="B4528" s="125" t="s">
        <v>638</v>
      </c>
      <c r="C4528" s="125" t="s">
        <v>460</v>
      </c>
      <c r="D4528" s="125" t="s">
        <v>454</v>
      </c>
      <c r="E4528" s="125" t="s">
        <v>189</v>
      </c>
      <c r="F4528" s="126">
        <v>42512.0</v>
      </c>
      <c r="G4528" s="127">
        <v>8.66E8</v>
      </c>
      <c r="H4528" s="126">
        <v>42521.0</v>
      </c>
      <c r="I4528" s="128">
        <v>5766.0</v>
      </c>
      <c r="J4528" s="128">
        <v>47.45</v>
      </c>
      <c r="K4528" s="128">
        <v>31.79</v>
      </c>
      <c r="L4528" s="128">
        <v>273596.7</v>
      </c>
      <c r="M4528" s="128">
        <v>183301.1</v>
      </c>
      <c r="N4528" s="128">
        <v>90295.56</v>
      </c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</row>
    <row r="4529">
      <c r="A4529" s="125" t="s">
        <v>469</v>
      </c>
      <c r="B4529" s="125" t="s">
        <v>503</v>
      </c>
      <c r="C4529" s="125" t="s">
        <v>494</v>
      </c>
      <c r="D4529" s="125" t="s">
        <v>457</v>
      </c>
      <c r="E4529" s="125" t="s">
        <v>189</v>
      </c>
      <c r="F4529" s="126">
        <v>41469.0</v>
      </c>
      <c r="G4529" s="127">
        <v>6.14E8</v>
      </c>
      <c r="H4529" s="126">
        <v>41507.0</v>
      </c>
      <c r="I4529" s="128">
        <v>1467.0</v>
      </c>
      <c r="J4529" s="128">
        <v>9.33</v>
      </c>
      <c r="K4529" s="128">
        <v>6.92</v>
      </c>
      <c r="L4529" s="128">
        <v>13687.11</v>
      </c>
      <c r="M4529" s="128">
        <v>10151.64</v>
      </c>
      <c r="N4529" s="128">
        <v>3535.47</v>
      </c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</row>
    <row r="4530">
      <c r="A4530" s="125" t="s">
        <v>475</v>
      </c>
      <c r="B4530" s="125" t="s">
        <v>585</v>
      </c>
      <c r="C4530" s="125" t="s">
        <v>494</v>
      </c>
      <c r="D4530" s="125" t="s">
        <v>454</v>
      </c>
      <c r="E4530" s="125" t="s">
        <v>472</v>
      </c>
      <c r="F4530" s="126">
        <v>41599.0</v>
      </c>
      <c r="G4530" s="127">
        <v>8.05E8</v>
      </c>
      <c r="H4530" s="126">
        <v>41627.0</v>
      </c>
      <c r="I4530" s="128">
        <v>9317.0</v>
      </c>
      <c r="J4530" s="128">
        <v>9.33</v>
      </c>
      <c r="K4530" s="128">
        <v>6.92</v>
      </c>
      <c r="L4530" s="128">
        <v>86927.61</v>
      </c>
      <c r="M4530" s="128">
        <v>64473.64</v>
      </c>
      <c r="N4530" s="128">
        <v>22453.97</v>
      </c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</row>
    <row r="4531">
      <c r="A4531" s="125" t="s">
        <v>458</v>
      </c>
      <c r="B4531" s="125" t="s">
        <v>505</v>
      </c>
      <c r="C4531" s="125" t="s">
        <v>478</v>
      </c>
      <c r="D4531" s="125" t="s">
        <v>457</v>
      </c>
      <c r="E4531" s="125" t="s">
        <v>472</v>
      </c>
      <c r="F4531" s="126">
        <v>40803.0</v>
      </c>
      <c r="G4531" s="127">
        <v>3.4E8</v>
      </c>
      <c r="H4531" s="126">
        <v>40841.0</v>
      </c>
      <c r="I4531" s="128">
        <v>9321.0</v>
      </c>
      <c r="J4531" s="128">
        <v>651.21</v>
      </c>
      <c r="K4531" s="128">
        <v>524.96</v>
      </c>
      <c r="L4531" s="128">
        <v>6069928.0</v>
      </c>
      <c r="M4531" s="128">
        <v>4893152.0</v>
      </c>
      <c r="N4531" s="128">
        <v>1176776.0</v>
      </c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</row>
    <row r="4532">
      <c r="A4532" s="125" t="s">
        <v>466</v>
      </c>
      <c r="B4532" s="125" t="s">
        <v>535</v>
      </c>
      <c r="C4532" s="125" t="s">
        <v>485</v>
      </c>
      <c r="D4532" s="125" t="s">
        <v>454</v>
      </c>
      <c r="E4532" s="125" t="s">
        <v>284</v>
      </c>
      <c r="F4532" s="126">
        <v>42902.0</v>
      </c>
      <c r="G4532" s="127">
        <v>4.38E8</v>
      </c>
      <c r="H4532" s="126">
        <v>42940.0</v>
      </c>
      <c r="I4532" s="128">
        <v>3515.0</v>
      </c>
      <c r="J4532" s="128">
        <v>421.89</v>
      </c>
      <c r="K4532" s="128">
        <v>364.69</v>
      </c>
      <c r="L4532" s="128">
        <v>1482943.0</v>
      </c>
      <c r="M4532" s="128">
        <v>1281885.0</v>
      </c>
      <c r="N4532" s="128">
        <v>201058.0</v>
      </c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</row>
    <row r="4533">
      <c r="A4533" s="125" t="s">
        <v>461</v>
      </c>
      <c r="B4533" s="125" t="s">
        <v>615</v>
      </c>
      <c r="C4533" s="125" t="s">
        <v>456</v>
      </c>
      <c r="D4533" s="125" t="s">
        <v>454</v>
      </c>
      <c r="E4533" s="125" t="s">
        <v>189</v>
      </c>
      <c r="F4533" s="126">
        <v>42423.0</v>
      </c>
      <c r="G4533" s="127">
        <v>5.91E8</v>
      </c>
      <c r="H4533" s="126">
        <v>42463.0</v>
      </c>
      <c r="I4533" s="128">
        <v>967.0</v>
      </c>
      <c r="J4533" s="128">
        <v>152.58</v>
      </c>
      <c r="K4533" s="128">
        <v>97.44</v>
      </c>
      <c r="L4533" s="128">
        <v>147544.9</v>
      </c>
      <c r="M4533" s="128">
        <v>94224.48</v>
      </c>
      <c r="N4533" s="128">
        <v>53320.38</v>
      </c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</row>
    <row r="4534">
      <c r="A4534" s="125" t="s">
        <v>475</v>
      </c>
      <c r="B4534" s="125" t="s">
        <v>602</v>
      </c>
      <c r="C4534" s="125" t="s">
        <v>480</v>
      </c>
      <c r="D4534" s="125" t="s">
        <v>454</v>
      </c>
      <c r="E4534" s="125" t="s">
        <v>464</v>
      </c>
      <c r="F4534" s="126">
        <v>42584.0</v>
      </c>
      <c r="G4534" s="127">
        <v>8.1E8</v>
      </c>
      <c r="H4534" s="126">
        <v>42600.0</v>
      </c>
      <c r="I4534" s="128">
        <v>2775.0</v>
      </c>
      <c r="J4534" s="128">
        <v>437.2</v>
      </c>
      <c r="K4534" s="128">
        <v>263.33</v>
      </c>
      <c r="L4534" s="128">
        <v>1213230.0</v>
      </c>
      <c r="M4534" s="128">
        <v>730740.8</v>
      </c>
      <c r="N4534" s="128">
        <v>482489.3</v>
      </c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</row>
    <row r="4535">
      <c r="A4535" s="125" t="s">
        <v>458</v>
      </c>
      <c r="B4535" s="125" t="s">
        <v>555</v>
      </c>
      <c r="C4535" s="125" t="s">
        <v>468</v>
      </c>
      <c r="D4535" s="125" t="s">
        <v>457</v>
      </c>
      <c r="E4535" s="125" t="s">
        <v>284</v>
      </c>
      <c r="F4535" s="126">
        <v>42838.0</v>
      </c>
      <c r="G4535" s="127">
        <v>2.75E8</v>
      </c>
      <c r="H4535" s="126">
        <v>42866.0</v>
      </c>
      <c r="I4535" s="128">
        <v>7069.0</v>
      </c>
      <c r="J4535" s="128">
        <v>81.73</v>
      </c>
      <c r="K4535" s="128">
        <v>56.67</v>
      </c>
      <c r="L4535" s="128">
        <v>577749.4</v>
      </c>
      <c r="M4535" s="128">
        <v>400600.2</v>
      </c>
      <c r="N4535" s="128">
        <v>177149.1</v>
      </c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</row>
    <row r="4536">
      <c r="A4536" s="125" t="s">
        <v>466</v>
      </c>
      <c r="B4536" s="125" t="s">
        <v>479</v>
      </c>
      <c r="C4536" s="125" t="s">
        <v>514</v>
      </c>
      <c r="D4536" s="125" t="s">
        <v>454</v>
      </c>
      <c r="E4536" s="125" t="s">
        <v>464</v>
      </c>
      <c r="F4536" s="126">
        <v>40267.0</v>
      </c>
      <c r="G4536" s="127">
        <v>4.88E8</v>
      </c>
      <c r="H4536" s="126">
        <v>40267.0</v>
      </c>
      <c r="I4536" s="128">
        <v>4011.0</v>
      </c>
      <c r="J4536" s="128">
        <v>668.27</v>
      </c>
      <c r="K4536" s="128">
        <v>502.54</v>
      </c>
      <c r="L4536" s="128">
        <v>2680431.0</v>
      </c>
      <c r="M4536" s="128">
        <v>2015688.0</v>
      </c>
      <c r="N4536" s="128">
        <v>664743.0</v>
      </c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</row>
    <row r="4537">
      <c r="A4537" s="125" t="s">
        <v>488</v>
      </c>
      <c r="B4537" s="125" t="s">
        <v>577</v>
      </c>
      <c r="C4537" s="125" t="s">
        <v>478</v>
      </c>
      <c r="D4537" s="125" t="s">
        <v>457</v>
      </c>
      <c r="E4537" s="125" t="s">
        <v>464</v>
      </c>
      <c r="F4537" s="126">
        <v>42017.0</v>
      </c>
      <c r="G4537" s="127">
        <v>3.22E8</v>
      </c>
      <c r="H4537" s="126">
        <v>42063.0</v>
      </c>
      <c r="I4537" s="128">
        <v>792.0</v>
      </c>
      <c r="J4537" s="128">
        <v>651.21</v>
      </c>
      <c r="K4537" s="128">
        <v>524.96</v>
      </c>
      <c r="L4537" s="128">
        <v>515758.3</v>
      </c>
      <c r="M4537" s="128">
        <v>415768.3</v>
      </c>
      <c r="N4537" s="128">
        <v>99990.0</v>
      </c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</row>
    <row r="4538">
      <c r="A4538" s="125" t="s">
        <v>475</v>
      </c>
      <c r="B4538" s="125" t="s">
        <v>476</v>
      </c>
      <c r="C4538" s="125" t="s">
        <v>494</v>
      </c>
      <c r="D4538" s="125" t="s">
        <v>457</v>
      </c>
      <c r="E4538" s="125" t="s">
        <v>464</v>
      </c>
      <c r="F4538" s="126">
        <v>41796.0</v>
      </c>
      <c r="G4538" s="127">
        <v>9.68E8</v>
      </c>
      <c r="H4538" s="126">
        <v>41838.0</v>
      </c>
      <c r="I4538" s="128">
        <v>6636.0</v>
      </c>
      <c r="J4538" s="128">
        <v>9.33</v>
      </c>
      <c r="K4538" s="128">
        <v>6.92</v>
      </c>
      <c r="L4538" s="128">
        <v>61913.88</v>
      </c>
      <c r="M4538" s="128">
        <v>45921.12</v>
      </c>
      <c r="N4538" s="128">
        <v>15992.76</v>
      </c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</row>
    <row r="4539">
      <c r="A4539" s="125" t="s">
        <v>451</v>
      </c>
      <c r="B4539" s="125" t="s">
        <v>546</v>
      </c>
      <c r="C4539" s="125" t="s">
        <v>456</v>
      </c>
      <c r="D4539" s="125" t="s">
        <v>457</v>
      </c>
      <c r="E4539" s="125" t="s">
        <v>284</v>
      </c>
      <c r="F4539" s="126">
        <v>40617.0</v>
      </c>
      <c r="G4539" s="127">
        <v>9.89E8</v>
      </c>
      <c r="H4539" s="126">
        <v>40618.0</v>
      </c>
      <c r="I4539" s="128">
        <v>7799.0</v>
      </c>
      <c r="J4539" s="128">
        <v>152.58</v>
      </c>
      <c r="K4539" s="128">
        <v>97.44</v>
      </c>
      <c r="L4539" s="128">
        <v>1189971.0</v>
      </c>
      <c r="M4539" s="128">
        <v>759934.6</v>
      </c>
      <c r="N4539" s="128">
        <v>430036.9</v>
      </c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</row>
    <row r="4540">
      <c r="A4540" s="125" t="s">
        <v>451</v>
      </c>
      <c r="B4540" s="125" t="s">
        <v>499</v>
      </c>
      <c r="C4540" s="125" t="s">
        <v>514</v>
      </c>
      <c r="D4540" s="125" t="s">
        <v>457</v>
      </c>
      <c r="E4540" s="125" t="s">
        <v>464</v>
      </c>
      <c r="F4540" s="126">
        <v>42645.0</v>
      </c>
      <c r="G4540" s="127">
        <v>3.69E8</v>
      </c>
      <c r="H4540" s="126">
        <v>42648.0</v>
      </c>
      <c r="I4540" s="128">
        <v>2566.0</v>
      </c>
      <c r="J4540" s="128">
        <v>668.27</v>
      </c>
      <c r="K4540" s="128">
        <v>502.54</v>
      </c>
      <c r="L4540" s="128">
        <v>1714781.0</v>
      </c>
      <c r="M4540" s="128">
        <v>1289518.0</v>
      </c>
      <c r="N4540" s="128">
        <v>425263.2</v>
      </c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</row>
    <row r="4541">
      <c r="A4541" s="125" t="s">
        <v>475</v>
      </c>
      <c r="B4541" s="125" t="s">
        <v>565</v>
      </c>
      <c r="C4541" s="125" t="s">
        <v>494</v>
      </c>
      <c r="D4541" s="125" t="s">
        <v>457</v>
      </c>
      <c r="E4541" s="125" t="s">
        <v>472</v>
      </c>
      <c r="F4541" s="126">
        <v>42756.0</v>
      </c>
      <c r="G4541" s="127">
        <v>9.59E8</v>
      </c>
      <c r="H4541" s="126">
        <v>42769.0</v>
      </c>
      <c r="I4541" s="128">
        <v>6254.0</v>
      </c>
      <c r="J4541" s="128">
        <v>9.33</v>
      </c>
      <c r="K4541" s="128">
        <v>6.92</v>
      </c>
      <c r="L4541" s="128">
        <v>58349.82</v>
      </c>
      <c r="M4541" s="128">
        <v>43277.68</v>
      </c>
      <c r="N4541" s="128">
        <v>15072.14</v>
      </c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</row>
    <row r="4542">
      <c r="A4542" s="125" t="s">
        <v>458</v>
      </c>
      <c r="B4542" s="125" t="s">
        <v>603</v>
      </c>
      <c r="C4542" s="125" t="s">
        <v>471</v>
      </c>
      <c r="D4542" s="125" t="s">
        <v>454</v>
      </c>
      <c r="E4542" s="125" t="s">
        <v>189</v>
      </c>
      <c r="F4542" s="126">
        <v>41744.0</v>
      </c>
      <c r="G4542" s="127">
        <v>6.34E8</v>
      </c>
      <c r="H4542" s="126">
        <v>41755.0</v>
      </c>
      <c r="I4542" s="128">
        <v>6213.0</v>
      </c>
      <c r="J4542" s="128">
        <v>109.28</v>
      </c>
      <c r="K4542" s="128">
        <v>35.84</v>
      </c>
      <c r="L4542" s="128">
        <v>678956.6</v>
      </c>
      <c r="M4542" s="128">
        <v>222673.9</v>
      </c>
      <c r="N4542" s="128">
        <v>456282.7</v>
      </c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</row>
    <row r="4543">
      <c r="A4543" s="125" t="s">
        <v>466</v>
      </c>
      <c r="B4543" s="125" t="s">
        <v>508</v>
      </c>
      <c r="C4543" s="125" t="s">
        <v>468</v>
      </c>
      <c r="D4543" s="125" t="s">
        <v>457</v>
      </c>
      <c r="E4543" s="125" t="s">
        <v>472</v>
      </c>
      <c r="F4543" s="126">
        <v>42178.0</v>
      </c>
      <c r="G4543" s="127">
        <v>9.37E8</v>
      </c>
      <c r="H4543" s="126">
        <v>42193.0</v>
      </c>
      <c r="I4543" s="128">
        <v>6822.0</v>
      </c>
      <c r="J4543" s="128">
        <v>81.73</v>
      </c>
      <c r="K4543" s="128">
        <v>56.67</v>
      </c>
      <c r="L4543" s="128">
        <v>557562.1</v>
      </c>
      <c r="M4543" s="128">
        <v>386602.7</v>
      </c>
      <c r="N4543" s="128">
        <v>170959.3</v>
      </c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</row>
    <row r="4544">
      <c r="A4544" s="125" t="s">
        <v>475</v>
      </c>
      <c r="B4544" s="125" t="s">
        <v>635</v>
      </c>
      <c r="C4544" s="125" t="s">
        <v>471</v>
      </c>
      <c r="D4544" s="125" t="s">
        <v>454</v>
      </c>
      <c r="E4544" s="125" t="s">
        <v>464</v>
      </c>
      <c r="F4544" s="126">
        <v>41481.0</v>
      </c>
      <c r="G4544" s="127">
        <v>3.33E8</v>
      </c>
      <c r="H4544" s="126">
        <v>41485.0</v>
      </c>
      <c r="I4544" s="128">
        <v>4492.0</v>
      </c>
      <c r="J4544" s="128">
        <v>109.28</v>
      </c>
      <c r="K4544" s="128">
        <v>35.84</v>
      </c>
      <c r="L4544" s="128">
        <v>490885.8</v>
      </c>
      <c r="M4544" s="128">
        <v>160993.3</v>
      </c>
      <c r="N4544" s="128">
        <v>329892.5</v>
      </c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</row>
    <row r="4545">
      <c r="A4545" s="125" t="s">
        <v>458</v>
      </c>
      <c r="B4545" s="125" t="s">
        <v>606</v>
      </c>
      <c r="C4545" s="125" t="s">
        <v>468</v>
      </c>
      <c r="D4545" s="125" t="s">
        <v>454</v>
      </c>
      <c r="E4545" s="125" t="s">
        <v>284</v>
      </c>
      <c r="F4545" s="126">
        <v>41616.0</v>
      </c>
      <c r="G4545" s="127">
        <v>9.55E8</v>
      </c>
      <c r="H4545" s="126">
        <v>41666.0</v>
      </c>
      <c r="I4545" s="128">
        <v>2666.0</v>
      </c>
      <c r="J4545" s="128">
        <v>81.73</v>
      </c>
      <c r="K4545" s="128">
        <v>56.67</v>
      </c>
      <c r="L4545" s="128">
        <v>217892.2</v>
      </c>
      <c r="M4545" s="128">
        <v>151082.2</v>
      </c>
      <c r="N4545" s="128">
        <v>66809.96</v>
      </c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</row>
    <row r="4546">
      <c r="A4546" s="125" t="s">
        <v>475</v>
      </c>
      <c r="B4546" s="125" t="s">
        <v>552</v>
      </c>
      <c r="C4546" s="125" t="s">
        <v>460</v>
      </c>
      <c r="D4546" s="125" t="s">
        <v>457</v>
      </c>
      <c r="E4546" s="125" t="s">
        <v>284</v>
      </c>
      <c r="F4546" s="126">
        <v>42169.0</v>
      </c>
      <c r="G4546" s="127">
        <v>9.6E8</v>
      </c>
      <c r="H4546" s="126">
        <v>42203.0</v>
      </c>
      <c r="I4546" s="128">
        <v>6817.0</v>
      </c>
      <c r="J4546" s="128">
        <v>47.45</v>
      </c>
      <c r="K4546" s="128">
        <v>31.79</v>
      </c>
      <c r="L4546" s="128">
        <v>323466.7</v>
      </c>
      <c r="M4546" s="128">
        <v>216712.4</v>
      </c>
      <c r="N4546" s="128">
        <v>106754.2</v>
      </c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</row>
    <row r="4547">
      <c r="A4547" s="125" t="s">
        <v>475</v>
      </c>
      <c r="B4547" s="125" t="s">
        <v>548</v>
      </c>
      <c r="C4547" s="125" t="s">
        <v>456</v>
      </c>
      <c r="D4547" s="125" t="s">
        <v>454</v>
      </c>
      <c r="E4547" s="125" t="s">
        <v>464</v>
      </c>
      <c r="F4547" s="126">
        <v>41730.0</v>
      </c>
      <c r="G4547" s="127">
        <v>3.71E8</v>
      </c>
      <c r="H4547" s="126">
        <v>41756.0</v>
      </c>
      <c r="I4547" s="128">
        <v>9451.0</v>
      </c>
      <c r="J4547" s="128">
        <v>152.58</v>
      </c>
      <c r="K4547" s="128">
        <v>97.44</v>
      </c>
      <c r="L4547" s="128">
        <v>1442034.0</v>
      </c>
      <c r="M4547" s="128">
        <v>920905.4</v>
      </c>
      <c r="N4547" s="128">
        <v>521128.1</v>
      </c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</row>
    <row r="4548">
      <c r="A4548" s="125" t="s">
        <v>461</v>
      </c>
      <c r="B4548" s="125" t="s">
        <v>539</v>
      </c>
      <c r="C4548" s="125" t="s">
        <v>463</v>
      </c>
      <c r="D4548" s="125" t="s">
        <v>454</v>
      </c>
      <c r="E4548" s="125" t="s">
        <v>284</v>
      </c>
      <c r="F4548" s="126">
        <v>42046.0</v>
      </c>
      <c r="G4548" s="127">
        <v>6.34E8</v>
      </c>
      <c r="H4548" s="126">
        <v>42058.0</v>
      </c>
      <c r="I4548" s="128">
        <v>5103.0</v>
      </c>
      <c r="J4548" s="128">
        <v>205.7</v>
      </c>
      <c r="K4548" s="128">
        <v>117.11</v>
      </c>
      <c r="L4548" s="128">
        <v>1049687.0</v>
      </c>
      <c r="M4548" s="128">
        <v>597612.3</v>
      </c>
      <c r="N4548" s="128">
        <v>452074.8</v>
      </c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</row>
    <row r="4549">
      <c r="A4549" s="125" t="s">
        <v>475</v>
      </c>
      <c r="B4549" s="125" t="s">
        <v>532</v>
      </c>
      <c r="C4549" s="125" t="s">
        <v>468</v>
      </c>
      <c r="D4549" s="125" t="s">
        <v>454</v>
      </c>
      <c r="E4549" s="125" t="s">
        <v>472</v>
      </c>
      <c r="F4549" s="126">
        <v>41103.0</v>
      </c>
      <c r="G4549" s="127">
        <v>5.65E8</v>
      </c>
      <c r="H4549" s="126">
        <v>41116.0</v>
      </c>
      <c r="I4549" s="128">
        <v>5340.0</v>
      </c>
      <c r="J4549" s="128">
        <v>81.73</v>
      </c>
      <c r="K4549" s="128">
        <v>56.67</v>
      </c>
      <c r="L4549" s="128">
        <v>436438.2</v>
      </c>
      <c r="M4549" s="128">
        <v>302617.8</v>
      </c>
      <c r="N4549" s="128">
        <v>133820.4</v>
      </c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</row>
    <row r="4550">
      <c r="A4550" s="125" t="s">
        <v>475</v>
      </c>
      <c r="B4550" s="125" t="s">
        <v>604</v>
      </c>
      <c r="C4550" s="125" t="s">
        <v>460</v>
      </c>
      <c r="D4550" s="125" t="s">
        <v>457</v>
      </c>
      <c r="E4550" s="125" t="s">
        <v>284</v>
      </c>
      <c r="F4550" s="126">
        <v>42809.0</v>
      </c>
      <c r="G4550" s="127">
        <v>3.99E8</v>
      </c>
      <c r="H4550" s="126">
        <v>42825.0</v>
      </c>
      <c r="I4550" s="128">
        <v>3762.0</v>
      </c>
      <c r="J4550" s="128">
        <v>47.45</v>
      </c>
      <c r="K4550" s="128">
        <v>31.79</v>
      </c>
      <c r="L4550" s="128">
        <v>178506.9</v>
      </c>
      <c r="M4550" s="128">
        <v>119594.0</v>
      </c>
      <c r="N4550" s="128">
        <v>58912.92</v>
      </c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</row>
    <row r="4551">
      <c r="A4551" s="125" t="s">
        <v>475</v>
      </c>
      <c r="B4551" s="125" t="s">
        <v>585</v>
      </c>
      <c r="C4551" s="125" t="s">
        <v>456</v>
      </c>
      <c r="D4551" s="125" t="s">
        <v>454</v>
      </c>
      <c r="E4551" s="125" t="s">
        <v>464</v>
      </c>
      <c r="F4551" s="126">
        <v>41779.0</v>
      </c>
      <c r="G4551" s="127">
        <v>4.44E8</v>
      </c>
      <c r="H4551" s="126">
        <v>41823.0</v>
      </c>
      <c r="I4551" s="128">
        <v>998.0</v>
      </c>
      <c r="J4551" s="128">
        <v>152.58</v>
      </c>
      <c r="K4551" s="128">
        <v>97.44</v>
      </c>
      <c r="L4551" s="128">
        <v>152274.8</v>
      </c>
      <c r="M4551" s="128">
        <v>97245.12</v>
      </c>
      <c r="N4551" s="128">
        <v>55029.72</v>
      </c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</row>
    <row r="4552">
      <c r="A4552" s="125" t="s">
        <v>469</v>
      </c>
      <c r="B4552" s="125" t="s">
        <v>569</v>
      </c>
      <c r="C4552" s="125" t="s">
        <v>456</v>
      </c>
      <c r="D4552" s="125" t="s">
        <v>457</v>
      </c>
      <c r="E4552" s="125" t="s">
        <v>189</v>
      </c>
      <c r="F4552" s="126">
        <v>41315.0</v>
      </c>
      <c r="G4552" s="127">
        <v>6.25E8</v>
      </c>
      <c r="H4552" s="126">
        <v>41349.0</v>
      </c>
      <c r="I4552" s="128">
        <v>9710.0</v>
      </c>
      <c r="J4552" s="128">
        <v>152.58</v>
      </c>
      <c r="K4552" s="128">
        <v>97.44</v>
      </c>
      <c r="L4552" s="128">
        <v>1481552.0</v>
      </c>
      <c r="M4552" s="128">
        <v>946142.4</v>
      </c>
      <c r="N4552" s="128">
        <v>535409.4</v>
      </c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</row>
    <row r="4553">
      <c r="A4553" s="125" t="s">
        <v>461</v>
      </c>
      <c r="B4553" s="125" t="s">
        <v>599</v>
      </c>
      <c r="C4553" s="125" t="s">
        <v>478</v>
      </c>
      <c r="D4553" s="125" t="s">
        <v>457</v>
      </c>
      <c r="E4553" s="125" t="s">
        <v>464</v>
      </c>
      <c r="F4553" s="126">
        <v>40959.0</v>
      </c>
      <c r="G4553" s="127">
        <v>9.4E8</v>
      </c>
      <c r="H4553" s="126">
        <v>40971.0</v>
      </c>
      <c r="I4553" s="128">
        <v>9589.0</v>
      </c>
      <c r="J4553" s="128">
        <v>651.21</v>
      </c>
      <c r="K4553" s="128">
        <v>524.96</v>
      </c>
      <c r="L4553" s="128">
        <v>6244453.0</v>
      </c>
      <c r="M4553" s="128">
        <v>5033841.0</v>
      </c>
      <c r="N4553" s="128">
        <v>1210611.0</v>
      </c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</row>
    <row r="4554">
      <c r="A4554" s="125" t="s">
        <v>451</v>
      </c>
      <c r="B4554" s="125" t="s">
        <v>596</v>
      </c>
      <c r="C4554" s="125" t="s">
        <v>453</v>
      </c>
      <c r="D4554" s="125" t="s">
        <v>457</v>
      </c>
      <c r="E4554" s="125" t="s">
        <v>284</v>
      </c>
      <c r="F4554" s="126">
        <v>40642.0</v>
      </c>
      <c r="G4554" s="127">
        <v>1.05E8</v>
      </c>
      <c r="H4554" s="126">
        <v>40659.0</v>
      </c>
      <c r="I4554" s="128">
        <v>2360.0</v>
      </c>
      <c r="J4554" s="128">
        <v>255.28</v>
      </c>
      <c r="K4554" s="128">
        <v>159.42</v>
      </c>
      <c r="L4554" s="128">
        <v>602460.8</v>
      </c>
      <c r="M4554" s="128">
        <v>376231.2</v>
      </c>
      <c r="N4554" s="128">
        <v>226229.6</v>
      </c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</row>
    <row r="4555">
      <c r="A4555" s="125" t="s">
        <v>488</v>
      </c>
      <c r="B4555" s="125" t="s">
        <v>489</v>
      </c>
      <c r="C4555" s="125" t="s">
        <v>460</v>
      </c>
      <c r="D4555" s="125" t="s">
        <v>457</v>
      </c>
      <c r="E4555" s="125" t="s">
        <v>472</v>
      </c>
      <c r="F4555" s="126">
        <v>42067.0</v>
      </c>
      <c r="G4555" s="127">
        <v>5.09E8</v>
      </c>
      <c r="H4555" s="126">
        <v>42092.0</v>
      </c>
      <c r="I4555" s="128">
        <v>6777.0</v>
      </c>
      <c r="J4555" s="128">
        <v>47.45</v>
      </c>
      <c r="K4555" s="128">
        <v>31.79</v>
      </c>
      <c r="L4555" s="128">
        <v>321568.7</v>
      </c>
      <c r="M4555" s="128">
        <v>215440.8</v>
      </c>
      <c r="N4555" s="128">
        <v>106127.8</v>
      </c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</row>
    <row r="4556">
      <c r="A4556" s="125" t="s">
        <v>475</v>
      </c>
      <c r="B4556" s="125" t="s">
        <v>574</v>
      </c>
      <c r="C4556" s="125" t="s">
        <v>494</v>
      </c>
      <c r="D4556" s="125" t="s">
        <v>457</v>
      </c>
      <c r="E4556" s="125" t="s">
        <v>472</v>
      </c>
      <c r="F4556" s="126">
        <v>41795.0</v>
      </c>
      <c r="G4556" s="127">
        <v>5.59E8</v>
      </c>
      <c r="H4556" s="126">
        <v>41823.0</v>
      </c>
      <c r="I4556" s="128">
        <v>3626.0</v>
      </c>
      <c r="J4556" s="128">
        <v>9.33</v>
      </c>
      <c r="K4556" s="128">
        <v>6.92</v>
      </c>
      <c r="L4556" s="128">
        <v>33830.58</v>
      </c>
      <c r="M4556" s="128">
        <v>25091.92</v>
      </c>
      <c r="N4556" s="128">
        <v>8738.66</v>
      </c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</row>
    <row r="4557">
      <c r="A4557" s="125" t="s">
        <v>475</v>
      </c>
      <c r="B4557" s="125" t="s">
        <v>624</v>
      </c>
      <c r="C4557" s="125" t="s">
        <v>485</v>
      </c>
      <c r="D4557" s="125" t="s">
        <v>454</v>
      </c>
      <c r="E4557" s="125" t="s">
        <v>464</v>
      </c>
      <c r="F4557" s="126">
        <v>40923.0</v>
      </c>
      <c r="G4557" s="127">
        <v>5.33E8</v>
      </c>
      <c r="H4557" s="126">
        <v>40926.0</v>
      </c>
      <c r="I4557" s="128">
        <v>725.0</v>
      </c>
      <c r="J4557" s="128">
        <v>421.89</v>
      </c>
      <c r="K4557" s="128">
        <v>364.69</v>
      </c>
      <c r="L4557" s="128">
        <v>305870.3</v>
      </c>
      <c r="M4557" s="128">
        <v>264400.3</v>
      </c>
      <c r="N4557" s="128">
        <v>41470.0</v>
      </c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</row>
    <row r="4558">
      <c r="A4558" s="125" t="s">
        <v>458</v>
      </c>
      <c r="B4558" s="125" t="s">
        <v>563</v>
      </c>
      <c r="C4558" s="125" t="s">
        <v>478</v>
      </c>
      <c r="D4558" s="125" t="s">
        <v>454</v>
      </c>
      <c r="E4558" s="125" t="s">
        <v>464</v>
      </c>
      <c r="F4558" s="126">
        <v>40938.0</v>
      </c>
      <c r="G4558" s="127">
        <v>3.31E8</v>
      </c>
      <c r="H4558" s="126">
        <v>40982.0</v>
      </c>
      <c r="I4558" s="128">
        <v>7923.0</v>
      </c>
      <c r="J4558" s="128">
        <v>651.21</v>
      </c>
      <c r="K4558" s="128">
        <v>524.96</v>
      </c>
      <c r="L4558" s="128">
        <v>5159537.0</v>
      </c>
      <c r="M4558" s="128">
        <v>4159258.0</v>
      </c>
      <c r="N4558" s="128">
        <v>1000279.0</v>
      </c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</row>
    <row r="4559">
      <c r="A4559" s="125" t="s">
        <v>458</v>
      </c>
      <c r="B4559" s="125" t="s">
        <v>555</v>
      </c>
      <c r="C4559" s="125" t="s">
        <v>480</v>
      </c>
      <c r="D4559" s="125" t="s">
        <v>457</v>
      </c>
      <c r="E4559" s="125" t="s">
        <v>284</v>
      </c>
      <c r="F4559" s="126">
        <v>42334.0</v>
      </c>
      <c r="G4559" s="127">
        <v>8.2E8</v>
      </c>
      <c r="H4559" s="126">
        <v>42363.0</v>
      </c>
      <c r="I4559" s="128">
        <v>2098.0</v>
      </c>
      <c r="J4559" s="128">
        <v>437.2</v>
      </c>
      <c r="K4559" s="128">
        <v>263.33</v>
      </c>
      <c r="L4559" s="128">
        <v>917245.6</v>
      </c>
      <c r="M4559" s="128">
        <v>552466.3</v>
      </c>
      <c r="N4559" s="128">
        <v>364779.3</v>
      </c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</row>
    <row r="4560">
      <c r="A4560" s="125" t="s">
        <v>461</v>
      </c>
      <c r="B4560" s="125" t="s">
        <v>564</v>
      </c>
      <c r="C4560" s="125" t="s">
        <v>514</v>
      </c>
      <c r="D4560" s="125" t="s">
        <v>457</v>
      </c>
      <c r="E4560" s="125" t="s">
        <v>472</v>
      </c>
      <c r="F4560" s="126">
        <v>40460.0</v>
      </c>
      <c r="G4560" s="127">
        <v>6.89E8</v>
      </c>
      <c r="H4560" s="126">
        <v>40461.0</v>
      </c>
      <c r="I4560" s="128">
        <v>2164.0</v>
      </c>
      <c r="J4560" s="128">
        <v>668.27</v>
      </c>
      <c r="K4560" s="128">
        <v>502.54</v>
      </c>
      <c r="L4560" s="128">
        <v>1446136.0</v>
      </c>
      <c r="M4560" s="128">
        <v>1087497.0</v>
      </c>
      <c r="N4560" s="128">
        <v>358639.7</v>
      </c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</row>
    <row r="4561">
      <c r="A4561" s="125" t="s">
        <v>458</v>
      </c>
      <c r="B4561" s="125" t="s">
        <v>582</v>
      </c>
      <c r="C4561" s="125" t="s">
        <v>456</v>
      </c>
      <c r="D4561" s="125" t="s">
        <v>457</v>
      </c>
      <c r="E4561" s="125" t="s">
        <v>284</v>
      </c>
      <c r="F4561" s="126">
        <v>40737.0</v>
      </c>
      <c r="G4561" s="127">
        <v>4.99E8</v>
      </c>
      <c r="H4561" s="126">
        <v>40783.0</v>
      </c>
      <c r="I4561" s="128">
        <v>4061.0</v>
      </c>
      <c r="J4561" s="128">
        <v>152.58</v>
      </c>
      <c r="K4561" s="128">
        <v>97.44</v>
      </c>
      <c r="L4561" s="128">
        <v>619627.4</v>
      </c>
      <c r="M4561" s="128">
        <v>395703.8</v>
      </c>
      <c r="N4561" s="128">
        <v>223923.5</v>
      </c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</row>
    <row r="4562">
      <c r="A4562" s="125" t="s">
        <v>469</v>
      </c>
      <c r="B4562" s="125" t="s">
        <v>519</v>
      </c>
      <c r="C4562" s="125" t="s">
        <v>506</v>
      </c>
      <c r="D4562" s="125" t="s">
        <v>454</v>
      </c>
      <c r="E4562" s="125" t="s">
        <v>472</v>
      </c>
      <c r="F4562" s="126">
        <v>40674.0</v>
      </c>
      <c r="G4562" s="127">
        <v>4.29E8</v>
      </c>
      <c r="H4562" s="126">
        <v>40677.0</v>
      </c>
      <c r="I4562" s="128">
        <v>5763.0</v>
      </c>
      <c r="J4562" s="128">
        <v>154.06</v>
      </c>
      <c r="K4562" s="128">
        <v>90.93</v>
      </c>
      <c r="L4562" s="128">
        <v>887847.8</v>
      </c>
      <c r="M4562" s="128">
        <v>524029.6</v>
      </c>
      <c r="N4562" s="128">
        <v>363818.2</v>
      </c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</row>
    <row r="4563">
      <c r="A4563" s="125" t="s">
        <v>475</v>
      </c>
      <c r="B4563" s="125" t="s">
        <v>648</v>
      </c>
      <c r="C4563" s="125" t="s">
        <v>460</v>
      </c>
      <c r="D4563" s="125" t="s">
        <v>454</v>
      </c>
      <c r="E4563" s="125" t="s">
        <v>472</v>
      </c>
      <c r="F4563" s="126">
        <v>42321.0</v>
      </c>
      <c r="G4563" s="127">
        <v>7.29E8</v>
      </c>
      <c r="H4563" s="126">
        <v>42332.0</v>
      </c>
      <c r="I4563" s="128">
        <v>2276.0</v>
      </c>
      <c r="J4563" s="128">
        <v>47.45</v>
      </c>
      <c r="K4563" s="128">
        <v>31.79</v>
      </c>
      <c r="L4563" s="128">
        <v>107996.2</v>
      </c>
      <c r="M4563" s="128">
        <v>72354.04</v>
      </c>
      <c r="N4563" s="128">
        <v>35642.16</v>
      </c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</row>
    <row r="4564">
      <c r="A4564" s="125" t="s">
        <v>466</v>
      </c>
      <c r="B4564" s="125" t="s">
        <v>607</v>
      </c>
      <c r="C4564" s="125" t="s">
        <v>480</v>
      </c>
      <c r="D4564" s="125" t="s">
        <v>454</v>
      </c>
      <c r="E4564" s="125" t="s">
        <v>464</v>
      </c>
      <c r="F4564" s="126">
        <v>42584.0</v>
      </c>
      <c r="G4564" s="127">
        <v>3.69E8</v>
      </c>
      <c r="H4564" s="126">
        <v>42597.0</v>
      </c>
      <c r="I4564" s="128">
        <v>636.0</v>
      </c>
      <c r="J4564" s="128">
        <v>437.2</v>
      </c>
      <c r="K4564" s="128">
        <v>263.33</v>
      </c>
      <c r="L4564" s="128">
        <v>278059.2</v>
      </c>
      <c r="M4564" s="128">
        <v>167477.9</v>
      </c>
      <c r="N4564" s="128">
        <v>110581.3</v>
      </c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</row>
    <row r="4565">
      <c r="A4565" s="125" t="s">
        <v>458</v>
      </c>
      <c r="B4565" s="125" t="s">
        <v>626</v>
      </c>
      <c r="C4565" s="125" t="s">
        <v>471</v>
      </c>
      <c r="D4565" s="125" t="s">
        <v>454</v>
      </c>
      <c r="E4565" s="125" t="s">
        <v>284</v>
      </c>
      <c r="F4565" s="126">
        <v>42906.0</v>
      </c>
      <c r="G4565" s="127">
        <v>1.9E8</v>
      </c>
      <c r="H4565" s="126">
        <v>42952.0</v>
      </c>
      <c r="I4565" s="128">
        <v>4909.0</v>
      </c>
      <c r="J4565" s="128">
        <v>109.28</v>
      </c>
      <c r="K4565" s="128">
        <v>35.84</v>
      </c>
      <c r="L4565" s="128">
        <v>536455.5</v>
      </c>
      <c r="M4565" s="128">
        <v>175938.6</v>
      </c>
      <c r="N4565" s="128">
        <v>360517.0</v>
      </c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</row>
    <row r="4566">
      <c r="A4566" s="125" t="s">
        <v>458</v>
      </c>
      <c r="B4566" s="125" t="s">
        <v>613</v>
      </c>
      <c r="C4566" s="125" t="s">
        <v>460</v>
      </c>
      <c r="D4566" s="125" t="s">
        <v>457</v>
      </c>
      <c r="E4566" s="125" t="s">
        <v>189</v>
      </c>
      <c r="F4566" s="126">
        <v>42355.0</v>
      </c>
      <c r="G4566" s="127">
        <v>6.53E8</v>
      </c>
      <c r="H4566" s="126">
        <v>42360.0</v>
      </c>
      <c r="I4566" s="128">
        <v>1194.0</v>
      </c>
      <c r="J4566" s="128">
        <v>47.45</v>
      </c>
      <c r="K4566" s="128">
        <v>31.79</v>
      </c>
      <c r="L4566" s="128">
        <v>56655.3</v>
      </c>
      <c r="M4566" s="128">
        <v>37957.26</v>
      </c>
      <c r="N4566" s="128">
        <v>18698.04</v>
      </c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</row>
    <row r="4567">
      <c r="A4567" s="125" t="s">
        <v>458</v>
      </c>
      <c r="B4567" s="125" t="s">
        <v>486</v>
      </c>
      <c r="C4567" s="125" t="s">
        <v>506</v>
      </c>
      <c r="D4567" s="125" t="s">
        <v>457</v>
      </c>
      <c r="E4567" s="125" t="s">
        <v>284</v>
      </c>
      <c r="F4567" s="126">
        <v>41768.0</v>
      </c>
      <c r="G4567" s="127">
        <v>4.9E8</v>
      </c>
      <c r="H4567" s="126">
        <v>41799.0</v>
      </c>
      <c r="I4567" s="128">
        <v>2622.0</v>
      </c>
      <c r="J4567" s="128">
        <v>154.06</v>
      </c>
      <c r="K4567" s="128">
        <v>90.93</v>
      </c>
      <c r="L4567" s="128">
        <v>403945.3</v>
      </c>
      <c r="M4567" s="128">
        <v>238418.5</v>
      </c>
      <c r="N4567" s="128">
        <v>165526.9</v>
      </c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</row>
    <row r="4568">
      <c r="A4568" s="125" t="s">
        <v>458</v>
      </c>
      <c r="B4568" s="125" t="s">
        <v>498</v>
      </c>
      <c r="C4568" s="125" t="s">
        <v>453</v>
      </c>
      <c r="D4568" s="125" t="s">
        <v>454</v>
      </c>
      <c r="E4568" s="125" t="s">
        <v>189</v>
      </c>
      <c r="F4568" s="126">
        <v>42374.0</v>
      </c>
      <c r="G4568" s="127">
        <v>7.51E8</v>
      </c>
      <c r="H4568" s="126">
        <v>42394.0</v>
      </c>
      <c r="I4568" s="128">
        <v>4354.0</v>
      </c>
      <c r="J4568" s="128">
        <v>255.28</v>
      </c>
      <c r="K4568" s="128">
        <v>159.42</v>
      </c>
      <c r="L4568" s="128">
        <v>1111489.0</v>
      </c>
      <c r="M4568" s="128">
        <v>694114.7</v>
      </c>
      <c r="N4568" s="128">
        <v>417374.4</v>
      </c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</row>
    <row r="4569">
      <c r="A4569" s="125" t="s">
        <v>475</v>
      </c>
      <c r="B4569" s="125" t="s">
        <v>636</v>
      </c>
      <c r="C4569" s="125" t="s">
        <v>478</v>
      </c>
      <c r="D4569" s="125" t="s">
        <v>457</v>
      </c>
      <c r="E4569" s="125" t="s">
        <v>472</v>
      </c>
      <c r="F4569" s="126">
        <v>41641.0</v>
      </c>
      <c r="G4569" s="127">
        <v>7.59E8</v>
      </c>
      <c r="H4569" s="126">
        <v>41652.0</v>
      </c>
      <c r="I4569" s="128">
        <v>8581.0</v>
      </c>
      <c r="J4569" s="128">
        <v>651.21</v>
      </c>
      <c r="K4569" s="128">
        <v>524.96</v>
      </c>
      <c r="L4569" s="128">
        <v>5588033.0</v>
      </c>
      <c r="M4569" s="128">
        <v>4504682.0</v>
      </c>
      <c r="N4569" s="128">
        <v>1083351.0</v>
      </c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</row>
    <row r="4570">
      <c r="A4570" s="125" t="s">
        <v>458</v>
      </c>
      <c r="B4570" s="125" t="s">
        <v>473</v>
      </c>
      <c r="C4570" s="125" t="s">
        <v>468</v>
      </c>
      <c r="D4570" s="125" t="s">
        <v>457</v>
      </c>
      <c r="E4570" s="125" t="s">
        <v>464</v>
      </c>
      <c r="F4570" s="126">
        <v>40190.0</v>
      </c>
      <c r="G4570" s="127">
        <v>3.56E8</v>
      </c>
      <c r="H4570" s="126">
        <v>40196.0</v>
      </c>
      <c r="I4570" s="128">
        <v>9528.0</v>
      </c>
      <c r="J4570" s="128">
        <v>81.73</v>
      </c>
      <c r="K4570" s="128">
        <v>56.67</v>
      </c>
      <c r="L4570" s="128">
        <v>778723.4</v>
      </c>
      <c r="M4570" s="128">
        <v>539951.8</v>
      </c>
      <c r="N4570" s="128">
        <v>238771.7</v>
      </c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</row>
    <row r="4571">
      <c r="A4571" s="125" t="s">
        <v>461</v>
      </c>
      <c r="B4571" s="125" t="s">
        <v>539</v>
      </c>
      <c r="C4571" s="125" t="s">
        <v>468</v>
      </c>
      <c r="D4571" s="125" t="s">
        <v>454</v>
      </c>
      <c r="E4571" s="125" t="s">
        <v>472</v>
      </c>
      <c r="F4571" s="126">
        <v>40417.0</v>
      </c>
      <c r="G4571" s="127">
        <v>3.55E8</v>
      </c>
      <c r="H4571" s="126">
        <v>40463.0</v>
      </c>
      <c r="I4571" s="128">
        <v>8450.0</v>
      </c>
      <c r="J4571" s="128">
        <v>81.73</v>
      </c>
      <c r="K4571" s="128">
        <v>56.67</v>
      </c>
      <c r="L4571" s="128">
        <v>690618.5</v>
      </c>
      <c r="M4571" s="128">
        <v>478861.5</v>
      </c>
      <c r="N4571" s="128">
        <v>211757.0</v>
      </c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</row>
    <row r="4572">
      <c r="A4572" s="125" t="s">
        <v>458</v>
      </c>
      <c r="B4572" s="125" t="s">
        <v>473</v>
      </c>
      <c r="C4572" s="125" t="s">
        <v>478</v>
      </c>
      <c r="D4572" s="125" t="s">
        <v>457</v>
      </c>
      <c r="E4572" s="125" t="s">
        <v>464</v>
      </c>
      <c r="F4572" s="126">
        <v>42338.0</v>
      </c>
      <c r="G4572" s="127">
        <v>2.89E8</v>
      </c>
      <c r="H4572" s="126">
        <v>42368.0</v>
      </c>
      <c r="I4572" s="128">
        <v>8632.0</v>
      </c>
      <c r="J4572" s="128">
        <v>651.21</v>
      </c>
      <c r="K4572" s="128">
        <v>524.96</v>
      </c>
      <c r="L4572" s="128">
        <v>5621245.0</v>
      </c>
      <c r="M4572" s="128">
        <v>4531455.0</v>
      </c>
      <c r="N4572" s="128">
        <v>1089790.0</v>
      </c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</row>
    <row r="4573">
      <c r="A4573" s="125" t="s">
        <v>458</v>
      </c>
      <c r="B4573" s="125" t="s">
        <v>533</v>
      </c>
      <c r="C4573" s="125" t="s">
        <v>480</v>
      </c>
      <c r="D4573" s="125" t="s">
        <v>457</v>
      </c>
      <c r="E4573" s="125" t="s">
        <v>284</v>
      </c>
      <c r="F4573" s="126">
        <v>42213.0</v>
      </c>
      <c r="G4573" s="127">
        <v>6.6E8</v>
      </c>
      <c r="H4573" s="126">
        <v>42214.0</v>
      </c>
      <c r="I4573" s="128">
        <v>391.0</v>
      </c>
      <c r="J4573" s="128">
        <v>437.2</v>
      </c>
      <c r="K4573" s="128">
        <v>263.33</v>
      </c>
      <c r="L4573" s="128">
        <v>170945.2</v>
      </c>
      <c r="M4573" s="128">
        <v>102962.0</v>
      </c>
      <c r="N4573" s="128">
        <v>67983.17</v>
      </c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</row>
    <row r="4574">
      <c r="A4574" s="125" t="s">
        <v>469</v>
      </c>
      <c r="B4574" s="125" t="s">
        <v>501</v>
      </c>
      <c r="C4574" s="125" t="s">
        <v>506</v>
      </c>
      <c r="D4574" s="125" t="s">
        <v>454</v>
      </c>
      <c r="E4574" s="125" t="s">
        <v>464</v>
      </c>
      <c r="F4574" s="126">
        <v>42218.0</v>
      </c>
      <c r="G4574" s="127">
        <v>6.92E8</v>
      </c>
      <c r="H4574" s="126">
        <v>42233.0</v>
      </c>
      <c r="I4574" s="128">
        <v>6078.0</v>
      </c>
      <c r="J4574" s="128">
        <v>154.06</v>
      </c>
      <c r="K4574" s="128">
        <v>90.93</v>
      </c>
      <c r="L4574" s="128">
        <v>936376.7</v>
      </c>
      <c r="M4574" s="128">
        <v>552672.5</v>
      </c>
      <c r="N4574" s="128">
        <v>383704.1</v>
      </c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</row>
    <row r="4575">
      <c r="A4575" s="125" t="s">
        <v>475</v>
      </c>
      <c r="B4575" s="125" t="s">
        <v>619</v>
      </c>
      <c r="C4575" s="125" t="s">
        <v>453</v>
      </c>
      <c r="D4575" s="125" t="s">
        <v>454</v>
      </c>
      <c r="E4575" s="125" t="s">
        <v>284</v>
      </c>
      <c r="F4575" s="126">
        <v>40773.0</v>
      </c>
      <c r="G4575" s="127">
        <v>5.79E8</v>
      </c>
      <c r="H4575" s="126">
        <v>40785.0</v>
      </c>
      <c r="I4575" s="128">
        <v>5070.0</v>
      </c>
      <c r="J4575" s="128">
        <v>255.28</v>
      </c>
      <c r="K4575" s="128">
        <v>159.42</v>
      </c>
      <c r="L4575" s="128">
        <v>1294270.0</v>
      </c>
      <c r="M4575" s="128">
        <v>808259.4</v>
      </c>
      <c r="N4575" s="128">
        <v>486010.2</v>
      </c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</row>
    <row r="4576">
      <c r="A4576" s="125" t="s">
        <v>466</v>
      </c>
      <c r="B4576" s="125" t="s">
        <v>535</v>
      </c>
      <c r="C4576" s="125" t="s">
        <v>514</v>
      </c>
      <c r="D4576" s="125" t="s">
        <v>454</v>
      </c>
      <c r="E4576" s="125" t="s">
        <v>472</v>
      </c>
      <c r="F4576" s="126">
        <v>42217.0</v>
      </c>
      <c r="G4576" s="127">
        <v>1.35E8</v>
      </c>
      <c r="H4576" s="126">
        <v>42217.0</v>
      </c>
      <c r="I4576" s="128">
        <v>8781.0</v>
      </c>
      <c r="J4576" s="128">
        <v>668.27</v>
      </c>
      <c r="K4576" s="128">
        <v>502.54</v>
      </c>
      <c r="L4576" s="128">
        <v>5868079.0</v>
      </c>
      <c r="M4576" s="128">
        <v>4412804.0</v>
      </c>
      <c r="N4576" s="128">
        <v>1455275.0</v>
      </c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</row>
    <row r="4577">
      <c r="A4577" s="125" t="s">
        <v>451</v>
      </c>
      <c r="B4577" s="125" t="s">
        <v>543</v>
      </c>
      <c r="C4577" s="125" t="s">
        <v>453</v>
      </c>
      <c r="D4577" s="125" t="s">
        <v>454</v>
      </c>
      <c r="E4577" s="125" t="s">
        <v>189</v>
      </c>
      <c r="F4577" s="126">
        <v>41597.0</v>
      </c>
      <c r="G4577" s="127">
        <v>1.45E8</v>
      </c>
      <c r="H4577" s="126">
        <v>41620.0</v>
      </c>
      <c r="I4577" s="128">
        <v>5651.0</v>
      </c>
      <c r="J4577" s="128">
        <v>255.28</v>
      </c>
      <c r="K4577" s="128">
        <v>159.42</v>
      </c>
      <c r="L4577" s="128">
        <v>1442587.0</v>
      </c>
      <c r="M4577" s="128">
        <v>900882.4</v>
      </c>
      <c r="N4577" s="128">
        <v>541704.9</v>
      </c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</row>
    <row r="4578">
      <c r="A4578" s="125" t="s">
        <v>475</v>
      </c>
      <c r="B4578" s="125" t="s">
        <v>565</v>
      </c>
      <c r="C4578" s="125" t="s">
        <v>485</v>
      </c>
      <c r="D4578" s="125" t="s">
        <v>457</v>
      </c>
      <c r="E4578" s="125" t="s">
        <v>284</v>
      </c>
      <c r="F4578" s="126">
        <v>42648.0</v>
      </c>
      <c r="G4578" s="127">
        <v>1.13E8</v>
      </c>
      <c r="H4578" s="126">
        <v>42686.0</v>
      </c>
      <c r="I4578" s="128">
        <v>6155.0</v>
      </c>
      <c r="J4578" s="128">
        <v>421.89</v>
      </c>
      <c r="K4578" s="128">
        <v>364.69</v>
      </c>
      <c r="L4578" s="128">
        <v>2596733.0</v>
      </c>
      <c r="M4578" s="128">
        <v>2244667.0</v>
      </c>
      <c r="N4578" s="128">
        <v>352066.0</v>
      </c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</row>
    <row r="4579">
      <c r="A4579" s="125" t="s">
        <v>458</v>
      </c>
      <c r="B4579" s="125" t="s">
        <v>529</v>
      </c>
      <c r="C4579" s="125" t="s">
        <v>471</v>
      </c>
      <c r="D4579" s="125" t="s">
        <v>457</v>
      </c>
      <c r="E4579" s="125" t="s">
        <v>472</v>
      </c>
      <c r="F4579" s="126">
        <v>42577.0</v>
      </c>
      <c r="G4579" s="127">
        <v>5.14E8</v>
      </c>
      <c r="H4579" s="126">
        <v>42618.0</v>
      </c>
      <c r="I4579" s="128">
        <v>7797.0</v>
      </c>
      <c r="J4579" s="128">
        <v>109.28</v>
      </c>
      <c r="K4579" s="128">
        <v>35.84</v>
      </c>
      <c r="L4579" s="128">
        <v>852056.2</v>
      </c>
      <c r="M4579" s="128">
        <v>279444.5</v>
      </c>
      <c r="N4579" s="128">
        <v>572611.7</v>
      </c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</row>
    <row r="4580">
      <c r="A4580" s="125" t="s">
        <v>458</v>
      </c>
      <c r="B4580" s="125" t="s">
        <v>533</v>
      </c>
      <c r="C4580" s="125" t="s">
        <v>460</v>
      </c>
      <c r="D4580" s="125" t="s">
        <v>457</v>
      </c>
      <c r="E4580" s="125" t="s">
        <v>189</v>
      </c>
      <c r="F4580" s="126">
        <v>41750.0</v>
      </c>
      <c r="G4580" s="127">
        <v>5.43E8</v>
      </c>
      <c r="H4580" s="126">
        <v>41791.0</v>
      </c>
      <c r="I4580" s="128">
        <v>114.0</v>
      </c>
      <c r="J4580" s="128">
        <v>47.45</v>
      </c>
      <c r="K4580" s="128">
        <v>31.79</v>
      </c>
      <c r="L4580" s="128">
        <v>5409.3</v>
      </c>
      <c r="M4580" s="128">
        <v>3624.06</v>
      </c>
      <c r="N4580" s="128">
        <v>1785.24</v>
      </c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</row>
    <row r="4581">
      <c r="A4581" s="125" t="s">
        <v>451</v>
      </c>
      <c r="B4581" s="125" t="s">
        <v>587</v>
      </c>
      <c r="C4581" s="125" t="s">
        <v>478</v>
      </c>
      <c r="D4581" s="125" t="s">
        <v>454</v>
      </c>
      <c r="E4581" s="125" t="s">
        <v>189</v>
      </c>
      <c r="F4581" s="126">
        <v>42300.0</v>
      </c>
      <c r="G4581" s="127">
        <v>3.67E8</v>
      </c>
      <c r="H4581" s="126">
        <v>42335.0</v>
      </c>
      <c r="I4581" s="128">
        <v>9673.0</v>
      </c>
      <c r="J4581" s="128">
        <v>651.21</v>
      </c>
      <c r="K4581" s="128">
        <v>524.96</v>
      </c>
      <c r="L4581" s="128">
        <v>6299154.0</v>
      </c>
      <c r="M4581" s="128">
        <v>5077938.0</v>
      </c>
      <c r="N4581" s="128">
        <v>1221216.0</v>
      </c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</row>
    <row r="4582">
      <c r="A4582" s="125" t="s">
        <v>458</v>
      </c>
      <c r="B4582" s="125" t="s">
        <v>560</v>
      </c>
      <c r="C4582" s="125" t="s">
        <v>506</v>
      </c>
      <c r="D4582" s="125" t="s">
        <v>457</v>
      </c>
      <c r="E4582" s="125" t="s">
        <v>284</v>
      </c>
      <c r="F4582" s="126">
        <v>41219.0</v>
      </c>
      <c r="G4582" s="127">
        <v>6.72E8</v>
      </c>
      <c r="H4582" s="126">
        <v>41253.0</v>
      </c>
      <c r="I4582" s="128">
        <v>5072.0</v>
      </c>
      <c r="J4582" s="128">
        <v>154.06</v>
      </c>
      <c r="K4582" s="128">
        <v>90.93</v>
      </c>
      <c r="L4582" s="128">
        <v>781392.3</v>
      </c>
      <c r="M4582" s="128">
        <v>461197.0</v>
      </c>
      <c r="N4582" s="128">
        <v>320195.4</v>
      </c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</row>
    <row r="4583">
      <c r="A4583" s="125" t="s">
        <v>475</v>
      </c>
      <c r="B4583" s="125" t="s">
        <v>536</v>
      </c>
      <c r="C4583" s="125" t="s">
        <v>453</v>
      </c>
      <c r="D4583" s="125" t="s">
        <v>454</v>
      </c>
      <c r="E4583" s="125" t="s">
        <v>472</v>
      </c>
      <c r="F4583" s="126">
        <v>42805.0</v>
      </c>
      <c r="G4583" s="127">
        <v>4.12E8</v>
      </c>
      <c r="H4583" s="126">
        <v>42843.0</v>
      </c>
      <c r="I4583" s="128">
        <v>1942.0</v>
      </c>
      <c r="J4583" s="128">
        <v>255.28</v>
      </c>
      <c r="K4583" s="128">
        <v>159.42</v>
      </c>
      <c r="L4583" s="128">
        <v>495753.8</v>
      </c>
      <c r="M4583" s="128">
        <v>309593.6</v>
      </c>
      <c r="N4583" s="128">
        <v>186160.1</v>
      </c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</row>
    <row r="4584">
      <c r="A4584" s="125" t="s">
        <v>451</v>
      </c>
      <c r="B4584" s="125" t="s">
        <v>620</v>
      </c>
      <c r="C4584" s="125" t="s">
        <v>506</v>
      </c>
      <c r="D4584" s="125" t="s">
        <v>454</v>
      </c>
      <c r="E4584" s="125" t="s">
        <v>284</v>
      </c>
      <c r="F4584" s="126">
        <v>40678.0</v>
      </c>
      <c r="G4584" s="127">
        <v>8.67E8</v>
      </c>
      <c r="H4584" s="126">
        <v>40685.0</v>
      </c>
      <c r="I4584" s="128">
        <v>7944.0</v>
      </c>
      <c r="J4584" s="128">
        <v>154.06</v>
      </c>
      <c r="K4584" s="128">
        <v>90.93</v>
      </c>
      <c r="L4584" s="128">
        <v>1223853.0</v>
      </c>
      <c r="M4584" s="128">
        <v>722347.9</v>
      </c>
      <c r="N4584" s="128">
        <v>501504.7</v>
      </c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</row>
    <row r="4585">
      <c r="A4585" s="125" t="s">
        <v>469</v>
      </c>
      <c r="B4585" s="125" t="s">
        <v>630</v>
      </c>
      <c r="C4585" s="125" t="s">
        <v>478</v>
      </c>
      <c r="D4585" s="125" t="s">
        <v>454</v>
      </c>
      <c r="E4585" s="125" t="s">
        <v>472</v>
      </c>
      <c r="F4585" s="126">
        <v>41296.0</v>
      </c>
      <c r="G4585" s="127">
        <v>6.81E8</v>
      </c>
      <c r="H4585" s="126">
        <v>41340.0</v>
      </c>
      <c r="I4585" s="128">
        <v>7769.0</v>
      </c>
      <c r="J4585" s="128">
        <v>651.21</v>
      </c>
      <c r="K4585" s="128">
        <v>524.96</v>
      </c>
      <c r="L4585" s="128">
        <v>5059250.0</v>
      </c>
      <c r="M4585" s="128">
        <v>4078414.0</v>
      </c>
      <c r="N4585" s="128">
        <v>980836.3</v>
      </c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</row>
    <row r="4586">
      <c r="A4586" s="125" t="s">
        <v>469</v>
      </c>
      <c r="B4586" s="125" t="s">
        <v>495</v>
      </c>
      <c r="C4586" s="125" t="s">
        <v>453</v>
      </c>
      <c r="D4586" s="125" t="s">
        <v>457</v>
      </c>
      <c r="E4586" s="125" t="s">
        <v>284</v>
      </c>
      <c r="F4586" s="126">
        <v>40440.0</v>
      </c>
      <c r="G4586" s="127">
        <v>8.22E8</v>
      </c>
      <c r="H4586" s="126">
        <v>40450.0</v>
      </c>
      <c r="I4586" s="128">
        <v>8142.0</v>
      </c>
      <c r="J4586" s="128">
        <v>255.28</v>
      </c>
      <c r="K4586" s="128">
        <v>159.42</v>
      </c>
      <c r="L4586" s="128">
        <v>2078490.0</v>
      </c>
      <c r="M4586" s="128">
        <v>1297998.0</v>
      </c>
      <c r="N4586" s="128">
        <v>780492.1</v>
      </c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</row>
    <row r="4587">
      <c r="A4587" s="125" t="s">
        <v>466</v>
      </c>
      <c r="B4587" s="125" t="s">
        <v>580</v>
      </c>
      <c r="C4587" s="125" t="s">
        <v>453</v>
      </c>
      <c r="D4587" s="125" t="s">
        <v>457</v>
      </c>
      <c r="E4587" s="125" t="s">
        <v>464</v>
      </c>
      <c r="F4587" s="126">
        <v>41197.0</v>
      </c>
      <c r="G4587" s="127">
        <v>5.29E8</v>
      </c>
      <c r="H4587" s="126">
        <v>41207.0</v>
      </c>
      <c r="I4587" s="128">
        <v>2818.0</v>
      </c>
      <c r="J4587" s="128">
        <v>255.28</v>
      </c>
      <c r="K4587" s="128">
        <v>159.42</v>
      </c>
      <c r="L4587" s="128">
        <v>719379.0</v>
      </c>
      <c r="M4587" s="128">
        <v>449245.6</v>
      </c>
      <c r="N4587" s="128">
        <v>270133.5</v>
      </c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</row>
    <row r="4588">
      <c r="A4588" s="125" t="s">
        <v>469</v>
      </c>
      <c r="B4588" s="125" t="s">
        <v>632</v>
      </c>
      <c r="C4588" s="125" t="s">
        <v>480</v>
      </c>
      <c r="D4588" s="125" t="s">
        <v>457</v>
      </c>
      <c r="E4588" s="125" t="s">
        <v>284</v>
      </c>
      <c r="F4588" s="126">
        <v>41510.0</v>
      </c>
      <c r="G4588" s="127">
        <v>4.58E8</v>
      </c>
      <c r="H4588" s="126">
        <v>41518.0</v>
      </c>
      <c r="I4588" s="128">
        <v>7582.0</v>
      </c>
      <c r="J4588" s="128">
        <v>437.2</v>
      </c>
      <c r="K4588" s="128">
        <v>263.33</v>
      </c>
      <c r="L4588" s="128">
        <v>3314850.0</v>
      </c>
      <c r="M4588" s="128">
        <v>1996568.0</v>
      </c>
      <c r="N4588" s="128">
        <v>1318282.0</v>
      </c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</row>
    <row r="4589">
      <c r="A4589" s="125" t="s">
        <v>469</v>
      </c>
      <c r="B4589" s="125" t="s">
        <v>569</v>
      </c>
      <c r="C4589" s="125" t="s">
        <v>494</v>
      </c>
      <c r="D4589" s="125" t="s">
        <v>454</v>
      </c>
      <c r="E4589" s="125" t="s">
        <v>189</v>
      </c>
      <c r="F4589" s="126">
        <v>41093.0</v>
      </c>
      <c r="G4589" s="127">
        <v>4.38E8</v>
      </c>
      <c r="H4589" s="126">
        <v>41100.0</v>
      </c>
      <c r="I4589" s="128">
        <v>5253.0</v>
      </c>
      <c r="J4589" s="128">
        <v>9.33</v>
      </c>
      <c r="K4589" s="128">
        <v>6.92</v>
      </c>
      <c r="L4589" s="128">
        <v>49010.49</v>
      </c>
      <c r="M4589" s="128">
        <v>36350.76</v>
      </c>
      <c r="N4589" s="128">
        <v>12659.73</v>
      </c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</row>
    <row r="4590">
      <c r="A4590" s="125" t="s">
        <v>469</v>
      </c>
      <c r="B4590" s="125" t="s">
        <v>569</v>
      </c>
      <c r="C4590" s="125" t="s">
        <v>514</v>
      </c>
      <c r="D4590" s="125" t="s">
        <v>457</v>
      </c>
      <c r="E4590" s="125" t="s">
        <v>284</v>
      </c>
      <c r="F4590" s="126">
        <v>42817.0</v>
      </c>
      <c r="G4590" s="127">
        <v>8.18E8</v>
      </c>
      <c r="H4590" s="126">
        <v>42843.0</v>
      </c>
      <c r="I4590" s="128">
        <v>678.0</v>
      </c>
      <c r="J4590" s="128">
        <v>668.27</v>
      </c>
      <c r="K4590" s="128">
        <v>502.54</v>
      </c>
      <c r="L4590" s="128">
        <v>453087.1</v>
      </c>
      <c r="M4590" s="128">
        <v>340722.1</v>
      </c>
      <c r="N4590" s="128">
        <v>112364.9</v>
      </c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</row>
    <row r="4591">
      <c r="A4591" s="125" t="s">
        <v>469</v>
      </c>
      <c r="B4591" s="125" t="s">
        <v>569</v>
      </c>
      <c r="C4591" s="125" t="s">
        <v>463</v>
      </c>
      <c r="D4591" s="125" t="s">
        <v>457</v>
      </c>
      <c r="E4591" s="125" t="s">
        <v>284</v>
      </c>
      <c r="F4591" s="126">
        <v>40259.0</v>
      </c>
      <c r="G4591" s="127">
        <v>2.15E8</v>
      </c>
      <c r="H4591" s="126">
        <v>40276.0</v>
      </c>
      <c r="I4591" s="128">
        <v>5738.0</v>
      </c>
      <c r="J4591" s="128">
        <v>205.7</v>
      </c>
      <c r="K4591" s="128">
        <v>117.11</v>
      </c>
      <c r="L4591" s="128">
        <v>1180307.0</v>
      </c>
      <c r="M4591" s="128">
        <v>671977.2</v>
      </c>
      <c r="N4591" s="128">
        <v>508329.4</v>
      </c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</row>
    <row r="4592">
      <c r="A4592" s="125" t="s">
        <v>469</v>
      </c>
      <c r="B4592" s="125" t="s">
        <v>589</v>
      </c>
      <c r="C4592" s="125" t="s">
        <v>471</v>
      </c>
      <c r="D4592" s="125" t="s">
        <v>457</v>
      </c>
      <c r="E4592" s="125" t="s">
        <v>464</v>
      </c>
      <c r="F4592" s="126">
        <v>41218.0</v>
      </c>
      <c r="G4592" s="127">
        <v>4.7E8</v>
      </c>
      <c r="H4592" s="126">
        <v>41219.0</v>
      </c>
      <c r="I4592" s="128">
        <v>4343.0</v>
      </c>
      <c r="J4592" s="128">
        <v>109.28</v>
      </c>
      <c r="K4592" s="128">
        <v>35.84</v>
      </c>
      <c r="L4592" s="128">
        <v>474603.0</v>
      </c>
      <c r="M4592" s="128">
        <v>155653.1</v>
      </c>
      <c r="N4592" s="128">
        <v>318949.9</v>
      </c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</row>
    <row r="4593">
      <c r="A4593" s="125" t="s">
        <v>461</v>
      </c>
      <c r="B4593" s="125" t="s">
        <v>581</v>
      </c>
      <c r="C4593" s="125" t="s">
        <v>480</v>
      </c>
      <c r="D4593" s="125" t="s">
        <v>454</v>
      </c>
      <c r="E4593" s="125" t="s">
        <v>189</v>
      </c>
      <c r="F4593" s="126">
        <v>41430.0</v>
      </c>
      <c r="G4593" s="127">
        <v>7.92E8</v>
      </c>
      <c r="H4593" s="126">
        <v>41465.0</v>
      </c>
      <c r="I4593" s="128">
        <v>7436.0</v>
      </c>
      <c r="J4593" s="128">
        <v>437.2</v>
      </c>
      <c r="K4593" s="128">
        <v>263.33</v>
      </c>
      <c r="L4593" s="128">
        <v>3251019.0</v>
      </c>
      <c r="M4593" s="128">
        <v>1958122.0</v>
      </c>
      <c r="N4593" s="128">
        <v>1292897.0</v>
      </c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</row>
    <row r="4594">
      <c r="A4594" s="125" t="s">
        <v>475</v>
      </c>
      <c r="B4594" s="125" t="s">
        <v>513</v>
      </c>
      <c r="C4594" s="125" t="s">
        <v>468</v>
      </c>
      <c r="D4594" s="125" t="s">
        <v>454</v>
      </c>
      <c r="E4594" s="125" t="s">
        <v>472</v>
      </c>
      <c r="F4594" s="126">
        <v>42557.0</v>
      </c>
      <c r="G4594" s="127">
        <v>9.11E8</v>
      </c>
      <c r="H4594" s="126">
        <v>42594.0</v>
      </c>
      <c r="I4594" s="128">
        <v>7991.0</v>
      </c>
      <c r="J4594" s="128">
        <v>81.73</v>
      </c>
      <c r="K4594" s="128">
        <v>56.67</v>
      </c>
      <c r="L4594" s="128">
        <v>653104.4</v>
      </c>
      <c r="M4594" s="128">
        <v>452850.0</v>
      </c>
      <c r="N4594" s="128">
        <v>200254.5</v>
      </c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</row>
    <row r="4595">
      <c r="A4595" s="125" t="s">
        <v>451</v>
      </c>
      <c r="B4595" s="125" t="s">
        <v>620</v>
      </c>
      <c r="C4595" s="125" t="s">
        <v>494</v>
      </c>
      <c r="D4595" s="125" t="s">
        <v>457</v>
      </c>
      <c r="E4595" s="125" t="s">
        <v>284</v>
      </c>
      <c r="F4595" s="126">
        <v>42499.0</v>
      </c>
      <c r="G4595" s="127">
        <v>6.25E8</v>
      </c>
      <c r="H4595" s="126">
        <v>42515.0</v>
      </c>
      <c r="I4595" s="128">
        <v>6013.0</v>
      </c>
      <c r="J4595" s="128">
        <v>9.33</v>
      </c>
      <c r="K4595" s="128">
        <v>6.92</v>
      </c>
      <c r="L4595" s="128">
        <v>56101.29</v>
      </c>
      <c r="M4595" s="128">
        <v>41609.96</v>
      </c>
      <c r="N4595" s="128">
        <v>14491.33</v>
      </c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</row>
    <row r="4596">
      <c r="A4596" s="125" t="s">
        <v>469</v>
      </c>
      <c r="B4596" s="125" t="s">
        <v>630</v>
      </c>
      <c r="C4596" s="125" t="s">
        <v>480</v>
      </c>
      <c r="D4596" s="125" t="s">
        <v>454</v>
      </c>
      <c r="E4596" s="125" t="s">
        <v>464</v>
      </c>
      <c r="F4596" s="126">
        <v>42309.0</v>
      </c>
      <c r="G4596" s="127">
        <v>2.57E8</v>
      </c>
      <c r="H4596" s="126">
        <v>42354.0</v>
      </c>
      <c r="I4596" s="128">
        <v>3537.0</v>
      </c>
      <c r="J4596" s="128">
        <v>437.2</v>
      </c>
      <c r="K4596" s="128">
        <v>263.33</v>
      </c>
      <c r="L4596" s="128">
        <v>1546376.0</v>
      </c>
      <c r="M4596" s="128">
        <v>931398.2</v>
      </c>
      <c r="N4596" s="128">
        <v>614978.2</v>
      </c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</row>
    <row r="4597">
      <c r="A4597" s="125" t="s">
        <v>475</v>
      </c>
      <c r="B4597" s="125" t="s">
        <v>575</v>
      </c>
      <c r="C4597" s="125" t="s">
        <v>485</v>
      </c>
      <c r="D4597" s="125" t="s">
        <v>454</v>
      </c>
      <c r="E4597" s="125" t="s">
        <v>472</v>
      </c>
      <c r="F4597" s="126">
        <v>42050.0</v>
      </c>
      <c r="G4597" s="127">
        <v>1.97E8</v>
      </c>
      <c r="H4597" s="126">
        <v>42083.0</v>
      </c>
      <c r="I4597" s="128">
        <v>9632.0</v>
      </c>
      <c r="J4597" s="128">
        <v>421.89</v>
      </c>
      <c r="K4597" s="128">
        <v>364.69</v>
      </c>
      <c r="L4597" s="128">
        <v>4063644.0</v>
      </c>
      <c r="M4597" s="128">
        <v>3512694.0</v>
      </c>
      <c r="N4597" s="128">
        <v>550950.4</v>
      </c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</row>
    <row r="4598">
      <c r="A4598" s="125" t="s">
        <v>475</v>
      </c>
      <c r="B4598" s="125" t="s">
        <v>571</v>
      </c>
      <c r="C4598" s="125" t="s">
        <v>463</v>
      </c>
      <c r="D4598" s="125" t="s">
        <v>454</v>
      </c>
      <c r="E4598" s="125" t="s">
        <v>189</v>
      </c>
      <c r="F4598" s="126">
        <v>42169.0</v>
      </c>
      <c r="G4598" s="127">
        <v>4.55E8</v>
      </c>
      <c r="H4598" s="126">
        <v>42170.0</v>
      </c>
      <c r="I4598" s="128">
        <v>5395.0</v>
      </c>
      <c r="J4598" s="128">
        <v>205.7</v>
      </c>
      <c r="K4598" s="128">
        <v>117.11</v>
      </c>
      <c r="L4598" s="128">
        <v>1109752.0</v>
      </c>
      <c r="M4598" s="128">
        <v>631808.5</v>
      </c>
      <c r="N4598" s="128">
        <v>477943.1</v>
      </c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</row>
    <row r="4599">
      <c r="A4599" s="125" t="s">
        <v>458</v>
      </c>
      <c r="B4599" s="125" t="s">
        <v>613</v>
      </c>
      <c r="C4599" s="125" t="s">
        <v>460</v>
      </c>
      <c r="D4599" s="125" t="s">
        <v>457</v>
      </c>
      <c r="E4599" s="125" t="s">
        <v>464</v>
      </c>
      <c r="F4599" s="126">
        <v>42124.0</v>
      </c>
      <c r="G4599" s="127">
        <v>2.12E8</v>
      </c>
      <c r="H4599" s="126">
        <v>42139.0</v>
      </c>
      <c r="I4599" s="128">
        <v>8957.0</v>
      </c>
      <c r="J4599" s="128">
        <v>47.45</v>
      </c>
      <c r="K4599" s="128">
        <v>31.79</v>
      </c>
      <c r="L4599" s="128">
        <v>425009.7</v>
      </c>
      <c r="M4599" s="128">
        <v>284743.0</v>
      </c>
      <c r="N4599" s="128">
        <v>140266.6</v>
      </c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</row>
    <row r="4600">
      <c r="A4600" s="125" t="s">
        <v>458</v>
      </c>
      <c r="B4600" s="125" t="s">
        <v>560</v>
      </c>
      <c r="C4600" s="125" t="s">
        <v>514</v>
      </c>
      <c r="D4600" s="125" t="s">
        <v>454</v>
      </c>
      <c r="E4600" s="125" t="s">
        <v>464</v>
      </c>
      <c r="F4600" s="126">
        <v>41759.0</v>
      </c>
      <c r="G4600" s="127">
        <v>9.72E8</v>
      </c>
      <c r="H4600" s="126">
        <v>41806.0</v>
      </c>
      <c r="I4600" s="128">
        <v>478.0</v>
      </c>
      <c r="J4600" s="128">
        <v>668.27</v>
      </c>
      <c r="K4600" s="128">
        <v>502.54</v>
      </c>
      <c r="L4600" s="128">
        <v>319433.1</v>
      </c>
      <c r="M4600" s="128">
        <v>240214.1</v>
      </c>
      <c r="N4600" s="128">
        <v>79218.94</v>
      </c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</row>
    <row r="4601">
      <c r="A4601" s="125" t="s">
        <v>458</v>
      </c>
      <c r="B4601" s="125" t="s">
        <v>616</v>
      </c>
      <c r="C4601" s="125" t="s">
        <v>494</v>
      </c>
      <c r="D4601" s="125" t="s">
        <v>457</v>
      </c>
      <c r="E4601" s="125" t="s">
        <v>464</v>
      </c>
      <c r="F4601" s="126">
        <v>42691.0</v>
      </c>
      <c r="G4601" s="127">
        <v>7.04E8</v>
      </c>
      <c r="H4601" s="126">
        <v>42700.0</v>
      </c>
      <c r="I4601" s="128">
        <v>7152.0</v>
      </c>
      <c r="J4601" s="128">
        <v>9.33</v>
      </c>
      <c r="K4601" s="128">
        <v>6.92</v>
      </c>
      <c r="L4601" s="128">
        <v>66728.16</v>
      </c>
      <c r="M4601" s="128">
        <v>49491.84</v>
      </c>
      <c r="N4601" s="128">
        <v>17236.32</v>
      </c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</row>
    <row r="4602">
      <c r="A4602" s="125" t="s">
        <v>451</v>
      </c>
      <c r="B4602" s="125" t="s">
        <v>593</v>
      </c>
      <c r="C4602" s="125" t="s">
        <v>480</v>
      </c>
      <c r="D4602" s="125" t="s">
        <v>454</v>
      </c>
      <c r="E4602" s="125" t="s">
        <v>284</v>
      </c>
      <c r="F4602" s="126">
        <v>41393.0</v>
      </c>
      <c r="G4602" s="127">
        <v>6.03E8</v>
      </c>
      <c r="H4602" s="126">
        <v>41422.0</v>
      </c>
      <c r="I4602" s="128">
        <v>8202.0</v>
      </c>
      <c r="J4602" s="128">
        <v>437.2</v>
      </c>
      <c r="K4602" s="128">
        <v>263.33</v>
      </c>
      <c r="L4602" s="128">
        <v>3585914.0</v>
      </c>
      <c r="M4602" s="128">
        <v>2159833.0</v>
      </c>
      <c r="N4602" s="128">
        <v>1426082.0</v>
      </c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</row>
    <row r="4603">
      <c r="A4603" s="125" t="s">
        <v>475</v>
      </c>
      <c r="B4603" s="125" t="s">
        <v>579</v>
      </c>
      <c r="C4603" s="125" t="s">
        <v>480</v>
      </c>
      <c r="D4603" s="125" t="s">
        <v>454</v>
      </c>
      <c r="E4603" s="125" t="s">
        <v>472</v>
      </c>
      <c r="F4603" s="126">
        <v>41642.0</v>
      </c>
      <c r="G4603" s="127">
        <v>1.29E8</v>
      </c>
      <c r="H4603" s="126">
        <v>41663.0</v>
      </c>
      <c r="I4603" s="128">
        <v>9882.0</v>
      </c>
      <c r="J4603" s="128">
        <v>437.2</v>
      </c>
      <c r="K4603" s="128">
        <v>263.33</v>
      </c>
      <c r="L4603" s="128">
        <v>4320410.0</v>
      </c>
      <c r="M4603" s="128">
        <v>2602227.0</v>
      </c>
      <c r="N4603" s="128">
        <v>1718183.0</v>
      </c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</row>
    <row r="4604">
      <c r="A4604" s="125" t="s">
        <v>475</v>
      </c>
      <c r="B4604" s="125" t="s">
        <v>635</v>
      </c>
      <c r="C4604" s="125" t="s">
        <v>485</v>
      </c>
      <c r="D4604" s="125" t="s">
        <v>454</v>
      </c>
      <c r="E4604" s="125" t="s">
        <v>472</v>
      </c>
      <c r="F4604" s="126">
        <v>42075.0</v>
      </c>
      <c r="G4604" s="127">
        <v>1.67E8</v>
      </c>
      <c r="H4604" s="126">
        <v>42088.0</v>
      </c>
      <c r="I4604" s="128">
        <v>479.0</v>
      </c>
      <c r="J4604" s="128">
        <v>421.89</v>
      </c>
      <c r="K4604" s="128">
        <v>364.69</v>
      </c>
      <c r="L4604" s="128">
        <v>202085.3</v>
      </c>
      <c r="M4604" s="128">
        <v>174686.5</v>
      </c>
      <c r="N4604" s="128">
        <v>27398.8</v>
      </c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</row>
    <row r="4605">
      <c r="A4605" s="125" t="s">
        <v>458</v>
      </c>
      <c r="B4605" s="125" t="s">
        <v>487</v>
      </c>
      <c r="C4605" s="125" t="s">
        <v>456</v>
      </c>
      <c r="D4605" s="125" t="s">
        <v>454</v>
      </c>
      <c r="E4605" s="125" t="s">
        <v>284</v>
      </c>
      <c r="F4605" s="126">
        <v>40329.0</v>
      </c>
      <c r="G4605" s="127">
        <v>7.68E8</v>
      </c>
      <c r="H4605" s="126">
        <v>40351.0</v>
      </c>
      <c r="I4605" s="128">
        <v>5310.0</v>
      </c>
      <c r="J4605" s="128">
        <v>152.58</v>
      </c>
      <c r="K4605" s="128">
        <v>97.44</v>
      </c>
      <c r="L4605" s="128">
        <v>810199.8</v>
      </c>
      <c r="M4605" s="128">
        <v>517406.4</v>
      </c>
      <c r="N4605" s="128">
        <v>292793.4</v>
      </c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</row>
    <row r="4606">
      <c r="A4606" s="125" t="s">
        <v>458</v>
      </c>
      <c r="B4606" s="125" t="s">
        <v>505</v>
      </c>
      <c r="C4606" s="125" t="s">
        <v>494</v>
      </c>
      <c r="D4606" s="125" t="s">
        <v>457</v>
      </c>
      <c r="E4606" s="125" t="s">
        <v>189</v>
      </c>
      <c r="F4606" s="126">
        <v>42735.0</v>
      </c>
      <c r="G4606" s="127">
        <v>7.08E8</v>
      </c>
      <c r="H4606" s="126">
        <v>42761.0</v>
      </c>
      <c r="I4606" s="128">
        <v>1723.0</v>
      </c>
      <c r="J4606" s="128">
        <v>9.33</v>
      </c>
      <c r="K4606" s="128">
        <v>6.92</v>
      </c>
      <c r="L4606" s="128">
        <v>16075.59</v>
      </c>
      <c r="M4606" s="128">
        <v>11923.16</v>
      </c>
      <c r="N4606" s="128">
        <v>4152.43</v>
      </c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</row>
    <row r="4607">
      <c r="A4607" s="125" t="s">
        <v>458</v>
      </c>
      <c r="B4607" s="125" t="s">
        <v>583</v>
      </c>
      <c r="C4607" s="125" t="s">
        <v>494</v>
      </c>
      <c r="D4607" s="125" t="s">
        <v>457</v>
      </c>
      <c r="E4607" s="125" t="s">
        <v>189</v>
      </c>
      <c r="F4607" s="126">
        <v>40794.0</v>
      </c>
      <c r="G4607" s="127">
        <v>6.29E8</v>
      </c>
      <c r="H4607" s="126">
        <v>40837.0</v>
      </c>
      <c r="I4607" s="128">
        <v>4100.0</v>
      </c>
      <c r="J4607" s="128">
        <v>9.33</v>
      </c>
      <c r="K4607" s="128">
        <v>6.92</v>
      </c>
      <c r="L4607" s="128">
        <v>38253.0</v>
      </c>
      <c r="M4607" s="128">
        <v>28372.0</v>
      </c>
      <c r="N4607" s="128">
        <v>9881.0</v>
      </c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</row>
    <row r="4608">
      <c r="A4608" s="125" t="s">
        <v>458</v>
      </c>
      <c r="B4608" s="125" t="s">
        <v>614</v>
      </c>
      <c r="C4608" s="125" t="s">
        <v>460</v>
      </c>
      <c r="D4608" s="125" t="s">
        <v>457</v>
      </c>
      <c r="E4608" s="125" t="s">
        <v>472</v>
      </c>
      <c r="F4608" s="126">
        <v>40229.0</v>
      </c>
      <c r="G4608" s="127">
        <v>7.95E8</v>
      </c>
      <c r="H4608" s="126">
        <v>40233.0</v>
      </c>
      <c r="I4608" s="128">
        <v>8850.0</v>
      </c>
      <c r="J4608" s="128">
        <v>47.45</v>
      </c>
      <c r="K4608" s="128">
        <v>31.79</v>
      </c>
      <c r="L4608" s="128">
        <v>419932.5</v>
      </c>
      <c r="M4608" s="128">
        <v>281341.5</v>
      </c>
      <c r="N4608" s="128">
        <v>138591.0</v>
      </c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</row>
    <row r="4609">
      <c r="A4609" s="125" t="s">
        <v>469</v>
      </c>
      <c r="B4609" s="125" t="s">
        <v>520</v>
      </c>
      <c r="C4609" s="125" t="s">
        <v>506</v>
      </c>
      <c r="D4609" s="125" t="s">
        <v>457</v>
      </c>
      <c r="E4609" s="125" t="s">
        <v>284</v>
      </c>
      <c r="F4609" s="126">
        <v>40238.0</v>
      </c>
      <c r="G4609" s="127">
        <v>6.42E8</v>
      </c>
      <c r="H4609" s="126">
        <v>40267.0</v>
      </c>
      <c r="I4609" s="128">
        <v>9417.0</v>
      </c>
      <c r="J4609" s="128">
        <v>154.06</v>
      </c>
      <c r="K4609" s="128">
        <v>90.93</v>
      </c>
      <c r="L4609" s="128">
        <v>1450783.0</v>
      </c>
      <c r="M4609" s="128">
        <v>856287.8</v>
      </c>
      <c r="N4609" s="128">
        <v>594495.2</v>
      </c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</row>
    <row r="4610">
      <c r="A4610" s="125" t="s">
        <v>475</v>
      </c>
      <c r="B4610" s="125" t="s">
        <v>507</v>
      </c>
      <c r="C4610" s="125" t="s">
        <v>485</v>
      </c>
      <c r="D4610" s="125" t="s">
        <v>457</v>
      </c>
      <c r="E4610" s="125" t="s">
        <v>472</v>
      </c>
      <c r="F4610" s="126">
        <v>40404.0</v>
      </c>
      <c r="G4610" s="127">
        <v>1.23E8</v>
      </c>
      <c r="H4610" s="126">
        <v>40454.0</v>
      </c>
      <c r="I4610" s="128">
        <v>1273.0</v>
      </c>
      <c r="J4610" s="128">
        <v>421.89</v>
      </c>
      <c r="K4610" s="128">
        <v>364.69</v>
      </c>
      <c r="L4610" s="128">
        <v>537066.0</v>
      </c>
      <c r="M4610" s="128">
        <v>464250.4</v>
      </c>
      <c r="N4610" s="128">
        <v>72815.6</v>
      </c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</row>
    <row r="4611">
      <c r="A4611" s="125" t="s">
        <v>458</v>
      </c>
      <c r="B4611" s="125" t="s">
        <v>517</v>
      </c>
      <c r="C4611" s="125" t="s">
        <v>485</v>
      </c>
      <c r="D4611" s="125" t="s">
        <v>457</v>
      </c>
      <c r="E4611" s="125" t="s">
        <v>189</v>
      </c>
      <c r="F4611" s="126">
        <v>42085.0</v>
      </c>
      <c r="G4611" s="127">
        <v>1.64E8</v>
      </c>
      <c r="H4611" s="126">
        <v>42123.0</v>
      </c>
      <c r="I4611" s="128">
        <v>6924.0</v>
      </c>
      <c r="J4611" s="128">
        <v>421.89</v>
      </c>
      <c r="K4611" s="128">
        <v>364.69</v>
      </c>
      <c r="L4611" s="128">
        <v>2921166.0</v>
      </c>
      <c r="M4611" s="128">
        <v>2525114.0</v>
      </c>
      <c r="N4611" s="128">
        <v>396052.8</v>
      </c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</row>
    <row r="4612">
      <c r="A4612" s="125" t="s">
        <v>451</v>
      </c>
      <c r="B4612" s="125" t="s">
        <v>593</v>
      </c>
      <c r="C4612" s="125" t="s">
        <v>453</v>
      </c>
      <c r="D4612" s="125" t="s">
        <v>454</v>
      </c>
      <c r="E4612" s="125" t="s">
        <v>472</v>
      </c>
      <c r="F4612" s="126">
        <v>41497.0</v>
      </c>
      <c r="G4612" s="127">
        <v>4.11E8</v>
      </c>
      <c r="H4612" s="126">
        <v>41523.0</v>
      </c>
      <c r="I4612" s="128">
        <v>906.0</v>
      </c>
      <c r="J4612" s="128">
        <v>255.28</v>
      </c>
      <c r="K4612" s="128">
        <v>159.42</v>
      </c>
      <c r="L4612" s="128">
        <v>231283.7</v>
      </c>
      <c r="M4612" s="128">
        <v>144434.5</v>
      </c>
      <c r="N4612" s="128">
        <v>86849.16</v>
      </c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</row>
    <row r="4613">
      <c r="A4613" s="125" t="s">
        <v>475</v>
      </c>
      <c r="B4613" s="125" t="s">
        <v>624</v>
      </c>
      <c r="C4613" s="125" t="s">
        <v>453</v>
      </c>
      <c r="D4613" s="125" t="s">
        <v>454</v>
      </c>
      <c r="E4613" s="125" t="s">
        <v>464</v>
      </c>
      <c r="F4613" s="126">
        <v>42156.0</v>
      </c>
      <c r="G4613" s="127">
        <v>5.78E8</v>
      </c>
      <c r="H4613" s="126">
        <v>42194.0</v>
      </c>
      <c r="I4613" s="128">
        <v>4786.0</v>
      </c>
      <c r="J4613" s="128">
        <v>255.28</v>
      </c>
      <c r="K4613" s="128">
        <v>159.42</v>
      </c>
      <c r="L4613" s="128">
        <v>1221770.0</v>
      </c>
      <c r="M4613" s="128">
        <v>762984.1</v>
      </c>
      <c r="N4613" s="128">
        <v>458786.0</v>
      </c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</row>
    <row r="4614">
      <c r="A4614" s="125" t="s">
        <v>475</v>
      </c>
      <c r="B4614" s="125" t="s">
        <v>591</v>
      </c>
      <c r="C4614" s="125" t="s">
        <v>463</v>
      </c>
      <c r="D4614" s="125" t="s">
        <v>454</v>
      </c>
      <c r="E4614" s="125" t="s">
        <v>472</v>
      </c>
      <c r="F4614" s="126">
        <v>42439.0</v>
      </c>
      <c r="G4614" s="127">
        <v>9.02E8</v>
      </c>
      <c r="H4614" s="126">
        <v>42448.0</v>
      </c>
      <c r="I4614" s="128">
        <v>2163.0</v>
      </c>
      <c r="J4614" s="128">
        <v>205.7</v>
      </c>
      <c r="K4614" s="128">
        <v>117.11</v>
      </c>
      <c r="L4614" s="128">
        <v>444929.1</v>
      </c>
      <c r="M4614" s="128">
        <v>253308.9</v>
      </c>
      <c r="N4614" s="128">
        <v>191620.2</v>
      </c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</row>
    <row r="4615">
      <c r="A4615" s="125" t="s">
        <v>461</v>
      </c>
      <c r="B4615" s="125" t="s">
        <v>542</v>
      </c>
      <c r="C4615" s="125" t="s">
        <v>453</v>
      </c>
      <c r="D4615" s="125" t="s">
        <v>454</v>
      </c>
      <c r="E4615" s="125" t="s">
        <v>189</v>
      </c>
      <c r="F4615" s="126">
        <v>42491.0</v>
      </c>
      <c r="G4615" s="127">
        <v>7.89E8</v>
      </c>
      <c r="H4615" s="126">
        <v>42504.0</v>
      </c>
      <c r="I4615" s="128">
        <v>3667.0</v>
      </c>
      <c r="J4615" s="128">
        <v>255.28</v>
      </c>
      <c r="K4615" s="128">
        <v>159.42</v>
      </c>
      <c r="L4615" s="128">
        <v>936111.8</v>
      </c>
      <c r="M4615" s="128">
        <v>584593.1</v>
      </c>
      <c r="N4615" s="128">
        <v>351518.6</v>
      </c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</row>
    <row r="4616">
      <c r="A4616" s="125" t="s">
        <v>469</v>
      </c>
      <c r="B4616" s="125" t="s">
        <v>647</v>
      </c>
      <c r="C4616" s="125" t="s">
        <v>463</v>
      </c>
      <c r="D4616" s="125" t="s">
        <v>457</v>
      </c>
      <c r="E4616" s="125" t="s">
        <v>464</v>
      </c>
      <c r="F4616" s="126">
        <v>42851.0</v>
      </c>
      <c r="G4616" s="127">
        <v>1.66E8</v>
      </c>
      <c r="H4616" s="126">
        <v>42888.0</v>
      </c>
      <c r="I4616" s="128">
        <v>1959.0</v>
      </c>
      <c r="J4616" s="128">
        <v>205.7</v>
      </c>
      <c r="K4616" s="128">
        <v>117.11</v>
      </c>
      <c r="L4616" s="128">
        <v>402966.3</v>
      </c>
      <c r="M4616" s="128">
        <v>229418.5</v>
      </c>
      <c r="N4616" s="128">
        <v>173547.8</v>
      </c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</row>
    <row r="4617">
      <c r="A4617" s="125" t="s">
        <v>461</v>
      </c>
      <c r="B4617" s="125" t="s">
        <v>522</v>
      </c>
      <c r="C4617" s="125" t="s">
        <v>463</v>
      </c>
      <c r="D4617" s="125" t="s">
        <v>457</v>
      </c>
      <c r="E4617" s="125" t="s">
        <v>189</v>
      </c>
      <c r="F4617" s="126">
        <v>40293.0</v>
      </c>
      <c r="G4617" s="127">
        <v>8.3E8</v>
      </c>
      <c r="H4617" s="126">
        <v>40300.0</v>
      </c>
      <c r="I4617" s="128">
        <v>6730.0</v>
      </c>
      <c r="J4617" s="128">
        <v>205.7</v>
      </c>
      <c r="K4617" s="128">
        <v>117.11</v>
      </c>
      <c r="L4617" s="128">
        <v>1384361.0</v>
      </c>
      <c r="M4617" s="128">
        <v>788150.3</v>
      </c>
      <c r="N4617" s="128">
        <v>596210.7</v>
      </c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</row>
    <row r="4618">
      <c r="A4618" s="125" t="s">
        <v>466</v>
      </c>
      <c r="B4618" s="125" t="s">
        <v>580</v>
      </c>
      <c r="C4618" s="125" t="s">
        <v>494</v>
      </c>
      <c r="D4618" s="125" t="s">
        <v>457</v>
      </c>
      <c r="E4618" s="125" t="s">
        <v>189</v>
      </c>
      <c r="F4618" s="126">
        <v>40282.0</v>
      </c>
      <c r="G4618" s="127">
        <v>5.97E8</v>
      </c>
      <c r="H4618" s="126">
        <v>40293.0</v>
      </c>
      <c r="I4618" s="128">
        <v>9706.0</v>
      </c>
      <c r="J4618" s="128">
        <v>9.33</v>
      </c>
      <c r="K4618" s="128">
        <v>6.92</v>
      </c>
      <c r="L4618" s="128">
        <v>90556.98</v>
      </c>
      <c r="M4618" s="128">
        <v>67165.52</v>
      </c>
      <c r="N4618" s="128">
        <v>23391.46</v>
      </c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</row>
    <row r="4619">
      <c r="A4619" s="125" t="s">
        <v>461</v>
      </c>
      <c r="B4619" s="125" t="s">
        <v>618</v>
      </c>
      <c r="C4619" s="125" t="s">
        <v>453</v>
      </c>
      <c r="D4619" s="125" t="s">
        <v>454</v>
      </c>
      <c r="E4619" s="125" t="s">
        <v>472</v>
      </c>
      <c r="F4619" s="126">
        <v>41753.0</v>
      </c>
      <c r="G4619" s="127">
        <v>9.56E8</v>
      </c>
      <c r="H4619" s="126">
        <v>41780.0</v>
      </c>
      <c r="I4619" s="128">
        <v>9641.0</v>
      </c>
      <c r="J4619" s="128">
        <v>255.28</v>
      </c>
      <c r="K4619" s="128">
        <v>159.42</v>
      </c>
      <c r="L4619" s="128">
        <v>2461154.0</v>
      </c>
      <c r="M4619" s="128">
        <v>1536968.0</v>
      </c>
      <c r="N4619" s="128">
        <v>924186.3</v>
      </c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</row>
    <row r="4620">
      <c r="A4620" s="125" t="s">
        <v>475</v>
      </c>
      <c r="B4620" s="125" t="s">
        <v>649</v>
      </c>
      <c r="C4620" s="125" t="s">
        <v>478</v>
      </c>
      <c r="D4620" s="125" t="s">
        <v>454</v>
      </c>
      <c r="E4620" s="125" t="s">
        <v>284</v>
      </c>
      <c r="F4620" s="126">
        <v>41267.0</v>
      </c>
      <c r="G4620" s="127">
        <v>3.15E8</v>
      </c>
      <c r="H4620" s="126">
        <v>41313.0</v>
      </c>
      <c r="I4620" s="128">
        <v>7320.0</v>
      </c>
      <c r="J4620" s="128">
        <v>651.21</v>
      </c>
      <c r="K4620" s="128">
        <v>524.96</v>
      </c>
      <c r="L4620" s="128">
        <v>4766857.0</v>
      </c>
      <c r="M4620" s="128">
        <v>3842707.0</v>
      </c>
      <c r="N4620" s="128">
        <v>924150.0</v>
      </c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</row>
    <row r="4621">
      <c r="A4621" s="125" t="s">
        <v>458</v>
      </c>
      <c r="B4621" s="125" t="s">
        <v>563</v>
      </c>
      <c r="C4621" s="125" t="s">
        <v>456</v>
      </c>
      <c r="D4621" s="125" t="s">
        <v>454</v>
      </c>
      <c r="E4621" s="125" t="s">
        <v>472</v>
      </c>
      <c r="F4621" s="126">
        <v>42689.0</v>
      </c>
      <c r="G4621" s="127">
        <v>7.5E8</v>
      </c>
      <c r="H4621" s="126">
        <v>42733.0</v>
      </c>
      <c r="I4621" s="128">
        <v>562.0</v>
      </c>
      <c r="J4621" s="128">
        <v>152.58</v>
      </c>
      <c r="K4621" s="128">
        <v>97.44</v>
      </c>
      <c r="L4621" s="128">
        <v>85749.96</v>
      </c>
      <c r="M4621" s="128">
        <v>54761.28</v>
      </c>
      <c r="N4621" s="128">
        <v>30988.68</v>
      </c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</row>
    <row r="4622">
      <c r="A4622" s="125" t="s">
        <v>458</v>
      </c>
      <c r="B4622" s="125" t="s">
        <v>567</v>
      </c>
      <c r="C4622" s="125" t="s">
        <v>494</v>
      </c>
      <c r="D4622" s="125" t="s">
        <v>457</v>
      </c>
      <c r="E4622" s="125" t="s">
        <v>284</v>
      </c>
      <c r="F4622" s="126">
        <v>41972.0</v>
      </c>
      <c r="G4622" s="127">
        <v>3.62E8</v>
      </c>
      <c r="H4622" s="126">
        <v>41987.0</v>
      </c>
      <c r="I4622" s="128">
        <v>9214.0</v>
      </c>
      <c r="J4622" s="128">
        <v>9.33</v>
      </c>
      <c r="K4622" s="128">
        <v>6.92</v>
      </c>
      <c r="L4622" s="128">
        <v>85966.62</v>
      </c>
      <c r="M4622" s="128">
        <v>63760.88</v>
      </c>
      <c r="N4622" s="128">
        <v>22205.74</v>
      </c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</row>
    <row r="4623">
      <c r="A4623" s="125" t="s">
        <v>475</v>
      </c>
      <c r="B4623" s="125" t="s">
        <v>536</v>
      </c>
      <c r="C4623" s="125" t="s">
        <v>514</v>
      </c>
      <c r="D4623" s="125" t="s">
        <v>454</v>
      </c>
      <c r="E4623" s="125" t="s">
        <v>284</v>
      </c>
      <c r="F4623" s="126">
        <v>42377.0</v>
      </c>
      <c r="G4623" s="127">
        <v>9.19E8</v>
      </c>
      <c r="H4623" s="126">
        <v>42416.0</v>
      </c>
      <c r="I4623" s="128">
        <v>158.0</v>
      </c>
      <c r="J4623" s="128">
        <v>668.27</v>
      </c>
      <c r="K4623" s="128">
        <v>502.54</v>
      </c>
      <c r="L4623" s="128">
        <v>105586.7</v>
      </c>
      <c r="M4623" s="128">
        <v>79401.32</v>
      </c>
      <c r="N4623" s="128">
        <v>26185.34</v>
      </c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</row>
    <row r="4624">
      <c r="A4624" s="125" t="s">
        <v>458</v>
      </c>
      <c r="B4624" s="125" t="s">
        <v>633</v>
      </c>
      <c r="C4624" s="125" t="s">
        <v>463</v>
      </c>
      <c r="D4624" s="125" t="s">
        <v>454</v>
      </c>
      <c r="E4624" s="125" t="s">
        <v>472</v>
      </c>
      <c r="F4624" s="126">
        <v>42018.0</v>
      </c>
      <c r="G4624" s="127">
        <v>2.09E8</v>
      </c>
      <c r="H4624" s="126">
        <v>42026.0</v>
      </c>
      <c r="I4624" s="128">
        <v>2303.0</v>
      </c>
      <c r="J4624" s="128">
        <v>205.7</v>
      </c>
      <c r="K4624" s="128">
        <v>117.11</v>
      </c>
      <c r="L4624" s="128">
        <v>473727.1</v>
      </c>
      <c r="M4624" s="128">
        <v>269704.3</v>
      </c>
      <c r="N4624" s="128">
        <v>204022.8</v>
      </c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</row>
    <row r="4625">
      <c r="A4625" s="125" t="s">
        <v>461</v>
      </c>
      <c r="B4625" s="125" t="s">
        <v>581</v>
      </c>
      <c r="C4625" s="125" t="s">
        <v>478</v>
      </c>
      <c r="D4625" s="125" t="s">
        <v>454</v>
      </c>
      <c r="E4625" s="125" t="s">
        <v>464</v>
      </c>
      <c r="F4625" s="126">
        <v>40784.0</v>
      </c>
      <c r="G4625" s="127">
        <v>5.93E8</v>
      </c>
      <c r="H4625" s="126">
        <v>40790.0</v>
      </c>
      <c r="I4625" s="128">
        <v>1593.0</v>
      </c>
      <c r="J4625" s="128">
        <v>651.21</v>
      </c>
      <c r="K4625" s="128">
        <v>524.96</v>
      </c>
      <c r="L4625" s="128">
        <v>1037378.0</v>
      </c>
      <c r="M4625" s="128">
        <v>836261.3</v>
      </c>
      <c r="N4625" s="128">
        <v>201116.3</v>
      </c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</row>
    <row r="4626">
      <c r="A4626" s="125" t="s">
        <v>458</v>
      </c>
      <c r="B4626" s="125" t="s">
        <v>545</v>
      </c>
      <c r="C4626" s="125" t="s">
        <v>480</v>
      </c>
      <c r="D4626" s="125" t="s">
        <v>457</v>
      </c>
      <c r="E4626" s="125" t="s">
        <v>464</v>
      </c>
      <c r="F4626" s="126">
        <v>41718.0</v>
      </c>
      <c r="G4626" s="127">
        <v>4.5E8</v>
      </c>
      <c r="H4626" s="126">
        <v>41745.0</v>
      </c>
      <c r="I4626" s="128">
        <v>6000.0</v>
      </c>
      <c r="J4626" s="128">
        <v>437.2</v>
      </c>
      <c r="K4626" s="128">
        <v>263.33</v>
      </c>
      <c r="L4626" s="128">
        <v>2623200.0</v>
      </c>
      <c r="M4626" s="128">
        <v>1579980.0</v>
      </c>
      <c r="N4626" s="128">
        <v>1043220.0</v>
      </c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</row>
    <row r="4627">
      <c r="A4627" s="125" t="s">
        <v>451</v>
      </c>
      <c r="B4627" s="125" t="s">
        <v>497</v>
      </c>
      <c r="C4627" s="125" t="s">
        <v>478</v>
      </c>
      <c r="D4627" s="125" t="s">
        <v>457</v>
      </c>
      <c r="E4627" s="125" t="s">
        <v>464</v>
      </c>
      <c r="F4627" s="126">
        <v>41337.0</v>
      </c>
      <c r="G4627" s="127">
        <v>9.3E8</v>
      </c>
      <c r="H4627" s="126">
        <v>41340.0</v>
      </c>
      <c r="I4627" s="128">
        <v>531.0</v>
      </c>
      <c r="J4627" s="128">
        <v>651.21</v>
      </c>
      <c r="K4627" s="128">
        <v>524.96</v>
      </c>
      <c r="L4627" s="128">
        <v>345792.5</v>
      </c>
      <c r="M4627" s="128">
        <v>278753.8</v>
      </c>
      <c r="N4627" s="128">
        <v>67038.75</v>
      </c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</row>
    <row r="4628">
      <c r="A4628" s="125" t="s">
        <v>458</v>
      </c>
      <c r="B4628" s="125" t="s">
        <v>633</v>
      </c>
      <c r="C4628" s="125" t="s">
        <v>478</v>
      </c>
      <c r="D4628" s="125" t="s">
        <v>454</v>
      </c>
      <c r="E4628" s="125" t="s">
        <v>472</v>
      </c>
      <c r="F4628" s="126">
        <v>42078.0</v>
      </c>
      <c r="G4628" s="127">
        <v>1.03E8</v>
      </c>
      <c r="H4628" s="126">
        <v>42112.0</v>
      </c>
      <c r="I4628" s="128">
        <v>2220.0</v>
      </c>
      <c r="J4628" s="128">
        <v>651.21</v>
      </c>
      <c r="K4628" s="128">
        <v>524.96</v>
      </c>
      <c r="L4628" s="128">
        <v>1445686.0</v>
      </c>
      <c r="M4628" s="128">
        <v>1165411.0</v>
      </c>
      <c r="N4628" s="128">
        <v>280275.0</v>
      </c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</row>
    <row r="4629">
      <c r="A4629" s="125" t="s">
        <v>451</v>
      </c>
      <c r="B4629" s="125" t="s">
        <v>497</v>
      </c>
      <c r="C4629" s="125" t="s">
        <v>453</v>
      </c>
      <c r="D4629" s="125" t="s">
        <v>454</v>
      </c>
      <c r="E4629" s="125" t="s">
        <v>472</v>
      </c>
      <c r="F4629" s="126">
        <v>42619.0</v>
      </c>
      <c r="G4629" s="127">
        <v>6.11E8</v>
      </c>
      <c r="H4629" s="126">
        <v>42620.0</v>
      </c>
      <c r="I4629" s="128">
        <v>5136.0</v>
      </c>
      <c r="J4629" s="128">
        <v>255.28</v>
      </c>
      <c r="K4629" s="128">
        <v>159.42</v>
      </c>
      <c r="L4629" s="128">
        <v>1311118.0</v>
      </c>
      <c r="M4629" s="128">
        <v>818781.1</v>
      </c>
      <c r="N4629" s="128">
        <v>492337.0</v>
      </c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</row>
    <row r="4630">
      <c r="A4630" s="125" t="s">
        <v>461</v>
      </c>
      <c r="B4630" s="125" t="s">
        <v>581</v>
      </c>
      <c r="C4630" s="125" t="s">
        <v>478</v>
      </c>
      <c r="D4630" s="125" t="s">
        <v>454</v>
      </c>
      <c r="E4630" s="125" t="s">
        <v>284</v>
      </c>
      <c r="F4630" s="126">
        <v>42027.0</v>
      </c>
      <c r="G4630" s="127">
        <v>2.14E8</v>
      </c>
      <c r="H4630" s="126">
        <v>42032.0</v>
      </c>
      <c r="I4630" s="128">
        <v>5377.0</v>
      </c>
      <c r="J4630" s="128">
        <v>651.21</v>
      </c>
      <c r="K4630" s="128">
        <v>524.96</v>
      </c>
      <c r="L4630" s="128">
        <v>3501556.0</v>
      </c>
      <c r="M4630" s="128">
        <v>2822710.0</v>
      </c>
      <c r="N4630" s="128">
        <v>678846.3</v>
      </c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</row>
    <row r="4631">
      <c r="A4631" s="125" t="s">
        <v>475</v>
      </c>
      <c r="B4631" s="125" t="s">
        <v>513</v>
      </c>
      <c r="C4631" s="125" t="s">
        <v>494</v>
      </c>
      <c r="D4631" s="125" t="s">
        <v>457</v>
      </c>
      <c r="E4631" s="125" t="s">
        <v>189</v>
      </c>
      <c r="F4631" s="126">
        <v>41141.0</v>
      </c>
      <c r="G4631" s="127">
        <v>3.43E8</v>
      </c>
      <c r="H4631" s="126">
        <v>41173.0</v>
      </c>
      <c r="I4631" s="128">
        <v>6072.0</v>
      </c>
      <c r="J4631" s="128">
        <v>9.33</v>
      </c>
      <c r="K4631" s="128">
        <v>6.92</v>
      </c>
      <c r="L4631" s="128">
        <v>56651.76</v>
      </c>
      <c r="M4631" s="128">
        <v>42018.24</v>
      </c>
      <c r="N4631" s="128">
        <v>14633.52</v>
      </c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</row>
    <row r="4632">
      <c r="A4632" s="125" t="s">
        <v>466</v>
      </c>
      <c r="B4632" s="125" t="s">
        <v>607</v>
      </c>
      <c r="C4632" s="125" t="s">
        <v>468</v>
      </c>
      <c r="D4632" s="125" t="s">
        <v>457</v>
      </c>
      <c r="E4632" s="125" t="s">
        <v>472</v>
      </c>
      <c r="F4632" s="126">
        <v>41188.0</v>
      </c>
      <c r="G4632" s="127">
        <v>2.5E8</v>
      </c>
      <c r="H4632" s="126">
        <v>41218.0</v>
      </c>
      <c r="I4632" s="128">
        <v>2384.0</v>
      </c>
      <c r="J4632" s="128">
        <v>81.73</v>
      </c>
      <c r="K4632" s="128">
        <v>56.67</v>
      </c>
      <c r="L4632" s="128">
        <v>194844.3</v>
      </c>
      <c r="M4632" s="128">
        <v>135101.3</v>
      </c>
      <c r="N4632" s="128">
        <v>59743.04</v>
      </c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</row>
    <row r="4633">
      <c r="A4633" s="125" t="s">
        <v>466</v>
      </c>
      <c r="B4633" s="125" t="s">
        <v>491</v>
      </c>
      <c r="C4633" s="125" t="s">
        <v>460</v>
      </c>
      <c r="D4633" s="125" t="s">
        <v>457</v>
      </c>
      <c r="E4633" s="125" t="s">
        <v>284</v>
      </c>
      <c r="F4633" s="126">
        <v>42401.0</v>
      </c>
      <c r="G4633" s="127">
        <v>1.57E8</v>
      </c>
      <c r="H4633" s="126">
        <v>42440.0</v>
      </c>
      <c r="I4633" s="128">
        <v>6504.0</v>
      </c>
      <c r="J4633" s="128">
        <v>47.45</v>
      </c>
      <c r="K4633" s="128">
        <v>31.79</v>
      </c>
      <c r="L4633" s="128">
        <v>308614.8</v>
      </c>
      <c r="M4633" s="128">
        <v>206762.2</v>
      </c>
      <c r="N4633" s="128">
        <v>101852.6</v>
      </c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</row>
    <row r="4634">
      <c r="A4634" s="125" t="s">
        <v>475</v>
      </c>
      <c r="B4634" s="125" t="s">
        <v>602</v>
      </c>
      <c r="C4634" s="125" t="s">
        <v>463</v>
      </c>
      <c r="D4634" s="125" t="s">
        <v>454</v>
      </c>
      <c r="E4634" s="125" t="s">
        <v>189</v>
      </c>
      <c r="F4634" s="126">
        <v>42639.0</v>
      </c>
      <c r="G4634" s="127">
        <v>8.06E8</v>
      </c>
      <c r="H4634" s="126">
        <v>42647.0</v>
      </c>
      <c r="I4634" s="128">
        <v>2656.0</v>
      </c>
      <c r="J4634" s="128">
        <v>205.7</v>
      </c>
      <c r="K4634" s="128">
        <v>117.11</v>
      </c>
      <c r="L4634" s="128">
        <v>546339.2</v>
      </c>
      <c r="M4634" s="128">
        <v>311044.2</v>
      </c>
      <c r="N4634" s="128">
        <v>235295.0</v>
      </c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</row>
    <row r="4635">
      <c r="A4635" s="125" t="s">
        <v>469</v>
      </c>
      <c r="B4635" s="125" t="s">
        <v>650</v>
      </c>
      <c r="C4635" s="125" t="s">
        <v>485</v>
      </c>
      <c r="D4635" s="125" t="s">
        <v>457</v>
      </c>
      <c r="E4635" s="125" t="s">
        <v>284</v>
      </c>
      <c r="F4635" s="126">
        <v>41529.0</v>
      </c>
      <c r="G4635" s="127">
        <v>3.1E8</v>
      </c>
      <c r="H4635" s="126">
        <v>41558.0</v>
      </c>
      <c r="I4635" s="128">
        <v>2095.0</v>
      </c>
      <c r="J4635" s="128">
        <v>421.89</v>
      </c>
      <c r="K4635" s="128">
        <v>364.69</v>
      </c>
      <c r="L4635" s="128">
        <v>883859.6</v>
      </c>
      <c r="M4635" s="128">
        <v>764025.6</v>
      </c>
      <c r="N4635" s="128">
        <v>119834.0</v>
      </c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</row>
    <row r="4636">
      <c r="A4636" s="125" t="s">
        <v>469</v>
      </c>
      <c r="B4636" s="125" t="s">
        <v>495</v>
      </c>
      <c r="C4636" s="125" t="s">
        <v>456</v>
      </c>
      <c r="D4636" s="125" t="s">
        <v>454</v>
      </c>
      <c r="E4636" s="125" t="s">
        <v>284</v>
      </c>
      <c r="F4636" s="126">
        <v>41854.0</v>
      </c>
      <c r="G4636" s="127">
        <v>9.02E8</v>
      </c>
      <c r="H4636" s="126">
        <v>41858.0</v>
      </c>
      <c r="I4636" s="128">
        <v>8107.0</v>
      </c>
      <c r="J4636" s="128">
        <v>152.58</v>
      </c>
      <c r="K4636" s="128">
        <v>97.44</v>
      </c>
      <c r="L4636" s="128">
        <v>1236966.0</v>
      </c>
      <c r="M4636" s="128">
        <v>789946.1</v>
      </c>
      <c r="N4636" s="128">
        <v>447020.0</v>
      </c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</row>
    <row r="4637">
      <c r="A4637" s="125" t="s">
        <v>458</v>
      </c>
      <c r="B4637" s="125" t="s">
        <v>505</v>
      </c>
      <c r="C4637" s="125" t="s">
        <v>494</v>
      </c>
      <c r="D4637" s="125" t="s">
        <v>454</v>
      </c>
      <c r="E4637" s="125" t="s">
        <v>189</v>
      </c>
      <c r="F4637" s="126">
        <v>42638.0</v>
      </c>
      <c r="G4637" s="127">
        <v>3.85E8</v>
      </c>
      <c r="H4637" s="126">
        <v>42662.0</v>
      </c>
      <c r="I4637" s="128">
        <v>1009.0</v>
      </c>
      <c r="J4637" s="128">
        <v>9.33</v>
      </c>
      <c r="K4637" s="128">
        <v>6.92</v>
      </c>
      <c r="L4637" s="128">
        <v>9413.97</v>
      </c>
      <c r="M4637" s="128">
        <v>6982.28</v>
      </c>
      <c r="N4637" s="128">
        <v>2431.69</v>
      </c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</row>
    <row r="4638">
      <c r="A4638" s="125" t="s">
        <v>451</v>
      </c>
      <c r="B4638" s="125" t="s">
        <v>620</v>
      </c>
      <c r="C4638" s="125" t="s">
        <v>485</v>
      </c>
      <c r="D4638" s="125" t="s">
        <v>454</v>
      </c>
      <c r="E4638" s="125" t="s">
        <v>189</v>
      </c>
      <c r="F4638" s="126">
        <v>40529.0</v>
      </c>
      <c r="G4638" s="127">
        <v>6.81E8</v>
      </c>
      <c r="H4638" s="126">
        <v>40573.0</v>
      </c>
      <c r="I4638" s="128">
        <v>3151.0</v>
      </c>
      <c r="J4638" s="128">
        <v>421.89</v>
      </c>
      <c r="K4638" s="128">
        <v>364.69</v>
      </c>
      <c r="L4638" s="128">
        <v>1329375.0</v>
      </c>
      <c r="M4638" s="128">
        <v>1149138.0</v>
      </c>
      <c r="N4638" s="128">
        <v>180237.2</v>
      </c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</row>
    <row r="4639">
      <c r="A4639" s="125" t="s">
        <v>458</v>
      </c>
      <c r="B4639" s="125" t="s">
        <v>573</v>
      </c>
      <c r="C4639" s="125" t="s">
        <v>506</v>
      </c>
      <c r="D4639" s="125" t="s">
        <v>454</v>
      </c>
      <c r="E4639" s="125" t="s">
        <v>464</v>
      </c>
      <c r="F4639" s="126">
        <v>42241.0</v>
      </c>
      <c r="G4639" s="127">
        <v>1.86E8</v>
      </c>
      <c r="H4639" s="126">
        <v>42245.0</v>
      </c>
      <c r="I4639" s="128">
        <v>3911.0</v>
      </c>
      <c r="J4639" s="128">
        <v>154.06</v>
      </c>
      <c r="K4639" s="128">
        <v>90.93</v>
      </c>
      <c r="L4639" s="128">
        <v>602528.7</v>
      </c>
      <c r="M4639" s="128">
        <v>355627.2</v>
      </c>
      <c r="N4639" s="128">
        <v>246901.4</v>
      </c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</row>
    <row r="4640">
      <c r="A4640" s="125" t="s">
        <v>458</v>
      </c>
      <c r="B4640" s="125" t="s">
        <v>487</v>
      </c>
      <c r="C4640" s="125" t="s">
        <v>478</v>
      </c>
      <c r="D4640" s="125" t="s">
        <v>454</v>
      </c>
      <c r="E4640" s="125" t="s">
        <v>189</v>
      </c>
      <c r="F4640" s="126">
        <v>41051.0</v>
      </c>
      <c r="G4640" s="127">
        <v>5.13E8</v>
      </c>
      <c r="H4640" s="126">
        <v>41065.0</v>
      </c>
      <c r="I4640" s="128">
        <v>4701.0</v>
      </c>
      <c r="J4640" s="128">
        <v>651.21</v>
      </c>
      <c r="K4640" s="128">
        <v>524.96</v>
      </c>
      <c r="L4640" s="128">
        <v>3061338.0</v>
      </c>
      <c r="M4640" s="128">
        <v>2467837.0</v>
      </c>
      <c r="N4640" s="128">
        <v>593501.3</v>
      </c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</row>
    <row r="4641">
      <c r="A4641" s="125" t="s">
        <v>451</v>
      </c>
      <c r="B4641" s="125" t="s">
        <v>499</v>
      </c>
      <c r="C4641" s="125" t="s">
        <v>478</v>
      </c>
      <c r="D4641" s="125" t="s">
        <v>454</v>
      </c>
      <c r="E4641" s="125" t="s">
        <v>472</v>
      </c>
      <c r="F4641" s="126">
        <v>40305.0</v>
      </c>
      <c r="G4641" s="127">
        <v>6.47E8</v>
      </c>
      <c r="H4641" s="126">
        <v>40321.0</v>
      </c>
      <c r="I4641" s="128">
        <v>3964.0</v>
      </c>
      <c r="J4641" s="128">
        <v>651.21</v>
      </c>
      <c r="K4641" s="128">
        <v>524.96</v>
      </c>
      <c r="L4641" s="128">
        <v>2581396.0</v>
      </c>
      <c r="M4641" s="128">
        <v>2080941.0</v>
      </c>
      <c r="N4641" s="128">
        <v>500455.0</v>
      </c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</row>
    <row r="4642">
      <c r="A4642" s="125" t="s">
        <v>466</v>
      </c>
      <c r="B4642" s="125" t="s">
        <v>568</v>
      </c>
      <c r="C4642" s="125" t="s">
        <v>471</v>
      </c>
      <c r="D4642" s="125" t="s">
        <v>457</v>
      </c>
      <c r="E4642" s="125" t="s">
        <v>464</v>
      </c>
      <c r="F4642" s="126">
        <v>40969.0</v>
      </c>
      <c r="G4642" s="127">
        <v>9.91E8</v>
      </c>
      <c r="H4642" s="126">
        <v>40987.0</v>
      </c>
      <c r="I4642" s="128">
        <v>2173.0</v>
      </c>
      <c r="J4642" s="128">
        <v>109.28</v>
      </c>
      <c r="K4642" s="128">
        <v>35.84</v>
      </c>
      <c r="L4642" s="128">
        <v>237465.4</v>
      </c>
      <c r="M4642" s="128">
        <v>77880.32</v>
      </c>
      <c r="N4642" s="128">
        <v>159585.1</v>
      </c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</row>
    <row r="4643">
      <c r="A4643" s="125" t="s">
        <v>458</v>
      </c>
      <c r="B4643" s="125" t="s">
        <v>555</v>
      </c>
      <c r="C4643" s="125" t="s">
        <v>453</v>
      </c>
      <c r="D4643" s="125" t="s">
        <v>457</v>
      </c>
      <c r="E4643" s="125" t="s">
        <v>464</v>
      </c>
      <c r="F4643" s="126">
        <v>40253.0</v>
      </c>
      <c r="G4643" s="127">
        <v>2.23E8</v>
      </c>
      <c r="H4643" s="126">
        <v>40269.0</v>
      </c>
      <c r="I4643" s="128">
        <v>6833.0</v>
      </c>
      <c r="J4643" s="128">
        <v>255.28</v>
      </c>
      <c r="K4643" s="128">
        <v>159.42</v>
      </c>
      <c r="L4643" s="128">
        <v>1744328.0</v>
      </c>
      <c r="M4643" s="128">
        <v>1089317.0</v>
      </c>
      <c r="N4643" s="128">
        <v>655011.4</v>
      </c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</row>
    <row r="4644">
      <c r="A4644" s="125" t="s">
        <v>488</v>
      </c>
      <c r="B4644" s="125" t="s">
        <v>489</v>
      </c>
      <c r="C4644" s="125" t="s">
        <v>478</v>
      </c>
      <c r="D4644" s="125" t="s">
        <v>457</v>
      </c>
      <c r="E4644" s="125" t="s">
        <v>472</v>
      </c>
      <c r="F4644" s="126">
        <v>41287.0</v>
      </c>
      <c r="G4644" s="127">
        <v>2.36E8</v>
      </c>
      <c r="H4644" s="126">
        <v>41305.0</v>
      </c>
      <c r="I4644" s="128">
        <v>7480.0</v>
      </c>
      <c r="J4644" s="128">
        <v>651.21</v>
      </c>
      <c r="K4644" s="128">
        <v>524.96</v>
      </c>
      <c r="L4644" s="128">
        <v>4871051.0</v>
      </c>
      <c r="M4644" s="128">
        <v>3926701.0</v>
      </c>
      <c r="N4644" s="128">
        <v>944350.0</v>
      </c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</row>
    <row r="4645">
      <c r="A4645" s="125" t="s">
        <v>466</v>
      </c>
      <c r="B4645" s="125" t="s">
        <v>580</v>
      </c>
      <c r="C4645" s="125" t="s">
        <v>478</v>
      </c>
      <c r="D4645" s="125" t="s">
        <v>454</v>
      </c>
      <c r="E4645" s="125" t="s">
        <v>464</v>
      </c>
      <c r="F4645" s="126">
        <v>40673.0</v>
      </c>
      <c r="G4645" s="127">
        <v>2.96E8</v>
      </c>
      <c r="H4645" s="126">
        <v>40696.0</v>
      </c>
      <c r="I4645" s="128">
        <v>681.0</v>
      </c>
      <c r="J4645" s="128">
        <v>651.21</v>
      </c>
      <c r="K4645" s="128">
        <v>524.96</v>
      </c>
      <c r="L4645" s="128">
        <v>443474.0</v>
      </c>
      <c r="M4645" s="128">
        <v>357497.8</v>
      </c>
      <c r="N4645" s="128">
        <v>85976.25</v>
      </c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</row>
    <row r="4646">
      <c r="A4646" s="125" t="s">
        <v>475</v>
      </c>
      <c r="B4646" s="125" t="s">
        <v>651</v>
      </c>
      <c r="C4646" s="125" t="s">
        <v>463</v>
      </c>
      <c r="D4646" s="125" t="s">
        <v>454</v>
      </c>
      <c r="E4646" s="125" t="s">
        <v>464</v>
      </c>
      <c r="F4646" s="126">
        <v>40935.0</v>
      </c>
      <c r="G4646" s="127">
        <v>1.9E8</v>
      </c>
      <c r="H4646" s="126">
        <v>40976.0</v>
      </c>
      <c r="I4646" s="128">
        <v>5036.0</v>
      </c>
      <c r="J4646" s="128">
        <v>205.7</v>
      </c>
      <c r="K4646" s="128">
        <v>117.11</v>
      </c>
      <c r="L4646" s="128">
        <v>1035905.0</v>
      </c>
      <c r="M4646" s="128">
        <v>589766.0</v>
      </c>
      <c r="N4646" s="128">
        <v>446139.2</v>
      </c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</row>
    <row r="4647">
      <c r="A4647" s="125" t="s">
        <v>451</v>
      </c>
      <c r="B4647" s="125" t="s">
        <v>550</v>
      </c>
      <c r="C4647" s="125" t="s">
        <v>471</v>
      </c>
      <c r="D4647" s="125" t="s">
        <v>454</v>
      </c>
      <c r="E4647" s="125" t="s">
        <v>189</v>
      </c>
      <c r="F4647" s="126">
        <v>40838.0</v>
      </c>
      <c r="G4647" s="127">
        <v>6.74E8</v>
      </c>
      <c r="H4647" s="126">
        <v>40858.0</v>
      </c>
      <c r="I4647" s="128">
        <v>6173.0</v>
      </c>
      <c r="J4647" s="128">
        <v>109.28</v>
      </c>
      <c r="K4647" s="128">
        <v>35.84</v>
      </c>
      <c r="L4647" s="128">
        <v>674585.4</v>
      </c>
      <c r="M4647" s="128">
        <v>221240.3</v>
      </c>
      <c r="N4647" s="128">
        <v>453345.1</v>
      </c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</row>
    <row r="4648">
      <c r="A4648" s="125" t="s">
        <v>461</v>
      </c>
      <c r="B4648" s="125" t="s">
        <v>557</v>
      </c>
      <c r="C4648" s="125" t="s">
        <v>480</v>
      </c>
      <c r="D4648" s="125" t="s">
        <v>454</v>
      </c>
      <c r="E4648" s="125" t="s">
        <v>464</v>
      </c>
      <c r="F4648" s="126">
        <v>42301.0</v>
      </c>
      <c r="G4648" s="127">
        <v>3.23E8</v>
      </c>
      <c r="H4648" s="126">
        <v>42325.0</v>
      </c>
      <c r="I4648" s="128">
        <v>1755.0</v>
      </c>
      <c r="J4648" s="128">
        <v>437.2</v>
      </c>
      <c r="K4648" s="128">
        <v>263.33</v>
      </c>
      <c r="L4648" s="128">
        <v>767286.0</v>
      </c>
      <c r="M4648" s="128">
        <v>462144.2</v>
      </c>
      <c r="N4648" s="128">
        <v>305141.9</v>
      </c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</row>
    <row r="4649">
      <c r="A4649" s="125" t="s">
        <v>451</v>
      </c>
      <c r="B4649" s="125" t="s">
        <v>620</v>
      </c>
      <c r="C4649" s="125" t="s">
        <v>514</v>
      </c>
      <c r="D4649" s="125" t="s">
        <v>457</v>
      </c>
      <c r="E4649" s="125" t="s">
        <v>464</v>
      </c>
      <c r="F4649" s="126">
        <v>40717.0</v>
      </c>
      <c r="G4649" s="127">
        <v>4.87E8</v>
      </c>
      <c r="H4649" s="126">
        <v>40719.0</v>
      </c>
      <c r="I4649" s="128">
        <v>6473.0</v>
      </c>
      <c r="J4649" s="128">
        <v>668.27</v>
      </c>
      <c r="K4649" s="128">
        <v>502.54</v>
      </c>
      <c r="L4649" s="128">
        <v>4325712.0</v>
      </c>
      <c r="M4649" s="128">
        <v>3252941.0</v>
      </c>
      <c r="N4649" s="128">
        <v>1072770.0</v>
      </c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</row>
    <row r="4650">
      <c r="A4650" s="125" t="s">
        <v>466</v>
      </c>
      <c r="B4650" s="125" t="s">
        <v>637</v>
      </c>
      <c r="C4650" s="125" t="s">
        <v>456</v>
      </c>
      <c r="D4650" s="125" t="s">
        <v>454</v>
      </c>
      <c r="E4650" s="125" t="s">
        <v>472</v>
      </c>
      <c r="F4650" s="126">
        <v>42932.0</v>
      </c>
      <c r="G4650" s="127">
        <v>3.3E8</v>
      </c>
      <c r="H4650" s="126">
        <v>42951.0</v>
      </c>
      <c r="I4650" s="128">
        <v>7051.0</v>
      </c>
      <c r="J4650" s="128">
        <v>152.58</v>
      </c>
      <c r="K4650" s="128">
        <v>97.44</v>
      </c>
      <c r="L4650" s="128">
        <v>1075842.0</v>
      </c>
      <c r="M4650" s="128">
        <v>687049.4</v>
      </c>
      <c r="N4650" s="128">
        <v>388792.1</v>
      </c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</row>
    <row r="4651">
      <c r="A4651" s="125" t="s">
        <v>458</v>
      </c>
      <c r="B4651" s="125" t="s">
        <v>473</v>
      </c>
      <c r="C4651" s="125" t="s">
        <v>514</v>
      </c>
      <c r="D4651" s="125" t="s">
        <v>457</v>
      </c>
      <c r="E4651" s="125" t="s">
        <v>189</v>
      </c>
      <c r="F4651" s="126">
        <v>40969.0</v>
      </c>
      <c r="G4651" s="127">
        <v>8.92E8</v>
      </c>
      <c r="H4651" s="126">
        <v>40995.0</v>
      </c>
      <c r="I4651" s="128">
        <v>7245.0</v>
      </c>
      <c r="J4651" s="128">
        <v>668.27</v>
      </c>
      <c r="K4651" s="128">
        <v>502.54</v>
      </c>
      <c r="L4651" s="128">
        <v>4841616.0</v>
      </c>
      <c r="M4651" s="128">
        <v>3640902.0</v>
      </c>
      <c r="N4651" s="128">
        <v>1200714.0</v>
      </c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</row>
    <row r="4652">
      <c r="A4652" s="125" t="s">
        <v>458</v>
      </c>
      <c r="B4652" s="125" t="s">
        <v>582</v>
      </c>
      <c r="C4652" s="125" t="s">
        <v>460</v>
      </c>
      <c r="D4652" s="125" t="s">
        <v>457</v>
      </c>
      <c r="E4652" s="125" t="s">
        <v>189</v>
      </c>
      <c r="F4652" s="126">
        <v>41068.0</v>
      </c>
      <c r="G4652" s="127">
        <v>1.29E8</v>
      </c>
      <c r="H4652" s="126">
        <v>41108.0</v>
      </c>
      <c r="I4652" s="128">
        <v>2839.0</v>
      </c>
      <c r="J4652" s="128">
        <v>47.45</v>
      </c>
      <c r="K4652" s="128">
        <v>31.79</v>
      </c>
      <c r="L4652" s="128">
        <v>134710.6</v>
      </c>
      <c r="M4652" s="128">
        <v>90251.81</v>
      </c>
      <c r="N4652" s="128">
        <v>44458.74</v>
      </c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</row>
    <row r="4653">
      <c r="A4653" s="125" t="s">
        <v>466</v>
      </c>
      <c r="B4653" s="125" t="s">
        <v>607</v>
      </c>
      <c r="C4653" s="125" t="s">
        <v>480</v>
      </c>
      <c r="D4653" s="125" t="s">
        <v>457</v>
      </c>
      <c r="E4653" s="125" t="s">
        <v>464</v>
      </c>
      <c r="F4653" s="126">
        <v>40179.0</v>
      </c>
      <c r="G4653" s="127">
        <v>5.71E8</v>
      </c>
      <c r="H4653" s="126">
        <v>40191.0</v>
      </c>
      <c r="I4653" s="128">
        <v>6652.0</v>
      </c>
      <c r="J4653" s="128">
        <v>437.2</v>
      </c>
      <c r="K4653" s="128">
        <v>263.33</v>
      </c>
      <c r="L4653" s="128">
        <v>2908254.0</v>
      </c>
      <c r="M4653" s="128">
        <v>1751671.0</v>
      </c>
      <c r="N4653" s="128">
        <v>1156583.0</v>
      </c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</row>
    <row r="4654">
      <c r="A4654" s="125" t="s">
        <v>458</v>
      </c>
      <c r="B4654" s="125" t="s">
        <v>603</v>
      </c>
      <c r="C4654" s="125" t="s">
        <v>463</v>
      </c>
      <c r="D4654" s="125" t="s">
        <v>454</v>
      </c>
      <c r="E4654" s="125" t="s">
        <v>284</v>
      </c>
      <c r="F4654" s="126">
        <v>41171.0</v>
      </c>
      <c r="G4654" s="127">
        <v>7.65E8</v>
      </c>
      <c r="H4654" s="126">
        <v>41182.0</v>
      </c>
      <c r="I4654" s="128">
        <v>3532.0</v>
      </c>
      <c r="J4654" s="128">
        <v>205.7</v>
      </c>
      <c r="K4654" s="128">
        <v>117.11</v>
      </c>
      <c r="L4654" s="128">
        <v>726532.4</v>
      </c>
      <c r="M4654" s="128">
        <v>413632.5</v>
      </c>
      <c r="N4654" s="128">
        <v>312899.9</v>
      </c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</row>
    <row r="4655">
      <c r="A4655" s="125" t="s">
        <v>475</v>
      </c>
      <c r="B4655" s="125" t="s">
        <v>552</v>
      </c>
      <c r="C4655" s="125" t="s">
        <v>480</v>
      </c>
      <c r="D4655" s="125" t="s">
        <v>454</v>
      </c>
      <c r="E4655" s="125" t="s">
        <v>464</v>
      </c>
      <c r="F4655" s="126">
        <v>40388.0</v>
      </c>
      <c r="G4655" s="127">
        <v>2.3E8</v>
      </c>
      <c r="H4655" s="126">
        <v>40430.0</v>
      </c>
      <c r="I4655" s="128">
        <v>5359.0</v>
      </c>
      <c r="J4655" s="128">
        <v>437.2</v>
      </c>
      <c r="K4655" s="128">
        <v>263.33</v>
      </c>
      <c r="L4655" s="128">
        <v>2342955.0</v>
      </c>
      <c r="M4655" s="128">
        <v>1411185.0</v>
      </c>
      <c r="N4655" s="128">
        <v>931769.3</v>
      </c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</row>
    <row r="4656">
      <c r="A4656" s="125" t="s">
        <v>475</v>
      </c>
      <c r="B4656" s="125" t="s">
        <v>536</v>
      </c>
      <c r="C4656" s="125" t="s">
        <v>471</v>
      </c>
      <c r="D4656" s="125" t="s">
        <v>454</v>
      </c>
      <c r="E4656" s="125" t="s">
        <v>472</v>
      </c>
      <c r="F4656" s="126">
        <v>42862.0</v>
      </c>
      <c r="G4656" s="127">
        <v>8.06E8</v>
      </c>
      <c r="H4656" s="126">
        <v>42884.0</v>
      </c>
      <c r="I4656" s="128">
        <v>6045.0</v>
      </c>
      <c r="J4656" s="128">
        <v>109.28</v>
      </c>
      <c r="K4656" s="128">
        <v>35.84</v>
      </c>
      <c r="L4656" s="128">
        <v>660597.6</v>
      </c>
      <c r="M4656" s="128">
        <v>216652.8</v>
      </c>
      <c r="N4656" s="128">
        <v>443944.8</v>
      </c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</row>
    <row r="4657">
      <c r="A4657" s="125" t="s">
        <v>458</v>
      </c>
      <c r="B4657" s="125" t="s">
        <v>551</v>
      </c>
      <c r="C4657" s="125" t="s">
        <v>506</v>
      </c>
      <c r="D4657" s="125" t="s">
        <v>457</v>
      </c>
      <c r="E4657" s="125" t="s">
        <v>284</v>
      </c>
      <c r="F4657" s="126">
        <v>41564.0</v>
      </c>
      <c r="G4657" s="127">
        <v>8.02E8</v>
      </c>
      <c r="H4657" s="126">
        <v>41573.0</v>
      </c>
      <c r="I4657" s="128">
        <v>6531.0</v>
      </c>
      <c r="J4657" s="128">
        <v>154.06</v>
      </c>
      <c r="K4657" s="128">
        <v>90.93</v>
      </c>
      <c r="L4657" s="128">
        <v>1006166.0</v>
      </c>
      <c r="M4657" s="128">
        <v>593863.8</v>
      </c>
      <c r="N4657" s="128">
        <v>412302.0</v>
      </c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</row>
    <row r="4658">
      <c r="A4658" s="125" t="s">
        <v>475</v>
      </c>
      <c r="B4658" s="125" t="s">
        <v>648</v>
      </c>
      <c r="C4658" s="125" t="s">
        <v>463</v>
      </c>
      <c r="D4658" s="125" t="s">
        <v>457</v>
      </c>
      <c r="E4658" s="125" t="s">
        <v>189</v>
      </c>
      <c r="F4658" s="126">
        <v>40922.0</v>
      </c>
      <c r="G4658" s="127">
        <v>8.47E8</v>
      </c>
      <c r="H4658" s="126">
        <v>40946.0</v>
      </c>
      <c r="I4658" s="128">
        <v>9791.0</v>
      </c>
      <c r="J4658" s="128">
        <v>205.7</v>
      </c>
      <c r="K4658" s="128">
        <v>117.11</v>
      </c>
      <c r="L4658" s="128">
        <v>2014009.0</v>
      </c>
      <c r="M4658" s="128">
        <v>1146624.0</v>
      </c>
      <c r="N4658" s="128">
        <v>867384.7</v>
      </c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</row>
    <row r="4659">
      <c r="A4659" s="125" t="s">
        <v>475</v>
      </c>
      <c r="B4659" s="125" t="s">
        <v>636</v>
      </c>
      <c r="C4659" s="125" t="s">
        <v>506</v>
      </c>
      <c r="D4659" s="125" t="s">
        <v>457</v>
      </c>
      <c r="E4659" s="125" t="s">
        <v>472</v>
      </c>
      <c r="F4659" s="126">
        <v>41601.0</v>
      </c>
      <c r="G4659" s="127">
        <v>7.42E8</v>
      </c>
      <c r="H4659" s="126">
        <v>41624.0</v>
      </c>
      <c r="I4659" s="128">
        <v>5830.0</v>
      </c>
      <c r="J4659" s="128">
        <v>154.06</v>
      </c>
      <c r="K4659" s="128">
        <v>90.93</v>
      </c>
      <c r="L4659" s="128">
        <v>898169.8</v>
      </c>
      <c r="M4659" s="128">
        <v>530121.9</v>
      </c>
      <c r="N4659" s="128">
        <v>368047.9</v>
      </c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</row>
    <row r="4660">
      <c r="A4660" s="125" t="s">
        <v>475</v>
      </c>
      <c r="B4660" s="125" t="s">
        <v>591</v>
      </c>
      <c r="C4660" s="125" t="s">
        <v>453</v>
      </c>
      <c r="D4660" s="125" t="s">
        <v>457</v>
      </c>
      <c r="E4660" s="125" t="s">
        <v>284</v>
      </c>
      <c r="F4660" s="126">
        <v>41890.0</v>
      </c>
      <c r="G4660" s="127">
        <v>8.07E8</v>
      </c>
      <c r="H4660" s="126">
        <v>41920.0</v>
      </c>
      <c r="I4660" s="128">
        <v>6685.0</v>
      </c>
      <c r="J4660" s="128">
        <v>255.28</v>
      </c>
      <c r="K4660" s="128">
        <v>159.42</v>
      </c>
      <c r="L4660" s="128">
        <v>1706547.0</v>
      </c>
      <c r="M4660" s="128">
        <v>1065723.0</v>
      </c>
      <c r="N4660" s="128">
        <v>640824.1</v>
      </c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</row>
    <row r="4661">
      <c r="A4661" s="125" t="s">
        <v>451</v>
      </c>
      <c r="B4661" s="125" t="s">
        <v>455</v>
      </c>
      <c r="C4661" s="125" t="s">
        <v>506</v>
      </c>
      <c r="D4661" s="125" t="s">
        <v>457</v>
      </c>
      <c r="E4661" s="125" t="s">
        <v>472</v>
      </c>
      <c r="F4661" s="126">
        <v>41849.0</v>
      </c>
      <c r="G4661" s="127">
        <v>5.33E8</v>
      </c>
      <c r="H4661" s="126">
        <v>41851.0</v>
      </c>
      <c r="I4661" s="128">
        <v>1422.0</v>
      </c>
      <c r="J4661" s="128">
        <v>154.06</v>
      </c>
      <c r="K4661" s="128">
        <v>90.93</v>
      </c>
      <c r="L4661" s="128">
        <v>219073.3</v>
      </c>
      <c r="M4661" s="128">
        <v>129302.5</v>
      </c>
      <c r="N4661" s="128">
        <v>89770.86</v>
      </c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</row>
    <row r="4662">
      <c r="A4662" s="125" t="s">
        <v>461</v>
      </c>
      <c r="B4662" s="125" t="s">
        <v>522</v>
      </c>
      <c r="C4662" s="125" t="s">
        <v>463</v>
      </c>
      <c r="D4662" s="125" t="s">
        <v>454</v>
      </c>
      <c r="E4662" s="125" t="s">
        <v>464</v>
      </c>
      <c r="F4662" s="126">
        <v>41928.0</v>
      </c>
      <c r="G4662" s="127">
        <v>8.31E8</v>
      </c>
      <c r="H4662" s="126">
        <v>41944.0</v>
      </c>
      <c r="I4662" s="128">
        <v>1140.0</v>
      </c>
      <c r="J4662" s="128">
        <v>205.7</v>
      </c>
      <c r="K4662" s="128">
        <v>117.11</v>
      </c>
      <c r="L4662" s="128">
        <v>234498.0</v>
      </c>
      <c r="M4662" s="128">
        <v>133505.4</v>
      </c>
      <c r="N4662" s="128">
        <v>100992.6</v>
      </c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</row>
    <row r="4663">
      <c r="A4663" s="125" t="s">
        <v>458</v>
      </c>
      <c r="B4663" s="125" t="s">
        <v>518</v>
      </c>
      <c r="C4663" s="125" t="s">
        <v>478</v>
      </c>
      <c r="D4663" s="125" t="s">
        <v>457</v>
      </c>
      <c r="E4663" s="125" t="s">
        <v>284</v>
      </c>
      <c r="F4663" s="126">
        <v>41583.0</v>
      </c>
      <c r="G4663" s="127">
        <v>8.81E8</v>
      </c>
      <c r="H4663" s="126">
        <v>41613.0</v>
      </c>
      <c r="I4663" s="128">
        <v>3969.0</v>
      </c>
      <c r="J4663" s="128">
        <v>651.21</v>
      </c>
      <c r="K4663" s="128">
        <v>524.96</v>
      </c>
      <c r="L4663" s="128">
        <v>2584652.0</v>
      </c>
      <c r="M4663" s="128">
        <v>2083566.0</v>
      </c>
      <c r="N4663" s="128">
        <v>501086.3</v>
      </c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</row>
    <row r="4664">
      <c r="A4664" s="125" t="s">
        <v>475</v>
      </c>
      <c r="B4664" s="125" t="s">
        <v>602</v>
      </c>
      <c r="C4664" s="125" t="s">
        <v>456</v>
      </c>
      <c r="D4664" s="125" t="s">
        <v>457</v>
      </c>
      <c r="E4664" s="125" t="s">
        <v>284</v>
      </c>
      <c r="F4664" s="126">
        <v>40659.0</v>
      </c>
      <c r="G4664" s="127">
        <v>3.86E8</v>
      </c>
      <c r="H4664" s="126">
        <v>40679.0</v>
      </c>
      <c r="I4664" s="128">
        <v>71.0</v>
      </c>
      <c r="J4664" s="128">
        <v>152.58</v>
      </c>
      <c r="K4664" s="128">
        <v>97.44</v>
      </c>
      <c r="L4664" s="128">
        <v>10833.18</v>
      </c>
      <c r="M4664" s="128">
        <v>6918.24</v>
      </c>
      <c r="N4664" s="128">
        <v>3914.94</v>
      </c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</row>
    <row r="4665">
      <c r="A4665" s="125" t="s">
        <v>458</v>
      </c>
      <c r="B4665" s="125" t="s">
        <v>486</v>
      </c>
      <c r="C4665" s="125" t="s">
        <v>506</v>
      </c>
      <c r="D4665" s="125" t="s">
        <v>457</v>
      </c>
      <c r="E4665" s="125" t="s">
        <v>284</v>
      </c>
      <c r="F4665" s="126">
        <v>40772.0</v>
      </c>
      <c r="G4665" s="127">
        <v>9.18E8</v>
      </c>
      <c r="H4665" s="126">
        <v>40822.0</v>
      </c>
      <c r="I4665" s="128">
        <v>6637.0</v>
      </c>
      <c r="J4665" s="128">
        <v>154.06</v>
      </c>
      <c r="K4665" s="128">
        <v>90.93</v>
      </c>
      <c r="L4665" s="128">
        <v>1022496.0</v>
      </c>
      <c r="M4665" s="128">
        <v>603502.4</v>
      </c>
      <c r="N4665" s="128">
        <v>418993.8</v>
      </c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</row>
    <row r="4666">
      <c r="A4666" s="125" t="s">
        <v>451</v>
      </c>
      <c r="B4666" s="125" t="s">
        <v>596</v>
      </c>
      <c r="C4666" s="125" t="s">
        <v>506</v>
      </c>
      <c r="D4666" s="125" t="s">
        <v>457</v>
      </c>
      <c r="E4666" s="125" t="s">
        <v>189</v>
      </c>
      <c r="F4666" s="126">
        <v>41162.0</v>
      </c>
      <c r="G4666" s="127">
        <v>9.68E8</v>
      </c>
      <c r="H4666" s="126">
        <v>41207.0</v>
      </c>
      <c r="I4666" s="128">
        <v>2892.0</v>
      </c>
      <c r="J4666" s="128">
        <v>154.06</v>
      </c>
      <c r="K4666" s="128">
        <v>90.93</v>
      </c>
      <c r="L4666" s="128">
        <v>445541.5</v>
      </c>
      <c r="M4666" s="128">
        <v>262969.6</v>
      </c>
      <c r="N4666" s="128">
        <v>182572.0</v>
      </c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</row>
    <row r="4667">
      <c r="A4667" s="125" t="s">
        <v>466</v>
      </c>
      <c r="B4667" s="125" t="s">
        <v>625</v>
      </c>
      <c r="C4667" s="125" t="s">
        <v>468</v>
      </c>
      <c r="D4667" s="125" t="s">
        <v>457</v>
      </c>
      <c r="E4667" s="125" t="s">
        <v>464</v>
      </c>
      <c r="F4667" s="126">
        <v>42841.0</v>
      </c>
      <c r="G4667" s="127">
        <v>9.0E8</v>
      </c>
      <c r="H4667" s="126">
        <v>42860.0</v>
      </c>
      <c r="I4667" s="128">
        <v>5090.0</v>
      </c>
      <c r="J4667" s="128">
        <v>81.73</v>
      </c>
      <c r="K4667" s="128">
        <v>56.67</v>
      </c>
      <c r="L4667" s="128">
        <v>416005.7</v>
      </c>
      <c r="M4667" s="128">
        <v>288450.3</v>
      </c>
      <c r="N4667" s="128">
        <v>127555.4</v>
      </c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</row>
    <row r="4668">
      <c r="A4668" s="125" t="s">
        <v>469</v>
      </c>
      <c r="B4668" s="125" t="s">
        <v>569</v>
      </c>
      <c r="C4668" s="125" t="s">
        <v>485</v>
      </c>
      <c r="D4668" s="125" t="s">
        <v>454</v>
      </c>
      <c r="E4668" s="125" t="s">
        <v>284</v>
      </c>
      <c r="F4668" s="126">
        <v>41677.0</v>
      </c>
      <c r="G4668" s="127">
        <v>6.96E8</v>
      </c>
      <c r="H4668" s="126">
        <v>41678.0</v>
      </c>
      <c r="I4668" s="128">
        <v>1516.0</v>
      </c>
      <c r="J4668" s="128">
        <v>421.89</v>
      </c>
      <c r="K4668" s="128">
        <v>364.69</v>
      </c>
      <c r="L4668" s="128">
        <v>639585.2</v>
      </c>
      <c r="M4668" s="128">
        <v>552870.0</v>
      </c>
      <c r="N4668" s="128">
        <v>86715.2</v>
      </c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</row>
    <row r="4669">
      <c r="A4669" s="125" t="s">
        <v>475</v>
      </c>
      <c r="B4669" s="125" t="s">
        <v>624</v>
      </c>
      <c r="C4669" s="125" t="s">
        <v>468</v>
      </c>
      <c r="D4669" s="125" t="s">
        <v>457</v>
      </c>
      <c r="E4669" s="125" t="s">
        <v>284</v>
      </c>
      <c r="F4669" s="126">
        <v>40842.0</v>
      </c>
      <c r="G4669" s="127">
        <v>4.09E8</v>
      </c>
      <c r="H4669" s="126">
        <v>40850.0</v>
      </c>
      <c r="I4669" s="128">
        <v>7490.0</v>
      </c>
      <c r="J4669" s="128">
        <v>81.73</v>
      </c>
      <c r="K4669" s="128">
        <v>56.67</v>
      </c>
      <c r="L4669" s="128">
        <v>612157.7</v>
      </c>
      <c r="M4669" s="128">
        <v>424458.3</v>
      </c>
      <c r="N4669" s="128">
        <v>187699.4</v>
      </c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</row>
    <row r="4670">
      <c r="A4670" s="125" t="s">
        <v>488</v>
      </c>
      <c r="B4670" s="125" t="s">
        <v>645</v>
      </c>
      <c r="C4670" s="125" t="s">
        <v>453</v>
      </c>
      <c r="D4670" s="125" t="s">
        <v>454</v>
      </c>
      <c r="E4670" s="125" t="s">
        <v>464</v>
      </c>
      <c r="F4670" s="126">
        <v>41132.0</v>
      </c>
      <c r="G4670" s="127">
        <v>6.13E8</v>
      </c>
      <c r="H4670" s="126">
        <v>41150.0</v>
      </c>
      <c r="I4670" s="128">
        <v>359.0</v>
      </c>
      <c r="J4670" s="128">
        <v>255.28</v>
      </c>
      <c r="K4670" s="128">
        <v>159.42</v>
      </c>
      <c r="L4670" s="128">
        <v>91645.52</v>
      </c>
      <c r="M4670" s="128">
        <v>57231.78</v>
      </c>
      <c r="N4670" s="128">
        <v>34413.74</v>
      </c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</row>
    <row r="4671">
      <c r="A4671" s="125" t="s">
        <v>451</v>
      </c>
      <c r="B4671" s="125" t="s">
        <v>596</v>
      </c>
      <c r="C4671" s="125" t="s">
        <v>480</v>
      </c>
      <c r="D4671" s="125" t="s">
        <v>457</v>
      </c>
      <c r="E4671" s="125" t="s">
        <v>284</v>
      </c>
      <c r="F4671" s="126">
        <v>42349.0</v>
      </c>
      <c r="G4671" s="127">
        <v>1.51E8</v>
      </c>
      <c r="H4671" s="126">
        <v>42398.0</v>
      </c>
      <c r="I4671" s="128">
        <v>4503.0</v>
      </c>
      <c r="J4671" s="128">
        <v>437.2</v>
      </c>
      <c r="K4671" s="128">
        <v>263.33</v>
      </c>
      <c r="L4671" s="128">
        <v>1968712.0</v>
      </c>
      <c r="M4671" s="128">
        <v>1185775.0</v>
      </c>
      <c r="N4671" s="128">
        <v>782936.6</v>
      </c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</row>
    <row r="4672">
      <c r="A4672" s="125" t="s">
        <v>461</v>
      </c>
      <c r="B4672" s="125" t="s">
        <v>576</v>
      </c>
      <c r="C4672" s="125" t="s">
        <v>480</v>
      </c>
      <c r="D4672" s="125" t="s">
        <v>457</v>
      </c>
      <c r="E4672" s="125" t="s">
        <v>472</v>
      </c>
      <c r="F4672" s="126">
        <v>41917.0</v>
      </c>
      <c r="G4672" s="127">
        <v>1.89E8</v>
      </c>
      <c r="H4672" s="126">
        <v>41949.0</v>
      </c>
      <c r="I4672" s="128">
        <v>6334.0</v>
      </c>
      <c r="J4672" s="128">
        <v>437.2</v>
      </c>
      <c r="K4672" s="128">
        <v>263.33</v>
      </c>
      <c r="L4672" s="128">
        <v>2769225.0</v>
      </c>
      <c r="M4672" s="128">
        <v>1667932.0</v>
      </c>
      <c r="N4672" s="128">
        <v>1101293.0</v>
      </c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</row>
    <row r="4673">
      <c r="A4673" s="125" t="s">
        <v>458</v>
      </c>
      <c r="B4673" s="125" t="s">
        <v>509</v>
      </c>
      <c r="C4673" s="125" t="s">
        <v>494</v>
      </c>
      <c r="D4673" s="125" t="s">
        <v>454</v>
      </c>
      <c r="E4673" s="125" t="s">
        <v>472</v>
      </c>
      <c r="F4673" s="126">
        <v>41798.0</v>
      </c>
      <c r="G4673" s="127">
        <v>1.59E8</v>
      </c>
      <c r="H4673" s="126">
        <v>41834.0</v>
      </c>
      <c r="I4673" s="128">
        <v>9293.0</v>
      </c>
      <c r="J4673" s="128">
        <v>9.33</v>
      </c>
      <c r="K4673" s="128">
        <v>6.92</v>
      </c>
      <c r="L4673" s="128">
        <v>86703.69</v>
      </c>
      <c r="M4673" s="128">
        <v>64307.56</v>
      </c>
      <c r="N4673" s="128">
        <v>22396.13</v>
      </c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</row>
    <row r="4674">
      <c r="A4674" s="125" t="s">
        <v>458</v>
      </c>
      <c r="B4674" s="125" t="s">
        <v>541</v>
      </c>
      <c r="C4674" s="125" t="s">
        <v>506</v>
      </c>
      <c r="D4674" s="125" t="s">
        <v>454</v>
      </c>
      <c r="E4674" s="125" t="s">
        <v>464</v>
      </c>
      <c r="F4674" s="126">
        <v>41578.0</v>
      </c>
      <c r="G4674" s="127">
        <v>9.18E8</v>
      </c>
      <c r="H4674" s="126">
        <v>41622.0</v>
      </c>
      <c r="I4674" s="128">
        <v>8854.0</v>
      </c>
      <c r="J4674" s="128">
        <v>154.06</v>
      </c>
      <c r="K4674" s="128">
        <v>90.93</v>
      </c>
      <c r="L4674" s="128">
        <v>1364047.0</v>
      </c>
      <c r="M4674" s="128">
        <v>805094.2</v>
      </c>
      <c r="N4674" s="128">
        <v>558953.0</v>
      </c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</row>
    <row r="4675">
      <c r="A4675" s="125" t="s">
        <v>475</v>
      </c>
      <c r="B4675" s="125" t="s">
        <v>570</v>
      </c>
      <c r="C4675" s="125" t="s">
        <v>506</v>
      </c>
      <c r="D4675" s="125" t="s">
        <v>454</v>
      </c>
      <c r="E4675" s="125" t="s">
        <v>189</v>
      </c>
      <c r="F4675" s="126">
        <v>42614.0</v>
      </c>
      <c r="G4675" s="127">
        <v>6.89E8</v>
      </c>
      <c r="H4675" s="126">
        <v>42640.0</v>
      </c>
      <c r="I4675" s="128">
        <v>7523.0</v>
      </c>
      <c r="J4675" s="128">
        <v>154.06</v>
      </c>
      <c r="K4675" s="128">
        <v>90.93</v>
      </c>
      <c r="L4675" s="128">
        <v>1158993.0</v>
      </c>
      <c r="M4675" s="128">
        <v>684066.4</v>
      </c>
      <c r="N4675" s="128">
        <v>474927.0</v>
      </c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</row>
    <row r="4676">
      <c r="A4676" s="125" t="s">
        <v>466</v>
      </c>
      <c r="B4676" s="125" t="s">
        <v>524</v>
      </c>
      <c r="C4676" s="125" t="s">
        <v>480</v>
      </c>
      <c r="D4676" s="125" t="s">
        <v>457</v>
      </c>
      <c r="E4676" s="125" t="s">
        <v>189</v>
      </c>
      <c r="F4676" s="126">
        <v>41120.0</v>
      </c>
      <c r="G4676" s="127">
        <v>9.19E8</v>
      </c>
      <c r="H4676" s="126">
        <v>41138.0</v>
      </c>
      <c r="I4676" s="128">
        <v>9835.0</v>
      </c>
      <c r="J4676" s="128">
        <v>437.2</v>
      </c>
      <c r="K4676" s="128">
        <v>263.33</v>
      </c>
      <c r="L4676" s="128">
        <v>4299862.0</v>
      </c>
      <c r="M4676" s="128">
        <v>2589851.0</v>
      </c>
      <c r="N4676" s="128">
        <v>1710011.0</v>
      </c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</row>
    <row r="4677">
      <c r="A4677" s="125" t="s">
        <v>475</v>
      </c>
      <c r="B4677" s="125" t="s">
        <v>528</v>
      </c>
      <c r="C4677" s="125" t="s">
        <v>514</v>
      </c>
      <c r="D4677" s="125" t="s">
        <v>454</v>
      </c>
      <c r="E4677" s="125" t="s">
        <v>464</v>
      </c>
      <c r="F4677" s="126">
        <v>40615.0</v>
      </c>
      <c r="G4677" s="127">
        <v>4.22E8</v>
      </c>
      <c r="H4677" s="126">
        <v>40656.0</v>
      </c>
      <c r="I4677" s="128">
        <v>7357.0</v>
      </c>
      <c r="J4677" s="128">
        <v>668.27</v>
      </c>
      <c r="K4677" s="128">
        <v>502.54</v>
      </c>
      <c r="L4677" s="128">
        <v>4916462.0</v>
      </c>
      <c r="M4677" s="128">
        <v>3697187.0</v>
      </c>
      <c r="N4677" s="128">
        <v>1219276.0</v>
      </c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</row>
    <row r="4678">
      <c r="A4678" s="125" t="s">
        <v>475</v>
      </c>
      <c r="B4678" s="125" t="s">
        <v>504</v>
      </c>
      <c r="C4678" s="125" t="s">
        <v>478</v>
      </c>
      <c r="D4678" s="125" t="s">
        <v>454</v>
      </c>
      <c r="E4678" s="125" t="s">
        <v>464</v>
      </c>
      <c r="F4678" s="126">
        <v>42240.0</v>
      </c>
      <c r="G4678" s="127">
        <v>3.36E8</v>
      </c>
      <c r="H4678" s="126">
        <v>42270.0</v>
      </c>
      <c r="I4678" s="128">
        <v>3689.0</v>
      </c>
      <c r="J4678" s="128">
        <v>651.21</v>
      </c>
      <c r="K4678" s="128">
        <v>524.96</v>
      </c>
      <c r="L4678" s="128">
        <v>2402314.0</v>
      </c>
      <c r="M4678" s="128">
        <v>1936577.0</v>
      </c>
      <c r="N4678" s="128">
        <v>465736.3</v>
      </c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</row>
    <row r="4679">
      <c r="A4679" s="125" t="s">
        <v>458</v>
      </c>
      <c r="B4679" s="125" t="s">
        <v>590</v>
      </c>
      <c r="C4679" s="125" t="s">
        <v>494</v>
      </c>
      <c r="D4679" s="125" t="s">
        <v>454</v>
      </c>
      <c r="E4679" s="125" t="s">
        <v>189</v>
      </c>
      <c r="F4679" s="126">
        <v>40611.0</v>
      </c>
      <c r="G4679" s="127">
        <v>9.66E8</v>
      </c>
      <c r="H4679" s="126">
        <v>40621.0</v>
      </c>
      <c r="I4679" s="128">
        <v>9461.0</v>
      </c>
      <c r="J4679" s="128">
        <v>9.33</v>
      </c>
      <c r="K4679" s="128">
        <v>6.92</v>
      </c>
      <c r="L4679" s="128">
        <v>88271.13</v>
      </c>
      <c r="M4679" s="128">
        <v>65470.12</v>
      </c>
      <c r="N4679" s="128">
        <v>22801.01</v>
      </c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</row>
    <row r="4680">
      <c r="A4680" s="125" t="s">
        <v>461</v>
      </c>
      <c r="B4680" s="125" t="s">
        <v>556</v>
      </c>
      <c r="C4680" s="125" t="s">
        <v>468</v>
      </c>
      <c r="D4680" s="125" t="s">
        <v>454</v>
      </c>
      <c r="E4680" s="125" t="s">
        <v>472</v>
      </c>
      <c r="F4680" s="126">
        <v>41794.0</v>
      </c>
      <c r="G4680" s="127">
        <v>4.39E8</v>
      </c>
      <c r="H4680" s="126">
        <v>41812.0</v>
      </c>
      <c r="I4680" s="128">
        <v>7332.0</v>
      </c>
      <c r="J4680" s="128">
        <v>81.73</v>
      </c>
      <c r="K4680" s="128">
        <v>56.67</v>
      </c>
      <c r="L4680" s="128">
        <v>599244.4</v>
      </c>
      <c r="M4680" s="128">
        <v>415504.4</v>
      </c>
      <c r="N4680" s="128">
        <v>183739.9</v>
      </c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</row>
    <row r="4681">
      <c r="A4681" s="125" t="s">
        <v>458</v>
      </c>
      <c r="B4681" s="125" t="s">
        <v>473</v>
      </c>
      <c r="C4681" s="125" t="s">
        <v>453</v>
      </c>
      <c r="D4681" s="125" t="s">
        <v>454</v>
      </c>
      <c r="E4681" s="125" t="s">
        <v>464</v>
      </c>
      <c r="F4681" s="126">
        <v>42567.0</v>
      </c>
      <c r="G4681" s="127">
        <v>5.51E8</v>
      </c>
      <c r="H4681" s="126">
        <v>42597.0</v>
      </c>
      <c r="I4681" s="128">
        <v>6997.0</v>
      </c>
      <c r="J4681" s="128">
        <v>255.28</v>
      </c>
      <c r="K4681" s="128">
        <v>159.42</v>
      </c>
      <c r="L4681" s="128">
        <v>1786194.0</v>
      </c>
      <c r="M4681" s="128">
        <v>1115462.0</v>
      </c>
      <c r="N4681" s="128">
        <v>670732.4</v>
      </c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</row>
    <row r="4682">
      <c r="A4682" s="125" t="s">
        <v>475</v>
      </c>
      <c r="B4682" s="125" t="s">
        <v>571</v>
      </c>
      <c r="C4682" s="125" t="s">
        <v>514</v>
      </c>
      <c r="D4682" s="125" t="s">
        <v>457</v>
      </c>
      <c r="E4682" s="125" t="s">
        <v>472</v>
      </c>
      <c r="F4682" s="126">
        <v>42860.0</v>
      </c>
      <c r="G4682" s="127">
        <v>9.21E8</v>
      </c>
      <c r="H4682" s="126">
        <v>42894.0</v>
      </c>
      <c r="I4682" s="128">
        <v>178.0</v>
      </c>
      <c r="J4682" s="128">
        <v>668.27</v>
      </c>
      <c r="K4682" s="128">
        <v>502.54</v>
      </c>
      <c r="L4682" s="128">
        <v>118952.1</v>
      </c>
      <c r="M4682" s="128">
        <v>89452.12</v>
      </c>
      <c r="N4682" s="128">
        <v>29499.94</v>
      </c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</row>
    <row r="4683">
      <c r="A4683" s="125" t="s">
        <v>475</v>
      </c>
      <c r="B4683" s="125" t="s">
        <v>566</v>
      </c>
      <c r="C4683" s="125" t="s">
        <v>494</v>
      </c>
      <c r="D4683" s="125" t="s">
        <v>457</v>
      </c>
      <c r="E4683" s="125" t="s">
        <v>464</v>
      </c>
      <c r="F4683" s="126">
        <v>41612.0</v>
      </c>
      <c r="G4683" s="127">
        <v>3.35E8</v>
      </c>
      <c r="H4683" s="126">
        <v>41619.0</v>
      </c>
      <c r="I4683" s="128">
        <v>5630.0</v>
      </c>
      <c r="J4683" s="128">
        <v>9.33</v>
      </c>
      <c r="K4683" s="128">
        <v>6.92</v>
      </c>
      <c r="L4683" s="128">
        <v>52527.9</v>
      </c>
      <c r="M4683" s="128">
        <v>38959.6</v>
      </c>
      <c r="N4683" s="128">
        <v>13568.3</v>
      </c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</row>
    <row r="4684">
      <c r="A4684" s="125" t="s">
        <v>475</v>
      </c>
      <c r="B4684" s="125" t="s">
        <v>500</v>
      </c>
      <c r="C4684" s="125" t="s">
        <v>514</v>
      </c>
      <c r="D4684" s="125" t="s">
        <v>454</v>
      </c>
      <c r="E4684" s="125" t="s">
        <v>472</v>
      </c>
      <c r="F4684" s="126">
        <v>40913.0</v>
      </c>
      <c r="G4684" s="127">
        <v>8.02E8</v>
      </c>
      <c r="H4684" s="126">
        <v>40954.0</v>
      </c>
      <c r="I4684" s="128">
        <v>4139.0</v>
      </c>
      <c r="J4684" s="128">
        <v>668.27</v>
      </c>
      <c r="K4684" s="128">
        <v>502.54</v>
      </c>
      <c r="L4684" s="128">
        <v>2765970.0</v>
      </c>
      <c r="M4684" s="128">
        <v>2080013.0</v>
      </c>
      <c r="N4684" s="128">
        <v>685956.5</v>
      </c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</row>
    <row r="4685">
      <c r="A4685" s="125" t="s">
        <v>466</v>
      </c>
      <c r="B4685" s="125" t="s">
        <v>568</v>
      </c>
      <c r="C4685" s="125" t="s">
        <v>478</v>
      </c>
      <c r="D4685" s="125" t="s">
        <v>457</v>
      </c>
      <c r="E4685" s="125" t="s">
        <v>284</v>
      </c>
      <c r="F4685" s="126">
        <v>41861.0</v>
      </c>
      <c r="G4685" s="127">
        <v>7.99E8</v>
      </c>
      <c r="H4685" s="126">
        <v>41873.0</v>
      </c>
      <c r="I4685" s="128">
        <v>3524.0</v>
      </c>
      <c r="J4685" s="128">
        <v>651.21</v>
      </c>
      <c r="K4685" s="128">
        <v>524.96</v>
      </c>
      <c r="L4685" s="128">
        <v>2294864.0</v>
      </c>
      <c r="M4685" s="128">
        <v>1849959.0</v>
      </c>
      <c r="N4685" s="128">
        <v>444905.0</v>
      </c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</row>
    <row r="4686">
      <c r="A4686" s="125" t="s">
        <v>466</v>
      </c>
      <c r="B4686" s="125" t="s">
        <v>531</v>
      </c>
      <c r="C4686" s="125" t="s">
        <v>494</v>
      </c>
      <c r="D4686" s="125" t="s">
        <v>457</v>
      </c>
      <c r="E4686" s="125" t="s">
        <v>189</v>
      </c>
      <c r="F4686" s="126">
        <v>40413.0</v>
      </c>
      <c r="G4686" s="127">
        <v>2.25E8</v>
      </c>
      <c r="H4686" s="126">
        <v>40427.0</v>
      </c>
      <c r="I4686" s="128">
        <v>3631.0</v>
      </c>
      <c r="J4686" s="128">
        <v>9.33</v>
      </c>
      <c r="K4686" s="128">
        <v>6.92</v>
      </c>
      <c r="L4686" s="128">
        <v>33877.23</v>
      </c>
      <c r="M4686" s="128">
        <v>25126.52</v>
      </c>
      <c r="N4686" s="128">
        <v>8750.71</v>
      </c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</row>
    <row r="4687">
      <c r="A4687" s="125" t="s">
        <v>458</v>
      </c>
      <c r="B4687" s="125" t="s">
        <v>594</v>
      </c>
      <c r="C4687" s="125" t="s">
        <v>478</v>
      </c>
      <c r="D4687" s="125" t="s">
        <v>454</v>
      </c>
      <c r="E4687" s="125" t="s">
        <v>189</v>
      </c>
      <c r="F4687" s="126">
        <v>42592.0</v>
      </c>
      <c r="G4687" s="127">
        <v>8.49E8</v>
      </c>
      <c r="H4687" s="126">
        <v>42619.0</v>
      </c>
      <c r="I4687" s="128">
        <v>1342.0</v>
      </c>
      <c r="J4687" s="128">
        <v>651.21</v>
      </c>
      <c r="K4687" s="128">
        <v>524.96</v>
      </c>
      <c r="L4687" s="128">
        <v>873923.8</v>
      </c>
      <c r="M4687" s="128">
        <v>704496.3</v>
      </c>
      <c r="N4687" s="128">
        <v>169427.5</v>
      </c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</row>
    <row r="4688">
      <c r="A4688" s="125" t="s">
        <v>475</v>
      </c>
      <c r="B4688" s="125" t="s">
        <v>651</v>
      </c>
      <c r="C4688" s="125" t="s">
        <v>471</v>
      </c>
      <c r="D4688" s="125" t="s">
        <v>457</v>
      </c>
      <c r="E4688" s="125" t="s">
        <v>189</v>
      </c>
      <c r="F4688" s="126">
        <v>40983.0</v>
      </c>
      <c r="G4688" s="127">
        <v>4.61E8</v>
      </c>
      <c r="H4688" s="126">
        <v>41026.0</v>
      </c>
      <c r="I4688" s="128">
        <v>5568.0</v>
      </c>
      <c r="J4688" s="128">
        <v>109.28</v>
      </c>
      <c r="K4688" s="128">
        <v>35.84</v>
      </c>
      <c r="L4688" s="128">
        <v>608471.0</v>
      </c>
      <c r="M4688" s="128">
        <v>199557.1</v>
      </c>
      <c r="N4688" s="128">
        <v>408913.9</v>
      </c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</row>
    <row r="4689">
      <c r="A4689" s="125" t="s">
        <v>469</v>
      </c>
      <c r="B4689" s="125" t="s">
        <v>650</v>
      </c>
      <c r="C4689" s="125" t="s">
        <v>480</v>
      </c>
      <c r="D4689" s="125" t="s">
        <v>457</v>
      </c>
      <c r="E4689" s="125" t="s">
        <v>464</v>
      </c>
      <c r="F4689" s="126">
        <v>41005.0</v>
      </c>
      <c r="G4689" s="127">
        <v>5.18E8</v>
      </c>
      <c r="H4689" s="126">
        <v>41050.0</v>
      </c>
      <c r="I4689" s="128">
        <v>2250.0</v>
      </c>
      <c r="J4689" s="128">
        <v>437.2</v>
      </c>
      <c r="K4689" s="128">
        <v>263.33</v>
      </c>
      <c r="L4689" s="128">
        <v>983700.0</v>
      </c>
      <c r="M4689" s="128">
        <v>592492.5</v>
      </c>
      <c r="N4689" s="128">
        <v>391207.5</v>
      </c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</row>
    <row r="4690">
      <c r="A4690" s="125" t="s">
        <v>461</v>
      </c>
      <c r="B4690" s="125" t="s">
        <v>586</v>
      </c>
      <c r="C4690" s="125" t="s">
        <v>506</v>
      </c>
      <c r="D4690" s="125" t="s">
        <v>454</v>
      </c>
      <c r="E4690" s="125" t="s">
        <v>464</v>
      </c>
      <c r="F4690" s="126">
        <v>42936.0</v>
      </c>
      <c r="G4690" s="127">
        <v>3.02E8</v>
      </c>
      <c r="H4690" s="126">
        <v>42964.0</v>
      </c>
      <c r="I4690" s="128">
        <v>9363.0</v>
      </c>
      <c r="J4690" s="128">
        <v>154.06</v>
      </c>
      <c r="K4690" s="128">
        <v>90.93</v>
      </c>
      <c r="L4690" s="128">
        <v>1442464.0</v>
      </c>
      <c r="M4690" s="128">
        <v>851377.6</v>
      </c>
      <c r="N4690" s="128">
        <v>591086.2</v>
      </c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</row>
    <row r="4691">
      <c r="A4691" s="125" t="s">
        <v>458</v>
      </c>
      <c r="B4691" s="125" t="s">
        <v>653</v>
      </c>
      <c r="C4691" s="125" t="s">
        <v>463</v>
      </c>
      <c r="D4691" s="125" t="s">
        <v>457</v>
      </c>
      <c r="E4691" s="125" t="s">
        <v>189</v>
      </c>
      <c r="F4691" s="126">
        <v>40526.0</v>
      </c>
      <c r="G4691" s="127">
        <v>9.63E8</v>
      </c>
      <c r="H4691" s="126">
        <v>40551.0</v>
      </c>
      <c r="I4691" s="128">
        <v>1911.0</v>
      </c>
      <c r="J4691" s="128">
        <v>205.7</v>
      </c>
      <c r="K4691" s="128">
        <v>117.11</v>
      </c>
      <c r="L4691" s="128">
        <v>393092.7</v>
      </c>
      <c r="M4691" s="128">
        <v>223797.2</v>
      </c>
      <c r="N4691" s="128">
        <v>169295.5</v>
      </c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</row>
    <row r="4692">
      <c r="A4692" s="125" t="s">
        <v>475</v>
      </c>
      <c r="B4692" s="125" t="s">
        <v>548</v>
      </c>
      <c r="C4692" s="125" t="s">
        <v>460</v>
      </c>
      <c r="D4692" s="125" t="s">
        <v>454</v>
      </c>
      <c r="E4692" s="125" t="s">
        <v>284</v>
      </c>
      <c r="F4692" s="126">
        <v>41745.0</v>
      </c>
      <c r="G4692" s="127">
        <v>5.69E8</v>
      </c>
      <c r="H4692" s="126">
        <v>41778.0</v>
      </c>
      <c r="I4692" s="128">
        <v>6930.0</v>
      </c>
      <c r="J4692" s="128">
        <v>47.45</v>
      </c>
      <c r="K4692" s="128">
        <v>31.79</v>
      </c>
      <c r="L4692" s="128">
        <v>328828.5</v>
      </c>
      <c r="M4692" s="128">
        <v>220304.7</v>
      </c>
      <c r="N4692" s="128">
        <v>108523.8</v>
      </c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</row>
    <row r="4693">
      <c r="A4693" s="125" t="s">
        <v>469</v>
      </c>
      <c r="B4693" s="125" t="s">
        <v>470</v>
      </c>
      <c r="C4693" s="125" t="s">
        <v>478</v>
      </c>
      <c r="D4693" s="125" t="s">
        <v>457</v>
      </c>
      <c r="E4693" s="125" t="s">
        <v>472</v>
      </c>
      <c r="F4693" s="126">
        <v>42505.0</v>
      </c>
      <c r="G4693" s="127">
        <v>8.63E8</v>
      </c>
      <c r="H4693" s="126">
        <v>42541.0</v>
      </c>
      <c r="I4693" s="128">
        <v>8488.0</v>
      </c>
      <c r="J4693" s="128">
        <v>651.21</v>
      </c>
      <c r="K4693" s="128">
        <v>524.96</v>
      </c>
      <c r="L4693" s="128">
        <v>5527470.0</v>
      </c>
      <c r="M4693" s="128">
        <v>4455860.0</v>
      </c>
      <c r="N4693" s="128">
        <v>1071610.0</v>
      </c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</row>
    <row r="4694">
      <c r="A4694" s="125" t="s">
        <v>475</v>
      </c>
      <c r="B4694" s="125" t="s">
        <v>552</v>
      </c>
      <c r="C4694" s="125" t="s">
        <v>463</v>
      </c>
      <c r="D4694" s="125" t="s">
        <v>454</v>
      </c>
      <c r="E4694" s="125" t="s">
        <v>464</v>
      </c>
      <c r="F4694" s="126">
        <v>41872.0</v>
      </c>
      <c r="G4694" s="127">
        <v>5.06E8</v>
      </c>
      <c r="H4694" s="126">
        <v>41905.0</v>
      </c>
      <c r="I4694" s="128">
        <v>2684.0</v>
      </c>
      <c r="J4694" s="128">
        <v>205.7</v>
      </c>
      <c r="K4694" s="128">
        <v>117.11</v>
      </c>
      <c r="L4694" s="128">
        <v>552098.8</v>
      </c>
      <c r="M4694" s="128">
        <v>314323.2</v>
      </c>
      <c r="N4694" s="128">
        <v>237775.6</v>
      </c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</row>
    <row r="4695">
      <c r="A4695" s="125" t="s">
        <v>458</v>
      </c>
      <c r="B4695" s="125" t="s">
        <v>551</v>
      </c>
      <c r="C4695" s="125" t="s">
        <v>506</v>
      </c>
      <c r="D4695" s="125" t="s">
        <v>457</v>
      </c>
      <c r="E4695" s="125" t="s">
        <v>472</v>
      </c>
      <c r="F4695" s="126">
        <v>40686.0</v>
      </c>
      <c r="G4695" s="127">
        <v>9.27E8</v>
      </c>
      <c r="H4695" s="126">
        <v>40696.0</v>
      </c>
      <c r="I4695" s="128">
        <v>2647.0</v>
      </c>
      <c r="J4695" s="128">
        <v>154.06</v>
      </c>
      <c r="K4695" s="128">
        <v>90.93</v>
      </c>
      <c r="L4695" s="128">
        <v>407796.8</v>
      </c>
      <c r="M4695" s="128">
        <v>240691.7</v>
      </c>
      <c r="N4695" s="128">
        <v>167105.1</v>
      </c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</row>
    <row r="4696">
      <c r="A4696" s="125" t="s">
        <v>469</v>
      </c>
      <c r="B4696" s="125" t="s">
        <v>501</v>
      </c>
      <c r="C4696" s="125" t="s">
        <v>478</v>
      </c>
      <c r="D4696" s="125" t="s">
        <v>454</v>
      </c>
      <c r="E4696" s="125" t="s">
        <v>284</v>
      </c>
      <c r="F4696" s="126">
        <v>42940.0</v>
      </c>
      <c r="G4696" s="127">
        <v>4.8E8</v>
      </c>
      <c r="H4696" s="126">
        <v>42958.0</v>
      </c>
      <c r="I4696" s="128">
        <v>3539.0</v>
      </c>
      <c r="J4696" s="128">
        <v>651.21</v>
      </c>
      <c r="K4696" s="128">
        <v>524.96</v>
      </c>
      <c r="L4696" s="128">
        <v>2304632.0</v>
      </c>
      <c r="M4696" s="128">
        <v>1857833.0</v>
      </c>
      <c r="N4696" s="128">
        <v>446798.8</v>
      </c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</row>
    <row r="4697">
      <c r="A4697" s="125" t="s">
        <v>451</v>
      </c>
      <c r="B4697" s="125" t="s">
        <v>592</v>
      </c>
      <c r="C4697" s="125" t="s">
        <v>468</v>
      </c>
      <c r="D4697" s="125" t="s">
        <v>457</v>
      </c>
      <c r="E4697" s="125" t="s">
        <v>284</v>
      </c>
      <c r="F4697" s="126">
        <v>40569.0</v>
      </c>
      <c r="G4697" s="127">
        <v>2.86E8</v>
      </c>
      <c r="H4697" s="126">
        <v>40613.0</v>
      </c>
      <c r="I4697" s="128">
        <v>7552.0</v>
      </c>
      <c r="J4697" s="128">
        <v>81.73</v>
      </c>
      <c r="K4697" s="128">
        <v>56.67</v>
      </c>
      <c r="L4697" s="128">
        <v>617225.0</v>
      </c>
      <c r="M4697" s="128">
        <v>427971.8</v>
      </c>
      <c r="N4697" s="128">
        <v>189253.1</v>
      </c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</row>
    <row r="4698">
      <c r="A4698" s="125" t="s">
        <v>466</v>
      </c>
      <c r="B4698" s="125" t="s">
        <v>531</v>
      </c>
      <c r="C4698" s="125" t="s">
        <v>456</v>
      </c>
      <c r="D4698" s="125" t="s">
        <v>457</v>
      </c>
      <c r="E4698" s="125" t="s">
        <v>189</v>
      </c>
      <c r="F4698" s="126">
        <v>42495.0</v>
      </c>
      <c r="G4698" s="127">
        <v>1.88E8</v>
      </c>
      <c r="H4698" s="126">
        <v>42533.0</v>
      </c>
      <c r="I4698" s="128">
        <v>8909.0</v>
      </c>
      <c r="J4698" s="128">
        <v>152.58</v>
      </c>
      <c r="K4698" s="128">
        <v>97.44</v>
      </c>
      <c r="L4698" s="128">
        <v>1359335.0</v>
      </c>
      <c r="M4698" s="128">
        <v>868093.0</v>
      </c>
      <c r="N4698" s="128">
        <v>491242.3</v>
      </c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</row>
    <row r="4699">
      <c r="A4699" s="125" t="s">
        <v>475</v>
      </c>
      <c r="B4699" s="125" t="s">
        <v>636</v>
      </c>
      <c r="C4699" s="125" t="s">
        <v>468</v>
      </c>
      <c r="D4699" s="125" t="s">
        <v>454</v>
      </c>
      <c r="E4699" s="125" t="s">
        <v>472</v>
      </c>
      <c r="F4699" s="126">
        <v>42813.0</v>
      </c>
      <c r="G4699" s="127">
        <v>9.97E8</v>
      </c>
      <c r="H4699" s="126">
        <v>42855.0</v>
      </c>
      <c r="I4699" s="128">
        <v>8865.0</v>
      </c>
      <c r="J4699" s="128">
        <v>81.73</v>
      </c>
      <c r="K4699" s="128">
        <v>56.67</v>
      </c>
      <c r="L4699" s="128">
        <v>724536.5</v>
      </c>
      <c r="M4699" s="128">
        <v>502379.6</v>
      </c>
      <c r="N4699" s="128">
        <v>222156.9</v>
      </c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</row>
    <row r="4700">
      <c r="A4700" s="125" t="s">
        <v>475</v>
      </c>
      <c r="B4700" s="125" t="s">
        <v>537</v>
      </c>
      <c r="C4700" s="125" t="s">
        <v>478</v>
      </c>
      <c r="D4700" s="125" t="s">
        <v>457</v>
      </c>
      <c r="E4700" s="125" t="s">
        <v>472</v>
      </c>
      <c r="F4700" s="126">
        <v>41542.0</v>
      </c>
      <c r="G4700" s="127">
        <v>4.47E8</v>
      </c>
      <c r="H4700" s="126">
        <v>41548.0</v>
      </c>
      <c r="I4700" s="128">
        <v>707.0</v>
      </c>
      <c r="J4700" s="128">
        <v>651.21</v>
      </c>
      <c r="K4700" s="128">
        <v>524.96</v>
      </c>
      <c r="L4700" s="128">
        <v>460405.5</v>
      </c>
      <c r="M4700" s="128">
        <v>371146.7</v>
      </c>
      <c r="N4700" s="128">
        <v>89258.75</v>
      </c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</row>
    <row r="4701">
      <c r="A4701" s="125" t="s">
        <v>458</v>
      </c>
      <c r="B4701" s="125" t="s">
        <v>505</v>
      </c>
      <c r="C4701" s="125" t="s">
        <v>514</v>
      </c>
      <c r="D4701" s="125" t="s">
        <v>454</v>
      </c>
      <c r="E4701" s="125" t="s">
        <v>472</v>
      </c>
      <c r="F4701" s="126">
        <v>40471.0</v>
      </c>
      <c r="G4701" s="127">
        <v>8.41E8</v>
      </c>
      <c r="H4701" s="126">
        <v>40495.0</v>
      </c>
      <c r="I4701" s="128">
        <v>4752.0</v>
      </c>
      <c r="J4701" s="128">
        <v>668.27</v>
      </c>
      <c r="K4701" s="128">
        <v>502.54</v>
      </c>
      <c r="L4701" s="128">
        <v>3175619.0</v>
      </c>
      <c r="M4701" s="128">
        <v>2388070.0</v>
      </c>
      <c r="N4701" s="128">
        <v>787549.0</v>
      </c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</row>
    <row r="4702">
      <c r="A4702" s="125" t="s">
        <v>466</v>
      </c>
      <c r="B4702" s="125" t="s">
        <v>625</v>
      </c>
      <c r="C4702" s="125" t="s">
        <v>456</v>
      </c>
      <c r="D4702" s="125" t="s">
        <v>454</v>
      </c>
      <c r="E4702" s="125" t="s">
        <v>189</v>
      </c>
      <c r="F4702" s="126">
        <v>41778.0</v>
      </c>
      <c r="G4702" s="127">
        <v>5.02E8</v>
      </c>
      <c r="H4702" s="126">
        <v>41828.0</v>
      </c>
      <c r="I4702" s="128">
        <v>3349.0</v>
      </c>
      <c r="J4702" s="128">
        <v>152.58</v>
      </c>
      <c r="K4702" s="128">
        <v>97.44</v>
      </c>
      <c r="L4702" s="128">
        <v>510990.4</v>
      </c>
      <c r="M4702" s="128">
        <v>326326.6</v>
      </c>
      <c r="N4702" s="128">
        <v>184663.9</v>
      </c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</row>
    <row r="4703">
      <c r="A4703" s="125" t="s">
        <v>461</v>
      </c>
      <c r="B4703" s="125" t="s">
        <v>462</v>
      </c>
      <c r="C4703" s="125" t="s">
        <v>456</v>
      </c>
      <c r="D4703" s="125" t="s">
        <v>457</v>
      </c>
      <c r="E4703" s="125" t="s">
        <v>284</v>
      </c>
      <c r="F4703" s="126">
        <v>41117.0</v>
      </c>
      <c r="G4703" s="127">
        <v>5.24E8</v>
      </c>
      <c r="H4703" s="126">
        <v>41142.0</v>
      </c>
      <c r="I4703" s="128">
        <v>5877.0</v>
      </c>
      <c r="J4703" s="128">
        <v>152.58</v>
      </c>
      <c r="K4703" s="128">
        <v>97.44</v>
      </c>
      <c r="L4703" s="128">
        <v>896712.7</v>
      </c>
      <c r="M4703" s="128">
        <v>572654.9</v>
      </c>
      <c r="N4703" s="128">
        <v>324057.8</v>
      </c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</row>
    <row r="4704">
      <c r="A4704" s="125" t="s">
        <v>458</v>
      </c>
      <c r="B4704" s="125" t="s">
        <v>606</v>
      </c>
      <c r="C4704" s="125" t="s">
        <v>506</v>
      </c>
      <c r="D4704" s="125" t="s">
        <v>454</v>
      </c>
      <c r="E4704" s="125" t="s">
        <v>472</v>
      </c>
      <c r="F4704" s="126">
        <v>42825.0</v>
      </c>
      <c r="G4704" s="127">
        <v>7.22E8</v>
      </c>
      <c r="H4704" s="126">
        <v>42831.0</v>
      </c>
      <c r="I4704" s="128">
        <v>3747.0</v>
      </c>
      <c r="J4704" s="128">
        <v>154.06</v>
      </c>
      <c r="K4704" s="128">
        <v>90.93</v>
      </c>
      <c r="L4704" s="128">
        <v>577262.8</v>
      </c>
      <c r="M4704" s="128">
        <v>340714.7</v>
      </c>
      <c r="N4704" s="128">
        <v>236548.1</v>
      </c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</row>
    <row r="4705">
      <c r="A4705" s="125" t="s">
        <v>475</v>
      </c>
      <c r="B4705" s="125" t="s">
        <v>657</v>
      </c>
      <c r="C4705" s="125" t="s">
        <v>460</v>
      </c>
      <c r="D4705" s="125" t="s">
        <v>457</v>
      </c>
      <c r="E4705" s="125" t="s">
        <v>284</v>
      </c>
      <c r="F4705" s="126">
        <v>41951.0</v>
      </c>
      <c r="G4705" s="127">
        <v>9.8E8</v>
      </c>
      <c r="H4705" s="126">
        <v>41989.0</v>
      </c>
      <c r="I4705" s="128">
        <v>5402.0</v>
      </c>
      <c r="J4705" s="128">
        <v>47.45</v>
      </c>
      <c r="K4705" s="128">
        <v>31.79</v>
      </c>
      <c r="L4705" s="128">
        <v>256324.9</v>
      </c>
      <c r="M4705" s="128">
        <v>171729.6</v>
      </c>
      <c r="N4705" s="128">
        <v>84595.32</v>
      </c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</row>
    <row r="4706">
      <c r="A4706" s="125" t="s">
        <v>488</v>
      </c>
      <c r="B4706" s="125" t="s">
        <v>489</v>
      </c>
      <c r="C4706" s="125" t="s">
        <v>480</v>
      </c>
      <c r="D4706" s="125" t="s">
        <v>457</v>
      </c>
      <c r="E4706" s="125" t="s">
        <v>472</v>
      </c>
      <c r="F4706" s="126">
        <v>42230.0</v>
      </c>
      <c r="G4706" s="127">
        <v>8.02E8</v>
      </c>
      <c r="H4706" s="126">
        <v>42256.0</v>
      </c>
      <c r="I4706" s="128">
        <v>1316.0</v>
      </c>
      <c r="J4706" s="128">
        <v>437.2</v>
      </c>
      <c r="K4706" s="128">
        <v>263.33</v>
      </c>
      <c r="L4706" s="128">
        <v>575355.2</v>
      </c>
      <c r="M4706" s="128">
        <v>346542.3</v>
      </c>
      <c r="N4706" s="128">
        <v>228812.9</v>
      </c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</row>
    <row r="4707">
      <c r="A4707" s="125" t="s">
        <v>458</v>
      </c>
      <c r="B4707" s="125" t="s">
        <v>545</v>
      </c>
      <c r="C4707" s="125" t="s">
        <v>485</v>
      </c>
      <c r="D4707" s="125" t="s">
        <v>454</v>
      </c>
      <c r="E4707" s="125" t="s">
        <v>472</v>
      </c>
      <c r="F4707" s="126">
        <v>40868.0</v>
      </c>
      <c r="G4707" s="127">
        <v>6.63E8</v>
      </c>
      <c r="H4707" s="126">
        <v>40887.0</v>
      </c>
      <c r="I4707" s="128">
        <v>8994.0</v>
      </c>
      <c r="J4707" s="128">
        <v>421.89</v>
      </c>
      <c r="K4707" s="128">
        <v>364.69</v>
      </c>
      <c r="L4707" s="128">
        <v>3794479.0</v>
      </c>
      <c r="M4707" s="128">
        <v>3280022.0</v>
      </c>
      <c r="N4707" s="128">
        <v>514456.8</v>
      </c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</row>
    <row r="4708">
      <c r="A4708" s="125" t="s">
        <v>475</v>
      </c>
      <c r="B4708" s="125" t="s">
        <v>657</v>
      </c>
      <c r="C4708" s="125" t="s">
        <v>480</v>
      </c>
      <c r="D4708" s="125" t="s">
        <v>457</v>
      </c>
      <c r="E4708" s="125" t="s">
        <v>472</v>
      </c>
      <c r="F4708" s="126">
        <v>40997.0</v>
      </c>
      <c r="G4708" s="127">
        <v>6.59E8</v>
      </c>
      <c r="H4708" s="126">
        <v>41021.0</v>
      </c>
      <c r="I4708" s="128">
        <v>7971.0</v>
      </c>
      <c r="J4708" s="128">
        <v>437.2</v>
      </c>
      <c r="K4708" s="128">
        <v>263.33</v>
      </c>
      <c r="L4708" s="128">
        <v>3484921.0</v>
      </c>
      <c r="M4708" s="128">
        <v>2099003.0</v>
      </c>
      <c r="N4708" s="128">
        <v>1385918.0</v>
      </c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</row>
    <row r="4709">
      <c r="A4709" s="125" t="s">
        <v>475</v>
      </c>
      <c r="B4709" s="125" t="s">
        <v>636</v>
      </c>
      <c r="C4709" s="125" t="s">
        <v>514</v>
      </c>
      <c r="D4709" s="125" t="s">
        <v>454</v>
      </c>
      <c r="E4709" s="125" t="s">
        <v>189</v>
      </c>
      <c r="F4709" s="126">
        <v>41984.0</v>
      </c>
      <c r="G4709" s="127">
        <v>9.56E8</v>
      </c>
      <c r="H4709" s="126">
        <v>42024.0</v>
      </c>
      <c r="I4709" s="128">
        <v>4815.0</v>
      </c>
      <c r="J4709" s="128">
        <v>668.27</v>
      </c>
      <c r="K4709" s="128">
        <v>502.54</v>
      </c>
      <c r="L4709" s="128">
        <v>3217720.0</v>
      </c>
      <c r="M4709" s="128">
        <v>2419730.0</v>
      </c>
      <c r="N4709" s="128">
        <v>797990.0</v>
      </c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</row>
    <row r="4710">
      <c r="A4710" s="125" t="s">
        <v>458</v>
      </c>
      <c r="B4710" s="125" t="s">
        <v>547</v>
      </c>
      <c r="C4710" s="125" t="s">
        <v>463</v>
      </c>
      <c r="D4710" s="125" t="s">
        <v>454</v>
      </c>
      <c r="E4710" s="125" t="s">
        <v>464</v>
      </c>
      <c r="F4710" s="126">
        <v>40823.0</v>
      </c>
      <c r="G4710" s="127">
        <v>4.4E8</v>
      </c>
      <c r="H4710" s="126">
        <v>40849.0</v>
      </c>
      <c r="I4710" s="128">
        <v>8124.0</v>
      </c>
      <c r="J4710" s="128">
        <v>205.7</v>
      </c>
      <c r="K4710" s="128">
        <v>117.11</v>
      </c>
      <c r="L4710" s="128">
        <v>1671107.0</v>
      </c>
      <c r="M4710" s="128">
        <v>951401.6</v>
      </c>
      <c r="N4710" s="128">
        <v>719705.2</v>
      </c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</row>
    <row r="4711">
      <c r="A4711" s="125" t="s">
        <v>458</v>
      </c>
      <c r="B4711" s="125" t="s">
        <v>652</v>
      </c>
      <c r="C4711" s="125" t="s">
        <v>514</v>
      </c>
      <c r="D4711" s="125" t="s">
        <v>457</v>
      </c>
      <c r="E4711" s="125" t="s">
        <v>472</v>
      </c>
      <c r="F4711" s="126">
        <v>41809.0</v>
      </c>
      <c r="G4711" s="127">
        <v>7.66E8</v>
      </c>
      <c r="H4711" s="126">
        <v>41841.0</v>
      </c>
      <c r="I4711" s="128">
        <v>3530.0</v>
      </c>
      <c r="J4711" s="128">
        <v>668.27</v>
      </c>
      <c r="K4711" s="128">
        <v>502.54</v>
      </c>
      <c r="L4711" s="128">
        <v>2358993.0</v>
      </c>
      <c r="M4711" s="128">
        <v>1773966.0</v>
      </c>
      <c r="N4711" s="128">
        <v>585026.9</v>
      </c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</row>
    <row r="4712">
      <c r="A4712" s="125" t="s">
        <v>475</v>
      </c>
      <c r="B4712" s="125" t="s">
        <v>657</v>
      </c>
      <c r="C4712" s="125" t="s">
        <v>494</v>
      </c>
      <c r="D4712" s="125" t="s">
        <v>454</v>
      </c>
      <c r="E4712" s="125" t="s">
        <v>284</v>
      </c>
      <c r="F4712" s="126">
        <v>41330.0</v>
      </c>
      <c r="G4712" s="127">
        <v>5.12E8</v>
      </c>
      <c r="H4712" s="126">
        <v>41349.0</v>
      </c>
      <c r="I4712" s="128">
        <v>8691.0</v>
      </c>
      <c r="J4712" s="128">
        <v>9.33</v>
      </c>
      <c r="K4712" s="128">
        <v>6.92</v>
      </c>
      <c r="L4712" s="128">
        <v>81087.03</v>
      </c>
      <c r="M4712" s="128">
        <v>60141.72</v>
      </c>
      <c r="N4712" s="128">
        <v>20945.31</v>
      </c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</row>
    <row r="4713">
      <c r="A4713" s="125" t="s">
        <v>458</v>
      </c>
      <c r="B4713" s="125" t="s">
        <v>486</v>
      </c>
      <c r="C4713" s="125" t="s">
        <v>463</v>
      </c>
      <c r="D4713" s="125" t="s">
        <v>454</v>
      </c>
      <c r="E4713" s="125" t="s">
        <v>189</v>
      </c>
      <c r="F4713" s="126">
        <v>40311.0</v>
      </c>
      <c r="G4713" s="127">
        <v>1.24E8</v>
      </c>
      <c r="H4713" s="126">
        <v>40351.0</v>
      </c>
      <c r="I4713" s="128">
        <v>8302.0</v>
      </c>
      <c r="J4713" s="128">
        <v>205.7</v>
      </c>
      <c r="K4713" s="128">
        <v>117.11</v>
      </c>
      <c r="L4713" s="128">
        <v>1707721.0</v>
      </c>
      <c r="M4713" s="128">
        <v>972247.2</v>
      </c>
      <c r="N4713" s="128">
        <v>735474.2</v>
      </c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</row>
    <row r="4714">
      <c r="A4714" s="125" t="s">
        <v>458</v>
      </c>
      <c r="B4714" s="125" t="s">
        <v>540</v>
      </c>
      <c r="C4714" s="125" t="s">
        <v>456</v>
      </c>
      <c r="D4714" s="125" t="s">
        <v>457</v>
      </c>
      <c r="E4714" s="125" t="s">
        <v>189</v>
      </c>
      <c r="F4714" s="126">
        <v>42832.0</v>
      </c>
      <c r="G4714" s="127">
        <v>5.69E8</v>
      </c>
      <c r="H4714" s="126">
        <v>42838.0</v>
      </c>
      <c r="I4714" s="128">
        <v>9085.0</v>
      </c>
      <c r="J4714" s="128">
        <v>152.58</v>
      </c>
      <c r="K4714" s="128">
        <v>97.44</v>
      </c>
      <c r="L4714" s="128">
        <v>1386189.0</v>
      </c>
      <c r="M4714" s="128">
        <v>885242.4</v>
      </c>
      <c r="N4714" s="128">
        <v>500946.9</v>
      </c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</row>
    <row r="4715">
      <c r="A4715" s="125" t="s">
        <v>458</v>
      </c>
      <c r="B4715" s="125" t="s">
        <v>518</v>
      </c>
      <c r="C4715" s="125" t="s">
        <v>468</v>
      </c>
      <c r="D4715" s="125" t="s">
        <v>454</v>
      </c>
      <c r="E4715" s="125" t="s">
        <v>464</v>
      </c>
      <c r="F4715" s="126">
        <v>40914.0</v>
      </c>
      <c r="G4715" s="127">
        <v>1.86E8</v>
      </c>
      <c r="H4715" s="126">
        <v>40935.0</v>
      </c>
      <c r="I4715" s="128">
        <v>4796.0</v>
      </c>
      <c r="J4715" s="128">
        <v>81.73</v>
      </c>
      <c r="K4715" s="128">
        <v>56.67</v>
      </c>
      <c r="L4715" s="128">
        <v>391977.1</v>
      </c>
      <c r="M4715" s="128">
        <v>271789.3</v>
      </c>
      <c r="N4715" s="128">
        <v>120187.8</v>
      </c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</row>
    <row r="4716">
      <c r="A4716" s="125" t="s">
        <v>475</v>
      </c>
      <c r="B4716" s="125" t="s">
        <v>552</v>
      </c>
      <c r="C4716" s="125" t="s">
        <v>471</v>
      </c>
      <c r="D4716" s="125" t="s">
        <v>454</v>
      </c>
      <c r="E4716" s="125" t="s">
        <v>472</v>
      </c>
      <c r="F4716" s="126">
        <v>40800.0</v>
      </c>
      <c r="G4716" s="127">
        <v>5.32E8</v>
      </c>
      <c r="H4716" s="126">
        <v>40849.0</v>
      </c>
      <c r="I4716" s="128">
        <v>1221.0</v>
      </c>
      <c r="J4716" s="128">
        <v>109.28</v>
      </c>
      <c r="K4716" s="128">
        <v>35.84</v>
      </c>
      <c r="L4716" s="128">
        <v>133430.9</v>
      </c>
      <c r="M4716" s="128">
        <v>43760.64</v>
      </c>
      <c r="N4716" s="128">
        <v>89670.24</v>
      </c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</row>
    <row r="4717">
      <c r="A4717" s="125" t="s">
        <v>458</v>
      </c>
      <c r="B4717" s="125" t="s">
        <v>547</v>
      </c>
      <c r="C4717" s="125" t="s">
        <v>506</v>
      </c>
      <c r="D4717" s="125" t="s">
        <v>454</v>
      </c>
      <c r="E4717" s="125" t="s">
        <v>472</v>
      </c>
      <c r="F4717" s="126">
        <v>42204.0</v>
      </c>
      <c r="G4717" s="127">
        <v>5.35E8</v>
      </c>
      <c r="H4717" s="126">
        <v>42249.0</v>
      </c>
      <c r="I4717" s="128">
        <v>1176.0</v>
      </c>
      <c r="J4717" s="128">
        <v>154.06</v>
      </c>
      <c r="K4717" s="128">
        <v>90.93</v>
      </c>
      <c r="L4717" s="128">
        <v>181174.6</v>
      </c>
      <c r="M4717" s="128">
        <v>106933.7</v>
      </c>
      <c r="N4717" s="128">
        <v>74240.88</v>
      </c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</row>
    <row r="4718">
      <c r="A4718" s="125" t="s">
        <v>475</v>
      </c>
      <c r="B4718" s="125" t="s">
        <v>500</v>
      </c>
      <c r="C4718" s="125" t="s">
        <v>514</v>
      </c>
      <c r="D4718" s="125" t="s">
        <v>454</v>
      </c>
      <c r="E4718" s="125" t="s">
        <v>472</v>
      </c>
      <c r="F4718" s="126">
        <v>42464.0</v>
      </c>
      <c r="G4718" s="127">
        <v>5.43E8</v>
      </c>
      <c r="H4718" s="126">
        <v>42488.0</v>
      </c>
      <c r="I4718" s="128">
        <v>9511.0</v>
      </c>
      <c r="J4718" s="128">
        <v>668.27</v>
      </c>
      <c r="K4718" s="128">
        <v>502.54</v>
      </c>
      <c r="L4718" s="128">
        <v>6355916.0</v>
      </c>
      <c r="M4718" s="128">
        <v>4779658.0</v>
      </c>
      <c r="N4718" s="128">
        <v>1576258.0</v>
      </c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</row>
    <row r="4719">
      <c r="A4719" s="125" t="s">
        <v>475</v>
      </c>
      <c r="B4719" s="125" t="s">
        <v>623</v>
      </c>
      <c r="C4719" s="125" t="s">
        <v>485</v>
      </c>
      <c r="D4719" s="125" t="s">
        <v>454</v>
      </c>
      <c r="E4719" s="125" t="s">
        <v>284</v>
      </c>
      <c r="F4719" s="126">
        <v>40690.0</v>
      </c>
      <c r="G4719" s="127">
        <v>9.76E8</v>
      </c>
      <c r="H4719" s="126">
        <v>40734.0</v>
      </c>
      <c r="I4719" s="128">
        <v>8106.0</v>
      </c>
      <c r="J4719" s="128">
        <v>421.89</v>
      </c>
      <c r="K4719" s="128">
        <v>364.69</v>
      </c>
      <c r="L4719" s="128">
        <v>3419840.0</v>
      </c>
      <c r="M4719" s="128">
        <v>2956177.0</v>
      </c>
      <c r="N4719" s="128">
        <v>463663.2</v>
      </c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</row>
    <row r="4720">
      <c r="A4720" s="125" t="s">
        <v>475</v>
      </c>
      <c r="B4720" s="125" t="s">
        <v>640</v>
      </c>
      <c r="C4720" s="125" t="s">
        <v>453</v>
      </c>
      <c r="D4720" s="125" t="s">
        <v>457</v>
      </c>
      <c r="E4720" s="125" t="s">
        <v>284</v>
      </c>
      <c r="F4720" s="126">
        <v>41913.0</v>
      </c>
      <c r="G4720" s="127">
        <v>9.73E8</v>
      </c>
      <c r="H4720" s="126">
        <v>41934.0</v>
      </c>
      <c r="I4720" s="128">
        <v>872.0</v>
      </c>
      <c r="J4720" s="128">
        <v>255.28</v>
      </c>
      <c r="K4720" s="128">
        <v>159.42</v>
      </c>
      <c r="L4720" s="128">
        <v>222604.2</v>
      </c>
      <c r="M4720" s="128">
        <v>139014.2</v>
      </c>
      <c r="N4720" s="128">
        <v>83589.92</v>
      </c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</row>
    <row r="4721">
      <c r="A4721" s="125" t="s">
        <v>475</v>
      </c>
      <c r="B4721" s="125" t="s">
        <v>562</v>
      </c>
      <c r="C4721" s="125" t="s">
        <v>514</v>
      </c>
      <c r="D4721" s="125" t="s">
        <v>454</v>
      </c>
      <c r="E4721" s="125" t="s">
        <v>464</v>
      </c>
      <c r="F4721" s="126">
        <v>41871.0</v>
      </c>
      <c r="G4721" s="127">
        <v>6.43E8</v>
      </c>
      <c r="H4721" s="126">
        <v>41883.0</v>
      </c>
      <c r="I4721" s="128">
        <v>8750.0</v>
      </c>
      <c r="J4721" s="128">
        <v>668.27</v>
      </c>
      <c r="K4721" s="128">
        <v>502.54</v>
      </c>
      <c r="L4721" s="128">
        <v>5847363.0</v>
      </c>
      <c r="M4721" s="128">
        <v>4397225.0</v>
      </c>
      <c r="N4721" s="128">
        <v>1450138.0</v>
      </c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</row>
    <row r="4722">
      <c r="A4722" s="125" t="s">
        <v>469</v>
      </c>
      <c r="B4722" s="125" t="s">
        <v>569</v>
      </c>
      <c r="C4722" s="125" t="s">
        <v>456</v>
      </c>
      <c r="D4722" s="125" t="s">
        <v>457</v>
      </c>
      <c r="E4722" s="125" t="s">
        <v>472</v>
      </c>
      <c r="F4722" s="126">
        <v>42226.0</v>
      </c>
      <c r="G4722" s="127">
        <v>6.15E8</v>
      </c>
      <c r="H4722" s="126">
        <v>42265.0</v>
      </c>
      <c r="I4722" s="128">
        <v>4716.0</v>
      </c>
      <c r="J4722" s="128">
        <v>152.58</v>
      </c>
      <c r="K4722" s="128">
        <v>97.44</v>
      </c>
      <c r="L4722" s="128">
        <v>719567.3</v>
      </c>
      <c r="M4722" s="128">
        <v>459527.0</v>
      </c>
      <c r="N4722" s="128">
        <v>260040.2</v>
      </c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</row>
    <row r="4723">
      <c r="A4723" s="125" t="s">
        <v>461</v>
      </c>
      <c r="B4723" s="125" t="s">
        <v>522</v>
      </c>
      <c r="C4723" s="125" t="s">
        <v>468</v>
      </c>
      <c r="D4723" s="125" t="s">
        <v>457</v>
      </c>
      <c r="E4723" s="125" t="s">
        <v>464</v>
      </c>
      <c r="F4723" s="126">
        <v>40876.0</v>
      </c>
      <c r="G4723" s="127">
        <v>6.91E8</v>
      </c>
      <c r="H4723" s="126">
        <v>40884.0</v>
      </c>
      <c r="I4723" s="128">
        <v>8772.0</v>
      </c>
      <c r="J4723" s="128">
        <v>81.73</v>
      </c>
      <c r="K4723" s="128">
        <v>56.67</v>
      </c>
      <c r="L4723" s="128">
        <v>716935.6</v>
      </c>
      <c r="M4723" s="128">
        <v>497109.2</v>
      </c>
      <c r="N4723" s="128">
        <v>219826.3</v>
      </c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</row>
    <row r="4724">
      <c r="A4724" s="125" t="s">
        <v>475</v>
      </c>
      <c r="B4724" s="125" t="s">
        <v>558</v>
      </c>
      <c r="C4724" s="125" t="s">
        <v>463</v>
      </c>
      <c r="D4724" s="125" t="s">
        <v>457</v>
      </c>
      <c r="E4724" s="125" t="s">
        <v>189</v>
      </c>
      <c r="F4724" s="126">
        <v>41643.0</v>
      </c>
      <c r="G4724" s="127">
        <v>2.89E8</v>
      </c>
      <c r="H4724" s="126">
        <v>41686.0</v>
      </c>
      <c r="I4724" s="128">
        <v>2957.0</v>
      </c>
      <c r="J4724" s="128">
        <v>205.7</v>
      </c>
      <c r="K4724" s="128">
        <v>117.11</v>
      </c>
      <c r="L4724" s="128">
        <v>608254.9</v>
      </c>
      <c r="M4724" s="128">
        <v>346294.3</v>
      </c>
      <c r="N4724" s="128">
        <v>261960.6</v>
      </c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</row>
    <row r="4725">
      <c r="A4725" s="125" t="s">
        <v>488</v>
      </c>
      <c r="B4725" s="125" t="s">
        <v>654</v>
      </c>
      <c r="C4725" s="125" t="s">
        <v>506</v>
      </c>
      <c r="D4725" s="125" t="s">
        <v>457</v>
      </c>
      <c r="E4725" s="125" t="s">
        <v>464</v>
      </c>
      <c r="F4725" s="126">
        <v>41821.0</v>
      </c>
      <c r="G4725" s="127">
        <v>7.01E8</v>
      </c>
      <c r="H4725" s="126">
        <v>41822.0</v>
      </c>
      <c r="I4725" s="128">
        <v>6337.0</v>
      </c>
      <c r="J4725" s="128">
        <v>154.06</v>
      </c>
      <c r="K4725" s="128">
        <v>90.93</v>
      </c>
      <c r="L4725" s="128">
        <v>976278.2</v>
      </c>
      <c r="M4725" s="128">
        <v>576223.4</v>
      </c>
      <c r="N4725" s="128">
        <v>400054.8</v>
      </c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</row>
    <row r="4726">
      <c r="A4726" s="125" t="s">
        <v>458</v>
      </c>
      <c r="B4726" s="125" t="s">
        <v>529</v>
      </c>
      <c r="C4726" s="125" t="s">
        <v>478</v>
      </c>
      <c r="D4726" s="125" t="s">
        <v>454</v>
      </c>
      <c r="E4726" s="125" t="s">
        <v>284</v>
      </c>
      <c r="F4726" s="126">
        <v>41860.0</v>
      </c>
      <c r="G4726" s="127">
        <v>1.38E8</v>
      </c>
      <c r="H4726" s="126">
        <v>41867.0</v>
      </c>
      <c r="I4726" s="128">
        <v>10.0</v>
      </c>
      <c r="J4726" s="128">
        <v>651.21</v>
      </c>
      <c r="K4726" s="128">
        <v>524.96</v>
      </c>
      <c r="L4726" s="128">
        <v>6512.1</v>
      </c>
      <c r="M4726" s="128">
        <v>5249.6</v>
      </c>
      <c r="N4726" s="128">
        <v>1262.5</v>
      </c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</row>
    <row r="4727">
      <c r="A4727" s="125" t="s">
        <v>451</v>
      </c>
      <c r="B4727" s="125" t="s">
        <v>646</v>
      </c>
      <c r="C4727" s="125" t="s">
        <v>463</v>
      </c>
      <c r="D4727" s="125" t="s">
        <v>457</v>
      </c>
      <c r="E4727" s="125" t="s">
        <v>189</v>
      </c>
      <c r="F4727" s="126">
        <v>41215.0</v>
      </c>
      <c r="G4727" s="127">
        <v>4.81E8</v>
      </c>
      <c r="H4727" s="126">
        <v>41238.0</v>
      </c>
      <c r="I4727" s="128">
        <v>2107.0</v>
      </c>
      <c r="J4727" s="128">
        <v>205.7</v>
      </c>
      <c r="K4727" s="128">
        <v>117.11</v>
      </c>
      <c r="L4727" s="128">
        <v>433409.9</v>
      </c>
      <c r="M4727" s="128">
        <v>246750.8</v>
      </c>
      <c r="N4727" s="128">
        <v>186659.1</v>
      </c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/>
    </row>
    <row r="4728">
      <c r="A4728" s="125" t="s">
        <v>461</v>
      </c>
      <c r="B4728" s="125" t="s">
        <v>462</v>
      </c>
      <c r="C4728" s="125" t="s">
        <v>494</v>
      </c>
      <c r="D4728" s="125" t="s">
        <v>457</v>
      </c>
      <c r="E4728" s="125" t="s">
        <v>189</v>
      </c>
      <c r="F4728" s="126">
        <v>42498.0</v>
      </c>
      <c r="G4728" s="127">
        <v>5.32E8</v>
      </c>
      <c r="H4728" s="126">
        <v>42521.0</v>
      </c>
      <c r="I4728" s="128">
        <v>2789.0</v>
      </c>
      <c r="J4728" s="128">
        <v>9.33</v>
      </c>
      <c r="K4728" s="128">
        <v>6.92</v>
      </c>
      <c r="L4728" s="128">
        <v>26021.37</v>
      </c>
      <c r="M4728" s="128">
        <v>19299.88</v>
      </c>
      <c r="N4728" s="128">
        <v>6721.49</v>
      </c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</row>
    <row r="4729">
      <c r="A4729" s="125" t="s">
        <v>466</v>
      </c>
      <c r="B4729" s="125" t="s">
        <v>477</v>
      </c>
      <c r="C4729" s="125" t="s">
        <v>468</v>
      </c>
      <c r="D4729" s="125" t="s">
        <v>454</v>
      </c>
      <c r="E4729" s="125" t="s">
        <v>189</v>
      </c>
      <c r="F4729" s="126">
        <v>41792.0</v>
      </c>
      <c r="G4729" s="127">
        <v>9.63E8</v>
      </c>
      <c r="H4729" s="126">
        <v>41811.0</v>
      </c>
      <c r="I4729" s="128">
        <v>9247.0</v>
      </c>
      <c r="J4729" s="128">
        <v>81.73</v>
      </c>
      <c r="K4729" s="128">
        <v>56.67</v>
      </c>
      <c r="L4729" s="128">
        <v>755757.3</v>
      </c>
      <c r="M4729" s="128">
        <v>524027.5</v>
      </c>
      <c r="N4729" s="128">
        <v>231729.8</v>
      </c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</row>
    <row r="4730">
      <c r="A4730" s="125" t="s">
        <v>451</v>
      </c>
      <c r="B4730" s="125" t="s">
        <v>596</v>
      </c>
      <c r="C4730" s="125" t="s">
        <v>514</v>
      </c>
      <c r="D4730" s="125" t="s">
        <v>457</v>
      </c>
      <c r="E4730" s="125" t="s">
        <v>472</v>
      </c>
      <c r="F4730" s="126">
        <v>41105.0</v>
      </c>
      <c r="G4730" s="127">
        <v>2.65E8</v>
      </c>
      <c r="H4730" s="126">
        <v>41144.0</v>
      </c>
      <c r="I4730" s="128">
        <v>707.0</v>
      </c>
      <c r="J4730" s="128">
        <v>668.27</v>
      </c>
      <c r="K4730" s="128">
        <v>502.54</v>
      </c>
      <c r="L4730" s="128">
        <v>472466.9</v>
      </c>
      <c r="M4730" s="128">
        <v>355295.8</v>
      </c>
      <c r="N4730" s="128">
        <v>117171.1</v>
      </c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/>
    </row>
    <row r="4731">
      <c r="A4731" s="125" t="s">
        <v>475</v>
      </c>
      <c r="B4731" s="125" t="s">
        <v>558</v>
      </c>
      <c r="C4731" s="125" t="s">
        <v>494</v>
      </c>
      <c r="D4731" s="125" t="s">
        <v>457</v>
      </c>
      <c r="E4731" s="125" t="s">
        <v>464</v>
      </c>
      <c r="F4731" s="126">
        <v>41446.0</v>
      </c>
      <c r="G4731" s="127">
        <v>6.02E8</v>
      </c>
      <c r="H4731" s="126">
        <v>41492.0</v>
      </c>
      <c r="I4731" s="128">
        <v>3422.0</v>
      </c>
      <c r="J4731" s="128">
        <v>9.33</v>
      </c>
      <c r="K4731" s="128">
        <v>6.92</v>
      </c>
      <c r="L4731" s="128">
        <v>31927.26</v>
      </c>
      <c r="M4731" s="128">
        <v>23680.24</v>
      </c>
      <c r="N4731" s="128">
        <v>8247.02</v>
      </c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</row>
    <row r="4732">
      <c r="A4732" s="125" t="s">
        <v>466</v>
      </c>
      <c r="B4732" s="125" t="s">
        <v>612</v>
      </c>
      <c r="C4732" s="125" t="s">
        <v>514</v>
      </c>
      <c r="D4732" s="125" t="s">
        <v>457</v>
      </c>
      <c r="E4732" s="125" t="s">
        <v>284</v>
      </c>
      <c r="F4732" s="126">
        <v>41451.0</v>
      </c>
      <c r="G4732" s="127">
        <v>1.56E8</v>
      </c>
      <c r="H4732" s="126">
        <v>41469.0</v>
      </c>
      <c r="I4732" s="128">
        <v>5679.0</v>
      </c>
      <c r="J4732" s="128">
        <v>668.27</v>
      </c>
      <c r="K4732" s="128">
        <v>502.54</v>
      </c>
      <c r="L4732" s="128">
        <v>3795105.0</v>
      </c>
      <c r="M4732" s="128">
        <v>2853925.0</v>
      </c>
      <c r="N4732" s="128">
        <v>941180.7</v>
      </c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</row>
    <row r="4733">
      <c r="A4733" s="125" t="s">
        <v>458</v>
      </c>
      <c r="B4733" s="125" t="s">
        <v>487</v>
      </c>
      <c r="C4733" s="125" t="s">
        <v>485</v>
      </c>
      <c r="D4733" s="125" t="s">
        <v>457</v>
      </c>
      <c r="E4733" s="125" t="s">
        <v>472</v>
      </c>
      <c r="F4733" s="126">
        <v>41527.0</v>
      </c>
      <c r="G4733" s="127">
        <v>7.81E8</v>
      </c>
      <c r="H4733" s="126">
        <v>41550.0</v>
      </c>
      <c r="I4733" s="128">
        <v>2796.0</v>
      </c>
      <c r="J4733" s="128">
        <v>421.89</v>
      </c>
      <c r="K4733" s="128">
        <v>364.69</v>
      </c>
      <c r="L4733" s="128">
        <v>1179604.0</v>
      </c>
      <c r="M4733" s="128">
        <v>1019673.0</v>
      </c>
      <c r="N4733" s="128">
        <v>159931.2</v>
      </c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</row>
    <row r="4734">
      <c r="A4734" s="125" t="s">
        <v>475</v>
      </c>
      <c r="B4734" s="125" t="s">
        <v>562</v>
      </c>
      <c r="C4734" s="125" t="s">
        <v>460</v>
      </c>
      <c r="D4734" s="125" t="s">
        <v>457</v>
      </c>
      <c r="E4734" s="125" t="s">
        <v>472</v>
      </c>
      <c r="F4734" s="126">
        <v>42468.0</v>
      </c>
      <c r="G4734" s="127">
        <v>3.49E8</v>
      </c>
      <c r="H4734" s="126">
        <v>42507.0</v>
      </c>
      <c r="I4734" s="128">
        <v>2120.0</v>
      </c>
      <c r="J4734" s="128">
        <v>47.45</v>
      </c>
      <c r="K4734" s="128">
        <v>31.79</v>
      </c>
      <c r="L4734" s="128">
        <v>100594.0</v>
      </c>
      <c r="M4734" s="128">
        <v>67394.8</v>
      </c>
      <c r="N4734" s="128">
        <v>33199.2</v>
      </c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</row>
    <row r="4735">
      <c r="A4735" s="125" t="s">
        <v>475</v>
      </c>
      <c r="B4735" s="125" t="s">
        <v>513</v>
      </c>
      <c r="C4735" s="125" t="s">
        <v>506</v>
      </c>
      <c r="D4735" s="125" t="s">
        <v>457</v>
      </c>
      <c r="E4735" s="125" t="s">
        <v>284</v>
      </c>
      <c r="F4735" s="126">
        <v>41311.0</v>
      </c>
      <c r="G4735" s="127">
        <v>4.05E8</v>
      </c>
      <c r="H4735" s="126">
        <v>41344.0</v>
      </c>
      <c r="I4735" s="128">
        <v>8031.0</v>
      </c>
      <c r="J4735" s="128">
        <v>154.06</v>
      </c>
      <c r="K4735" s="128">
        <v>90.93</v>
      </c>
      <c r="L4735" s="128">
        <v>1237256.0</v>
      </c>
      <c r="M4735" s="128">
        <v>730258.8</v>
      </c>
      <c r="N4735" s="128">
        <v>506997.0</v>
      </c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</row>
    <row r="4736">
      <c r="A4736" s="125" t="s">
        <v>475</v>
      </c>
      <c r="B4736" s="125" t="s">
        <v>476</v>
      </c>
      <c r="C4736" s="125" t="s">
        <v>471</v>
      </c>
      <c r="D4736" s="125" t="s">
        <v>454</v>
      </c>
      <c r="E4736" s="125" t="s">
        <v>189</v>
      </c>
      <c r="F4736" s="126">
        <v>41011.0</v>
      </c>
      <c r="G4736" s="127">
        <v>3.14E8</v>
      </c>
      <c r="H4736" s="126">
        <v>41049.0</v>
      </c>
      <c r="I4736" s="128">
        <v>6942.0</v>
      </c>
      <c r="J4736" s="128">
        <v>109.28</v>
      </c>
      <c r="K4736" s="128">
        <v>35.84</v>
      </c>
      <c r="L4736" s="128">
        <v>758621.8</v>
      </c>
      <c r="M4736" s="128">
        <v>248801.3</v>
      </c>
      <c r="N4736" s="128">
        <v>509820.5</v>
      </c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/>
    </row>
    <row r="4737">
      <c r="A4737" s="125" t="s">
        <v>461</v>
      </c>
      <c r="B4737" s="125" t="s">
        <v>465</v>
      </c>
      <c r="C4737" s="125" t="s">
        <v>478</v>
      </c>
      <c r="D4737" s="125" t="s">
        <v>457</v>
      </c>
      <c r="E4737" s="125" t="s">
        <v>464</v>
      </c>
      <c r="F4737" s="126">
        <v>40765.0</v>
      </c>
      <c r="G4737" s="127">
        <v>4.08E8</v>
      </c>
      <c r="H4737" s="126">
        <v>40786.0</v>
      </c>
      <c r="I4737" s="128">
        <v>2293.0</v>
      </c>
      <c r="J4737" s="128">
        <v>651.21</v>
      </c>
      <c r="K4737" s="128">
        <v>524.96</v>
      </c>
      <c r="L4737" s="128">
        <v>1493225.0</v>
      </c>
      <c r="M4737" s="128">
        <v>1203733.0</v>
      </c>
      <c r="N4737" s="128">
        <v>289491.3</v>
      </c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</row>
    <row r="4738">
      <c r="A4738" s="125" t="s">
        <v>458</v>
      </c>
      <c r="B4738" s="125" t="s">
        <v>614</v>
      </c>
      <c r="C4738" s="125" t="s">
        <v>494</v>
      </c>
      <c r="D4738" s="125" t="s">
        <v>454</v>
      </c>
      <c r="E4738" s="125" t="s">
        <v>464</v>
      </c>
      <c r="F4738" s="126">
        <v>42925.0</v>
      </c>
      <c r="G4738" s="127">
        <v>6.43E8</v>
      </c>
      <c r="H4738" s="126">
        <v>42941.0</v>
      </c>
      <c r="I4738" s="128">
        <v>9560.0</v>
      </c>
      <c r="J4738" s="128">
        <v>9.33</v>
      </c>
      <c r="K4738" s="128">
        <v>6.92</v>
      </c>
      <c r="L4738" s="128">
        <v>89194.8</v>
      </c>
      <c r="M4738" s="128">
        <v>66155.2</v>
      </c>
      <c r="N4738" s="128">
        <v>23039.6</v>
      </c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</row>
    <row r="4739">
      <c r="A4739" s="125" t="s">
        <v>458</v>
      </c>
      <c r="B4739" s="125" t="s">
        <v>643</v>
      </c>
      <c r="C4739" s="125" t="s">
        <v>478</v>
      </c>
      <c r="D4739" s="125" t="s">
        <v>454</v>
      </c>
      <c r="E4739" s="125" t="s">
        <v>284</v>
      </c>
      <c r="F4739" s="126">
        <v>40549.0</v>
      </c>
      <c r="G4739" s="127">
        <v>1.45E8</v>
      </c>
      <c r="H4739" s="126">
        <v>40593.0</v>
      </c>
      <c r="I4739" s="128">
        <v>1246.0</v>
      </c>
      <c r="J4739" s="128">
        <v>651.21</v>
      </c>
      <c r="K4739" s="128">
        <v>524.96</v>
      </c>
      <c r="L4739" s="128">
        <v>811407.7</v>
      </c>
      <c r="M4739" s="128">
        <v>654100.2</v>
      </c>
      <c r="N4739" s="128">
        <v>157307.5</v>
      </c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/>
    </row>
    <row r="4740">
      <c r="A4740" s="125" t="s">
        <v>475</v>
      </c>
      <c r="B4740" s="125" t="s">
        <v>571</v>
      </c>
      <c r="C4740" s="125" t="s">
        <v>485</v>
      </c>
      <c r="D4740" s="125" t="s">
        <v>457</v>
      </c>
      <c r="E4740" s="125" t="s">
        <v>189</v>
      </c>
      <c r="F4740" s="126">
        <v>40917.0</v>
      </c>
      <c r="G4740" s="127">
        <v>3.58E8</v>
      </c>
      <c r="H4740" s="126">
        <v>40955.0</v>
      </c>
      <c r="I4740" s="128">
        <v>1888.0</v>
      </c>
      <c r="J4740" s="128">
        <v>421.89</v>
      </c>
      <c r="K4740" s="128">
        <v>364.69</v>
      </c>
      <c r="L4740" s="128">
        <v>796528.3</v>
      </c>
      <c r="M4740" s="128">
        <v>688534.7</v>
      </c>
      <c r="N4740" s="128">
        <v>107993.6</v>
      </c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</row>
    <row r="4741">
      <c r="A4741" s="125" t="s">
        <v>461</v>
      </c>
      <c r="B4741" s="125" t="s">
        <v>586</v>
      </c>
      <c r="C4741" s="125" t="s">
        <v>485</v>
      </c>
      <c r="D4741" s="125" t="s">
        <v>457</v>
      </c>
      <c r="E4741" s="125" t="s">
        <v>284</v>
      </c>
      <c r="F4741" s="126">
        <v>42014.0</v>
      </c>
      <c r="G4741" s="127">
        <v>9.98E8</v>
      </c>
      <c r="H4741" s="126">
        <v>42035.0</v>
      </c>
      <c r="I4741" s="128">
        <v>3054.0</v>
      </c>
      <c r="J4741" s="128">
        <v>421.89</v>
      </c>
      <c r="K4741" s="128">
        <v>364.69</v>
      </c>
      <c r="L4741" s="128">
        <v>1288452.0</v>
      </c>
      <c r="M4741" s="128">
        <v>1113763.0</v>
      </c>
      <c r="N4741" s="128">
        <v>174688.8</v>
      </c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</row>
    <row r="4742">
      <c r="A4742" s="125" t="s">
        <v>475</v>
      </c>
      <c r="B4742" s="125" t="s">
        <v>527</v>
      </c>
      <c r="C4742" s="125" t="s">
        <v>453</v>
      </c>
      <c r="D4742" s="125" t="s">
        <v>454</v>
      </c>
      <c r="E4742" s="125" t="s">
        <v>189</v>
      </c>
      <c r="F4742" s="126">
        <v>42215.0</v>
      </c>
      <c r="G4742" s="127">
        <v>5.01E8</v>
      </c>
      <c r="H4742" s="126">
        <v>42244.0</v>
      </c>
      <c r="I4742" s="128">
        <v>8341.0</v>
      </c>
      <c r="J4742" s="128">
        <v>255.28</v>
      </c>
      <c r="K4742" s="128">
        <v>159.42</v>
      </c>
      <c r="L4742" s="128">
        <v>2129290.0</v>
      </c>
      <c r="M4742" s="128">
        <v>1329722.0</v>
      </c>
      <c r="N4742" s="128">
        <v>799568.3</v>
      </c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</row>
    <row r="4743">
      <c r="A4743" s="125" t="s">
        <v>475</v>
      </c>
      <c r="B4743" s="125" t="s">
        <v>591</v>
      </c>
      <c r="C4743" s="125" t="s">
        <v>471</v>
      </c>
      <c r="D4743" s="125" t="s">
        <v>457</v>
      </c>
      <c r="E4743" s="125" t="s">
        <v>464</v>
      </c>
      <c r="F4743" s="126">
        <v>41668.0</v>
      </c>
      <c r="G4743" s="127">
        <v>9.74E8</v>
      </c>
      <c r="H4743" s="126">
        <v>41704.0</v>
      </c>
      <c r="I4743" s="128">
        <v>8380.0</v>
      </c>
      <c r="J4743" s="128">
        <v>109.28</v>
      </c>
      <c r="K4743" s="128">
        <v>35.84</v>
      </c>
      <c r="L4743" s="128">
        <v>915766.4</v>
      </c>
      <c r="M4743" s="128">
        <v>300339.2</v>
      </c>
      <c r="N4743" s="128">
        <v>615427.2</v>
      </c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</row>
    <row r="4744">
      <c r="A4744" s="125" t="s">
        <v>461</v>
      </c>
      <c r="B4744" s="125" t="s">
        <v>516</v>
      </c>
      <c r="C4744" s="125" t="s">
        <v>494</v>
      </c>
      <c r="D4744" s="125" t="s">
        <v>454</v>
      </c>
      <c r="E4744" s="125" t="s">
        <v>472</v>
      </c>
      <c r="F4744" s="126">
        <v>40910.0</v>
      </c>
      <c r="G4744" s="127">
        <v>5.42E8</v>
      </c>
      <c r="H4744" s="126">
        <v>40938.0</v>
      </c>
      <c r="I4744" s="128">
        <v>5831.0</v>
      </c>
      <c r="J4744" s="128">
        <v>9.33</v>
      </c>
      <c r="K4744" s="128">
        <v>6.92</v>
      </c>
      <c r="L4744" s="128">
        <v>54403.23</v>
      </c>
      <c r="M4744" s="128">
        <v>40350.52</v>
      </c>
      <c r="N4744" s="128">
        <v>14052.71</v>
      </c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</row>
    <row r="4745">
      <c r="A4745" s="125" t="s">
        <v>488</v>
      </c>
      <c r="B4745" s="125" t="s">
        <v>645</v>
      </c>
      <c r="C4745" s="125" t="s">
        <v>453</v>
      </c>
      <c r="D4745" s="125" t="s">
        <v>457</v>
      </c>
      <c r="E4745" s="125" t="s">
        <v>472</v>
      </c>
      <c r="F4745" s="126">
        <v>42247.0</v>
      </c>
      <c r="G4745" s="127">
        <v>1.04E8</v>
      </c>
      <c r="H4745" s="126">
        <v>42278.0</v>
      </c>
      <c r="I4745" s="128">
        <v>388.0</v>
      </c>
      <c r="J4745" s="128">
        <v>255.28</v>
      </c>
      <c r="K4745" s="128">
        <v>159.42</v>
      </c>
      <c r="L4745" s="128">
        <v>99048.64</v>
      </c>
      <c r="M4745" s="128">
        <v>61854.96</v>
      </c>
      <c r="N4745" s="128">
        <v>37193.68</v>
      </c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</row>
    <row r="4746">
      <c r="A4746" s="125" t="s">
        <v>475</v>
      </c>
      <c r="B4746" s="125" t="s">
        <v>512</v>
      </c>
      <c r="C4746" s="125" t="s">
        <v>506</v>
      </c>
      <c r="D4746" s="125" t="s">
        <v>457</v>
      </c>
      <c r="E4746" s="125" t="s">
        <v>472</v>
      </c>
      <c r="F4746" s="126">
        <v>42846.0</v>
      </c>
      <c r="G4746" s="127">
        <v>1.75E8</v>
      </c>
      <c r="H4746" s="126">
        <v>42881.0</v>
      </c>
      <c r="I4746" s="128">
        <v>3774.0</v>
      </c>
      <c r="J4746" s="128">
        <v>154.06</v>
      </c>
      <c r="K4746" s="128">
        <v>90.93</v>
      </c>
      <c r="L4746" s="128">
        <v>581422.4</v>
      </c>
      <c r="M4746" s="128">
        <v>343169.8</v>
      </c>
      <c r="N4746" s="128">
        <v>238252.6</v>
      </c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</row>
    <row r="4747">
      <c r="A4747" s="125" t="s">
        <v>458</v>
      </c>
      <c r="B4747" s="125" t="s">
        <v>545</v>
      </c>
      <c r="C4747" s="125" t="s">
        <v>514</v>
      </c>
      <c r="D4747" s="125" t="s">
        <v>454</v>
      </c>
      <c r="E4747" s="125" t="s">
        <v>189</v>
      </c>
      <c r="F4747" s="126">
        <v>41643.0</v>
      </c>
      <c r="G4747" s="127">
        <v>4.45E8</v>
      </c>
      <c r="H4747" s="126">
        <v>41659.0</v>
      </c>
      <c r="I4747" s="128">
        <v>4744.0</v>
      </c>
      <c r="J4747" s="128">
        <v>668.27</v>
      </c>
      <c r="K4747" s="128">
        <v>502.54</v>
      </c>
      <c r="L4747" s="128">
        <v>3170273.0</v>
      </c>
      <c r="M4747" s="128">
        <v>2384050.0</v>
      </c>
      <c r="N4747" s="128">
        <v>786223.1</v>
      </c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</row>
    <row r="4748">
      <c r="A4748" s="125" t="s">
        <v>475</v>
      </c>
      <c r="B4748" s="125" t="s">
        <v>536</v>
      </c>
      <c r="C4748" s="125" t="s">
        <v>480</v>
      </c>
      <c r="D4748" s="125" t="s">
        <v>457</v>
      </c>
      <c r="E4748" s="125" t="s">
        <v>464</v>
      </c>
      <c r="F4748" s="126">
        <v>40731.0</v>
      </c>
      <c r="G4748" s="127">
        <v>2.2E8</v>
      </c>
      <c r="H4748" s="126">
        <v>40745.0</v>
      </c>
      <c r="I4748" s="128">
        <v>4083.0</v>
      </c>
      <c r="J4748" s="128">
        <v>437.2</v>
      </c>
      <c r="K4748" s="128">
        <v>263.33</v>
      </c>
      <c r="L4748" s="128">
        <v>1785088.0</v>
      </c>
      <c r="M4748" s="128">
        <v>1075176.0</v>
      </c>
      <c r="N4748" s="128">
        <v>709911.2</v>
      </c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</row>
    <row r="4749">
      <c r="A4749" s="125" t="s">
        <v>469</v>
      </c>
      <c r="B4749" s="125" t="s">
        <v>569</v>
      </c>
      <c r="C4749" s="125" t="s">
        <v>463</v>
      </c>
      <c r="D4749" s="125" t="s">
        <v>454</v>
      </c>
      <c r="E4749" s="125" t="s">
        <v>472</v>
      </c>
      <c r="F4749" s="126">
        <v>41207.0</v>
      </c>
      <c r="G4749" s="127">
        <v>6.78E8</v>
      </c>
      <c r="H4749" s="126">
        <v>41216.0</v>
      </c>
      <c r="I4749" s="128">
        <v>9610.0</v>
      </c>
      <c r="J4749" s="128">
        <v>205.7</v>
      </c>
      <c r="K4749" s="128">
        <v>117.11</v>
      </c>
      <c r="L4749" s="128">
        <v>1976777.0</v>
      </c>
      <c r="M4749" s="128">
        <v>1125427.0</v>
      </c>
      <c r="N4749" s="128">
        <v>851349.9</v>
      </c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</row>
    <row r="4750">
      <c r="A4750" s="125" t="s">
        <v>461</v>
      </c>
      <c r="B4750" s="125" t="s">
        <v>581</v>
      </c>
      <c r="C4750" s="125" t="s">
        <v>478</v>
      </c>
      <c r="D4750" s="125" t="s">
        <v>454</v>
      </c>
      <c r="E4750" s="125" t="s">
        <v>189</v>
      </c>
      <c r="F4750" s="126">
        <v>41792.0</v>
      </c>
      <c r="G4750" s="127">
        <v>8.19E8</v>
      </c>
      <c r="H4750" s="126">
        <v>41834.0</v>
      </c>
      <c r="I4750" s="128">
        <v>1173.0</v>
      </c>
      <c r="J4750" s="128">
        <v>651.21</v>
      </c>
      <c r="K4750" s="128">
        <v>524.96</v>
      </c>
      <c r="L4750" s="128">
        <v>763869.3</v>
      </c>
      <c r="M4750" s="128">
        <v>615778.1</v>
      </c>
      <c r="N4750" s="128">
        <v>148091.3</v>
      </c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</row>
    <row r="4751">
      <c r="A4751" s="125" t="s">
        <v>475</v>
      </c>
      <c r="B4751" s="125" t="s">
        <v>591</v>
      </c>
      <c r="C4751" s="125" t="s">
        <v>506</v>
      </c>
      <c r="D4751" s="125" t="s">
        <v>454</v>
      </c>
      <c r="E4751" s="125" t="s">
        <v>472</v>
      </c>
      <c r="F4751" s="126">
        <v>40214.0</v>
      </c>
      <c r="G4751" s="127">
        <v>6.11E8</v>
      </c>
      <c r="H4751" s="126">
        <v>40257.0</v>
      </c>
      <c r="I4751" s="128">
        <v>5652.0</v>
      </c>
      <c r="J4751" s="128">
        <v>154.06</v>
      </c>
      <c r="K4751" s="128">
        <v>90.93</v>
      </c>
      <c r="L4751" s="128">
        <v>870747.1</v>
      </c>
      <c r="M4751" s="128">
        <v>513936.4</v>
      </c>
      <c r="N4751" s="128">
        <v>356810.8</v>
      </c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</row>
    <row r="4752">
      <c r="A4752" s="125" t="s">
        <v>458</v>
      </c>
      <c r="B4752" s="125" t="s">
        <v>551</v>
      </c>
      <c r="C4752" s="125" t="s">
        <v>485</v>
      </c>
      <c r="D4752" s="125" t="s">
        <v>454</v>
      </c>
      <c r="E4752" s="125" t="s">
        <v>284</v>
      </c>
      <c r="F4752" s="126">
        <v>42886.0</v>
      </c>
      <c r="G4752" s="127">
        <v>5.43E8</v>
      </c>
      <c r="H4752" s="126">
        <v>42891.0</v>
      </c>
      <c r="I4752" s="128">
        <v>1957.0</v>
      </c>
      <c r="J4752" s="128">
        <v>421.89</v>
      </c>
      <c r="K4752" s="128">
        <v>364.69</v>
      </c>
      <c r="L4752" s="128">
        <v>825638.7</v>
      </c>
      <c r="M4752" s="128">
        <v>713698.3</v>
      </c>
      <c r="N4752" s="128">
        <v>111940.4</v>
      </c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</row>
    <row r="4753">
      <c r="A4753" s="125" t="s">
        <v>475</v>
      </c>
      <c r="B4753" s="125" t="s">
        <v>575</v>
      </c>
      <c r="C4753" s="125" t="s">
        <v>463</v>
      </c>
      <c r="D4753" s="125" t="s">
        <v>457</v>
      </c>
      <c r="E4753" s="125" t="s">
        <v>472</v>
      </c>
      <c r="F4753" s="126">
        <v>41398.0</v>
      </c>
      <c r="G4753" s="127">
        <v>2.75E8</v>
      </c>
      <c r="H4753" s="126">
        <v>41410.0</v>
      </c>
      <c r="I4753" s="128">
        <v>6032.0</v>
      </c>
      <c r="J4753" s="128">
        <v>205.7</v>
      </c>
      <c r="K4753" s="128">
        <v>117.11</v>
      </c>
      <c r="L4753" s="128">
        <v>1240782.0</v>
      </c>
      <c r="M4753" s="128">
        <v>706407.5</v>
      </c>
      <c r="N4753" s="128">
        <v>534374.9</v>
      </c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</row>
    <row r="4754">
      <c r="A4754" s="125" t="s">
        <v>475</v>
      </c>
      <c r="B4754" s="125" t="s">
        <v>558</v>
      </c>
      <c r="C4754" s="125" t="s">
        <v>468</v>
      </c>
      <c r="D4754" s="125" t="s">
        <v>454</v>
      </c>
      <c r="E4754" s="125" t="s">
        <v>284</v>
      </c>
      <c r="F4754" s="126">
        <v>41560.0</v>
      </c>
      <c r="G4754" s="127">
        <v>8.86E8</v>
      </c>
      <c r="H4754" s="126">
        <v>41567.0</v>
      </c>
      <c r="I4754" s="128">
        <v>5850.0</v>
      </c>
      <c r="J4754" s="128">
        <v>81.73</v>
      </c>
      <c r="K4754" s="128">
        <v>56.67</v>
      </c>
      <c r="L4754" s="128">
        <v>478120.5</v>
      </c>
      <c r="M4754" s="128">
        <v>331519.5</v>
      </c>
      <c r="N4754" s="128">
        <v>146601.0</v>
      </c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</row>
    <row r="4755">
      <c r="A4755" s="125" t="s">
        <v>466</v>
      </c>
      <c r="B4755" s="125" t="s">
        <v>607</v>
      </c>
      <c r="C4755" s="125" t="s">
        <v>460</v>
      </c>
      <c r="D4755" s="125" t="s">
        <v>454</v>
      </c>
      <c r="E4755" s="125" t="s">
        <v>464</v>
      </c>
      <c r="F4755" s="126">
        <v>42653.0</v>
      </c>
      <c r="G4755" s="127">
        <v>8.26E8</v>
      </c>
      <c r="H4755" s="126">
        <v>42677.0</v>
      </c>
      <c r="I4755" s="128">
        <v>6415.0</v>
      </c>
      <c r="J4755" s="128">
        <v>47.45</v>
      </c>
      <c r="K4755" s="128">
        <v>31.79</v>
      </c>
      <c r="L4755" s="128">
        <v>304391.8</v>
      </c>
      <c r="M4755" s="128">
        <v>203932.9</v>
      </c>
      <c r="N4755" s="128">
        <v>100458.9</v>
      </c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</row>
    <row r="4756">
      <c r="A4756" s="125" t="s">
        <v>458</v>
      </c>
      <c r="B4756" s="125" t="s">
        <v>486</v>
      </c>
      <c r="C4756" s="125" t="s">
        <v>485</v>
      </c>
      <c r="D4756" s="125" t="s">
        <v>454</v>
      </c>
      <c r="E4756" s="125" t="s">
        <v>472</v>
      </c>
      <c r="F4756" s="126">
        <v>41584.0</v>
      </c>
      <c r="G4756" s="127">
        <v>8.66E8</v>
      </c>
      <c r="H4756" s="126">
        <v>41594.0</v>
      </c>
      <c r="I4756" s="128">
        <v>4765.0</v>
      </c>
      <c r="J4756" s="128">
        <v>421.89</v>
      </c>
      <c r="K4756" s="128">
        <v>364.69</v>
      </c>
      <c r="L4756" s="128">
        <v>2010306.0</v>
      </c>
      <c r="M4756" s="128">
        <v>1737748.0</v>
      </c>
      <c r="N4756" s="128">
        <v>272558.0</v>
      </c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</row>
    <row r="4757">
      <c r="A4757" s="125" t="s">
        <v>458</v>
      </c>
      <c r="B4757" s="125" t="s">
        <v>643</v>
      </c>
      <c r="C4757" s="125" t="s">
        <v>463</v>
      </c>
      <c r="D4757" s="125" t="s">
        <v>454</v>
      </c>
      <c r="E4757" s="125" t="s">
        <v>472</v>
      </c>
      <c r="F4757" s="126">
        <v>42563.0</v>
      </c>
      <c r="G4757" s="127">
        <v>9.47E8</v>
      </c>
      <c r="H4757" s="126">
        <v>42612.0</v>
      </c>
      <c r="I4757" s="128">
        <v>4966.0</v>
      </c>
      <c r="J4757" s="128">
        <v>205.7</v>
      </c>
      <c r="K4757" s="128">
        <v>117.11</v>
      </c>
      <c r="L4757" s="128">
        <v>1021506.0</v>
      </c>
      <c r="M4757" s="128">
        <v>581568.3</v>
      </c>
      <c r="N4757" s="128">
        <v>439937.9</v>
      </c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</row>
    <row r="4758">
      <c r="A4758" s="125" t="s">
        <v>475</v>
      </c>
      <c r="B4758" s="125" t="s">
        <v>476</v>
      </c>
      <c r="C4758" s="125" t="s">
        <v>453</v>
      </c>
      <c r="D4758" s="125" t="s">
        <v>457</v>
      </c>
      <c r="E4758" s="125" t="s">
        <v>464</v>
      </c>
      <c r="F4758" s="126">
        <v>41890.0</v>
      </c>
      <c r="G4758" s="127">
        <v>6.29E8</v>
      </c>
      <c r="H4758" s="126">
        <v>41930.0</v>
      </c>
      <c r="I4758" s="128">
        <v>3117.0</v>
      </c>
      <c r="J4758" s="128">
        <v>255.28</v>
      </c>
      <c r="K4758" s="128">
        <v>159.42</v>
      </c>
      <c r="L4758" s="128">
        <v>795707.8</v>
      </c>
      <c r="M4758" s="128">
        <v>496912.1</v>
      </c>
      <c r="N4758" s="128">
        <v>298795.6</v>
      </c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</row>
    <row r="4759">
      <c r="A4759" s="125" t="s">
        <v>461</v>
      </c>
      <c r="B4759" s="125" t="s">
        <v>525</v>
      </c>
      <c r="C4759" s="125" t="s">
        <v>514</v>
      </c>
      <c r="D4759" s="125" t="s">
        <v>457</v>
      </c>
      <c r="E4759" s="125" t="s">
        <v>472</v>
      </c>
      <c r="F4759" s="126">
        <v>40404.0</v>
      </c>
      <c r="G4759" s="127">
        <v>4.43E8</v>
      </c>
      <c r="H4759" s="126">
        <v>40422.0</v>
      </c>
      <c r="I4759" s="128">
        <v>2347.0</v>
      </c>
      <c r="J4759" s="128">
        <v>668.27</v>
      </c>
      <c r="K4759" s="128">
        <v>502.54</v>
      </c>
      <c r="L4759" s="128">
        <v>1568430.0</v>
      </c>
      <c r="M4759" s="128">
        <v>1179461.0</v>
      </c>
      <c r="N4759" s="128">
        <v>388968.3</v>
      </c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</row>
    <row r="4760">
      <c r="A4760" s="125" t="s">
        <v>475</v>
      </c>
      <c r="B4760" s="125" t="s">
        <v>648</v>
      </c>
      <c r="C4760" s="125" t="s">
        <v>506</v>
      </c>
      <c r="D4760" s="125" t="s">
        <v>454</v>
      </c>
      <c r="E4760" s="125" t="s">
        <v>472</v>
      </c>
      <c r="F4760" s="126">
        <v>42099.0</v>
      </c>
      <c r="G4760" s="127">
        <v>5.42E8</v>
      </c>
      <c r="H4760" s="126">
        <v>42133.0</v>
      </c>
      <c r="I4760" s="128">
        <v>7819.0</v>
      </c>
      <c r="J4760" s="128">
        <v>154.06</v>
      </c>
      <c r="K4760" s="128">
        <v>90.93</v>
      </c>
      <c r="L4760" s="128">
        <v>1204595.0</v>
      </c>
      <c r="M4760" s="128">
        <v>710981.7</v>
      </c>
      <c r="N4760" s="128">
        <v>493613.5</v>
      </c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</row>
    <row r="4761">
      <c r="A4761" s="125" t="s">
        <v>461</v>
      </c>
      <c r="B4761" s="125" t="s">
        <v>522</v>
      </c>
      <c r="C4761" s="125" t="s">
        <v>478</v>
      </c>
      <c r="D4761" s="125" t="s">
        <v>454</v>
      </c>
      <c r="E4761" s="125" t="s">
        <v>472</v>
      </c>
      <c r="F4761" s="126">
        <v>41676.0</v>
      </c>
      <c r="G4761" s="127">
        <v>2.47E8</v>
      </c>
      <c r="H4761" s="126">
        <v>41703.0</v>
      </c>
      <c r="I4761" s="128">
        <v>1724.0</v>
      </c>
      <c r="J4761" s="128">
        <v>651.21</v>
      </c>
      <c r="K4761" s="128">
        <v>524.96</v>
      </c>
      <c r="L4761" s="128">
        <v>1122686.0</v>
      </c>
      <c r="M4761" s="128">
        <v>905031.0</v>
      </c>
      <c r="N4761" s="128">
        <v>217655.0</v>
      </c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</row>
    <row r="4762">
      <c r="A4762" s="125" t="s">
        <v>475</v>
      </c>
      <c r="B4762" s="125" t="s">
        <v>588</v>
      </c>
      <c r="C4762" s="125" t="s">
        <v>456</v>
      </c>
      <c r="D4762" s="125" t="s">
        <v>454</v>
      </c>
      <c r="E4762" s="125" t="s">
        <v>284</v>
      </c>
      <c r="F4762" s="126">
        <v>42524.0</v>
      </c>
      <c r="G4762" s="127">
        <v>3.0E8</v>
      </c>
      <c r="H4762" s="126">
        <v>42570.0</v>
      </c>
      <c r="I4762" s="128">
        <v>8287.0</v>
      </c>
      <c r="J4762" s="128">
        <v>152.58</v>
      </c>
      <c r="K4762" s="128">
        <v>97.44</v>
      </c>
      <c r="L4762" s="128">
        <v>1264430.0</v>
      </c>
      <c r="M4762" s="128">
        <v>807485.3</v>
      </c>
      <c r="N4762" s="128">
        <v>456945.2</v>
      </c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</row>
    <row r="4763">
      <c r="A4763" s="125" t="s">
        <v>475</v>
      </c>
      <c r="B4763" s="125" t="s">
        <v>504</v>
      </c>
      <c r="C4763" s="125" t="s">
        <v>456</v>
      </c>
      <c r="D4763" s="125" t="s">
        <v>457</v>
      </c>
      <c r="E4763" s="125" t="s">
        <v>284</v>
      </c>
      <c r="F4763" s="126">
        <v>41505.0</v>
      </c>
      <c r="G4763" s="127">
        <v>6.15E8</v>
      </c>
      <c r="H4763" s="126">
        <v>41537.0</v>
      </c>
      <c r="I4763" s="128">
        <v>8761.0</v>
      </c>
      <c r="J4763" s="128">
        <v>152.58</v>
      </c>
      <c r="K4763" s="128">
        <v>97.44</v>
      </c>
      <c r="L4763" s="128">
        <v>1336753.0</v>
      </c>
      <c r="M4763" s="128">
        <v>853671.8</v>
      </c>
      <c r="N4763" s="128">
        <v>483081.5</v>
      </c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</row>
    <row r="4764">
      <c r="A4764" s="125" t="s">
        <v>451</v>
      </c>
      <c r="B4764" s="125" t="s">
        <v>452</v>
      </c>
      <c r="C4764" s="125" t="s">
        <v>494</v>
      </c>
      <c r="D4764" s="125" t="s">
        <v>454</v>
      </c>
      <c r="E4764" s="125" t="s">
        <v>472</v>
      </c>
      <c r="F4764" s="126">
        <v>41404.0</v>
      </c>
      <c r="G4764" s="127">
        <v>7.23E8</v>
      </c>
      <c r="H4764" s="126">
        <v>41441.0</v>
      </c>
      <c r="I4764" s="128">
        <v>6433.0</v>
      </c>
      <c r="J4764" s="128">
        <v>9.33</v>
      </c>
      <c r="K4764" s="128">
        <v>6.92</v>
      </c>
      <c r="L4764" s="128">
        <v>60019.89</v>
      </c>
      <c r="M4764" s="128">
        <v>44516.36</v>
      </c>
      <c r="N4764" s="128">
        <v>15503.53</v>
      </c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</row>
    <row r="4765">
      <c r="A4765" s="125" t="s">
        <v>458</v>
      </c>
      <c r="B4765" s="125" t="s">
        <v>518</v>
      </c>
      <c r="C4765" s="125" t="s">
        <v>480</v>
      </c>
      <c r="D4765" s="125" t="s">
        <v>454</v>
      </c>
      <c r="E4765" s="125" t="s">
        <v>472</v>
      </c>
      <c r="F4765" s="126">
        <v>41243.0</v>
      </c>
      <c r="G4765" s="127">
        <v>2.28E8</v>
      </c>
      <c r="H4765" s="126">
        <v>41246.0</v>
      </c>
      <c r="I4765" s="128">
        <v>1620.0</v>
      </c>
      <c r="J4765" s="128">
        <v>437.2</v>
      </c>
      <c r="K4765" s="128">
        <v>263.33</v>
      </c>
      <c r="L4765" s="128">
        <v>708264.0</v>
      </c>
      <c r="M4765" s="128">
        <v>426594.6</v>
      </c>
      <c r="N4765" s="128">
        <v>281669.4</v>
      </c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</row>
    <row r="4766">
      <c r="A4766" s="125" t="s">
        <v>469</v>
      </c>
      <c r="B4766" s="125" t="s">
        <v>520</v>
      </c>
      <c r="C4766" s="125" t="s">
        <v>506</v>
      </c>
      <c r="D4766" s="125" t="s">
        <v>457</v>
      </c>
      <c r="E4766" s="125" t="s">
        <v>464</v>
      </c>
      <c r="F4766" s="126">
        <v>40435.0</v>
      </c>
      <c r="G4766" s="127">
        <v>1.54E8</v>
      </c>
      <c r="H4766" s="126">
        <v>40469.0</v>
      </c>
      <c r="I4766" s="128">
        <v>6672.0</v>
      </c>
      <c r="J4766" s="128">
        <v>154.06</v>
      </c>
      <c r="K4766" s="128">
        <v>90.93</v>
      </c>
      <c r="L4766" s="128">
        <v>1027888.0</v>
      </c>
      <c r="M4766" s="128">
        <v>606685.0</v>
      </c>
      <c r="N4766" s="128">
        <v>421203.4</v>
      </c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</row>
    <row r="4767">
      <c r="A4767" s="125" t="s">
        <v>475</v>
      </c>
      <c r="B4767" s="125" t="s">
        <v>636</v>
      </c>
      <c r="C4767" s="125" t="s">
        <v>468</v>
      </c>
      <c r="D4767" s="125" t="s">
        <v>454</v>
      </c>
      <c r="E4767" s="125" t="s">
        <v>189</v>
      </c>
      <c r="F4767" s="126">
        <v>42931.0</v>
      </c>
      <c r="G4767" s="127">
        <v>6.94E8</v>
      </c>
      <c r="H4767" s="126">
        <v>42954.0</v>
      </c>
      <c r="I4767" s="128">
        <v>967.0</v>
      </c>
      <c r="J4767" s="128">
        <v>81.73</v>
      </c>
      <c r="K4767" s="128">
        <v>56.67</v>
      </c>
      <c r="L4767" s="128">
        <v>79032.91</v>
      </c>
      <c r="M4767" s="128">
        <v>54799.89</v>
      </c>
      <c r="N4767" s="128">
        <v>24233.02</v>
      </c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</row>
    <row r="4768">
      <c r="A4768" s="125" t="s">
        <v>475</v>
      </c>
      <c r="B4768" s="125" t="s">
        <v>561</v>
      </c>
      <c r="C4768" s="125" t="s">
        <v>478</v>
      </c>
      <c r="D4768" s="125" t="s">
        <v>457</v>
      </c>
      <c r="E4768" s="125" t="s">
        <v>284</v>
      </c>
      <c r="F4768" s="126">
        <v>42006.0</v>
      </c>
      <c r="G4768" s="127">
        <v>7.63E8</v>
      </c>
      <c r="H4768" s="126">
        <v>42032.0</v>
      </c>
      <c r="I4768" s="128">
        <v>5918.0</v>
      </c>
      <c r="J4768" s="128">
        <v>651.21</v>
      </c>
      <c r="K4768" s="128">
        <v>524.96</v>
      </c>
      <c r="L4768" s="128">
        <v>3853861.0</v>
      </c>
      <c r="M4768" s="128">
        <v>3106713.0</v>
      </c>
      <c r="N4768" s="128">
        <v>747147.5</v>
      </c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</row>
    <row r="4769">
      <c r="A4769" s="125" t="s">
        <v>475</v>
      </c>
      <c r="B4769" s="125" t="s">
        <v>570</v>
      </c>
      <c r="C4769" s="125" t="s">
        <v>514</v>
      </c>
      <c r="D4769" s="125" t="s">
        <v>454</v>
      </c>
      <c r="E4769" s="125" t="s">
        <v>472</v>
      </c>
      <c r="F4769" s="126">
        <v>41005.0</v>
      </c>
      <c r="G4769" s="127">
        <v>2.44E8</v>
      </c>
      <c r="H4769" s="126">
        <v>41042.0</v>
      </c>
      <c r="I4769" s="128">
        <v>9966.0</v>
      </c>
      <c r="J4769" s="128">
        <v>668.27</v>
      </c>
      <c r="K4769" s="128">
        <v>502.54</v>
      </c>
      <c r="L4769" s="128">
        <v>6659979.0</v>
      </c>
      <c r="M4769" s="128">
        <v>5008314.0</v>
      </c>
      <c r="N4769" s="128">
        <v>1651665.0</v>
      </c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</row>
    <row r="4770">
      <c r="A4770" s="125" t="s">
        <v>469</v>
      </c>
      <c r="B4770" s="125" t="s">
        <v>630</v>
      </c>
      <c r="C4770" s="125" t="s">
        <v>471</v>
      </c>
      <c r="D4770" s="125" t="s">
        <v>457</v>
      </c>
      <c r="E4770" s="125" t="s">
        <v>464</v>
      </c>
      <c r="F4770" s="126">
        <v>40897.0</v>
      </c>
      <c r="G4770" s="127">
        <v>4.43E8</v>
      </c>
      <c r="H4770" s="126">
        <v>40909.0</v>
      </c>
      <c r="I4770" s="128">
        <v>3585.0</v>
      </c>
      <c r="J4770" s="128">
        <v>109.28</v>
      </c>
      <c r="K4770" s="128">
        <v>35.84</v>
      </c>
      <c r="L4770" s="128">
        <v>391768.8</v>
      </c>
      <c r="M4770" s="128">
        <v>128486.4</v>
      </c>
      <c r="N4770" s="128">
        <v>263282.4</v>
      </c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</row>
    <row r="4771">
      <c r="A4771" s="125" t="s">
        <v>451</v>
      </c>
      <c r="B4771" s="125" t="s">
        <v>596</v>
      </c>
      <c r="C4771" s="125" t="s">
        <v>463</v>
      </c>
      <c r="D4771" s="125" t="s">
        <v>454</v>
      </c>
      <c r="E4771" s="125" t="s">
        <v>472</v>
      </c>
      <c r="F4771" s="126">
        <v>41656.0</v>
      </c>
      <c r="G4771" s="127">
        <v>9.35E8</v>
      </c>
      <c r="H4771" s="126">
        <v>41656.0</v>
      </c>
      <c r="I4771" s="128">
        <v>4280.0</v>
      </c>
      <c r="J4771" s="128">
        <v>205.7</v>
      </c>
      <c r="K4771" s="128">
        <v>117.11</v>
      </c>
      <c r="L4771" s="128">
        <v>880396.0</v>
      </c>
      <c r="M4771" s="128">
        <v>501230.8</v>
      </c>
      <c r="N4771" s="128">
        <v>379165.2</v>
      </c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</row>
    <row r="4772">
      <c r="A4772" s="125" t="s">
        <v>475</v>
      </c>
      <c r="B4772" s="125" t="s">
        <v>527</v>
      </c>
      <c r="C4772" s="125" t="s">
        <v>463</v>
      </c>
      <c r="D4772" s="125" t="s">
        <v>457</v>
      </c>
      <c r="E4772" s="125" t="s">
        <v>464</v>
      </c>
      <c r="F4772" s="126">
        <v>40880.0</v>
      </c>
      <c r="G4772" s="127">
        <v>9.14E8</v>
      </c>
      <c r="H4772" s="126">
        <v>40888.0</v>
      </c>
      <c r="I4772" s="128">
        <v>1587.0</v>
      </c>
      <c r="J4772" s="128">
        <v>205.7</v>
      </c>
      <c r="K4772" s="128">
        <v>117.11</v>
      </c>
      <c r="L4772" s="128">
        <v>326445.9</v>
      </c>
      <c r="M4772" s="128">
        <v>185853.6</v>
      </c>
      <c r="N4772" s="128">
        <v>140592.3</v>
      </c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</row>
    <row r="4773">
      <c r="A4773" s="125" t="s">
        <v>458</v>
      </c>
      <c r="B4773" s="125" t="s">
        <v>641</v>
      </c>
      <c r="C4773" s="125" t="s">
        <v>463</v>
      </c>
      <c r="D4773" s="125" t="s">
        <v>454</v>
      </c>
      <c r="E4773" s="125" t="s">
        <v>189</v>
      </c>
      <c r="F4773" s="126">
        <v>40703.0</v>
      </c>
      <c r="G4773" s="127">
        <v>5.48E8</v>
      </c>
      <c r="H4773" s="126">
        <v>40738.0</v>
      </c>
      <c r="I4773" s="128">
        <v>2073.0</v>
      </c>
      <c r="J4773" s="128">
        <v>205.7</v>
      </c>
      <c r="K4773" s="128">
        <v>117.11</v>
      </c>
      <c r="L4773" s="128">
        <v>426416.1</v>
      </c>
      <c r="M4773" s="128">
        <v>242769.0</v>
      </c>
      <c r="N4773" s="128">
        <v>183647.1</v>
      </c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</row>
    <row r="4774">
      <c r="A4774" s="125" t="s">
        <v>461</v>
      </c>
      <c r="B4774" s="125" t="s">
        <v>511</v>
      </c>
      <c r="C4774" s="125" t="s">
        <v>494</v>
      </c>
      <c r="D4774" s="125" t="s">
        <v>457</v>
      </c>
      <c r="E4774" s="125" t="s">
        <v>472</v>
      </c>
      <c r="F4774" s="126">
        <v>40884.0</v>
      </c>
      <c r="G4774" s="127">
        <v>5.21E8</v>
      </c>
      <c r="H4774" s="126">
        <v>40923.0</v>
      </c>
      <c r="I4774" s="128">
        <v>4338.0</v>
      </c>
      <c r="J4774" s="128">
        <v>9.33</v>
      </c>
      <c r="K4774" s="128">
        <v>6.92</v>
      </c>
      <c r="L4774" s="128">
        <v>40473.54</v>
      </c>
      <c r="M4774" s="128">
        <v>30018.96</v>
      </c>
      <c r="N4774" s="128">
        <v>10454.58</v>
      </c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</row>
    <row r="4775">
      <c r="A4775" s="125" t="s">
        <v>458</v>
      </c>
      <c r="B4775" s="125" t="s">
        <v>616</v>
      </c>
      <c r="C4775" s="125" t="s">
        <v>471</v>
      </c>
      <c r="D4775" s="125" t="s">
        <v>454</v>
      </c>
      <c r="E4775" s="125" t="s">
        <v>472</v>
      </c>
      <c r="F4775" s="126">
        <v>40188.0</v>
      </c>
      <c r="G4775" s="127">
        <v>6.89E8</v>
      </c>
      <c r="H4775" s="126">
        <v>40209.0</v>
      </c>
      <c r="I4775" s="128">
        <v>4011.0</v>
      </c>
      <c r="J4775" s="128">
        <v>109.28</v>
      </c>
      <c r="K4775" s="128">
        <v>35.84</v>
      </c>
      <c r="L4775" s="128">
        <v>438322.1</v>
      </c>
      <c r="M4775" s="128">
        <v>143754.2</v>
      </c>
      <c r="N4775" s="128">
        <v>294567.8</v>
      </c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</row>
    <row r="4776">
      <c r="A4776" s="125" t="s">
        <v>458</v>
      </c>
      <c r="B4776" s="125" t="s">
        <v>631</v>
      </c>
      <c r="C4776" s="125" t="s">
        <v>485</v>
      </c>
      <c r="D4776" s="125" t="s">
        <v>454</v>
      </c>
      <c r="E4776" s="125" t="s">
        <v>189</v>
      </c>
      <c r="F4776" s="126">
        <v>40533.0</v>
      </c>
      <c r="G4776" s="127">
        <v>5.31E8</v>
      </c>
      <c r="H4776" s="126">
        <v>40576.0</v>
      </c>
      <c r="I4776" s="128">
        <v>8753.0</v>
      </c>
      <c r="J4776" s="128">
        <v>421.89</v>
      </c>
      <c r="K4776" s="128">
        <v>364.69</v>
      </c>
      <c r="L4776" s="128">
        <v>3692803.0</v>
      </c>
      <c r="M4776" s="128">
        <v>3192132.0</v>
      </c>
      <c r="N4776" s="128">
        <v>500671.6</v>
      </c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</row>
    <row r="4777">
      <c r="A4777" s="125" t="s">
        <v>461</v>
      </c>
      <c r="B4777" s="125" t="s">
        <v>462</v>
      </c>
      <c r="C4777" s="125" t="s">
        <v>471</v>
      </c>
      <c r="D4777" s="125" t="s">
        <v>454</v>
      </c>
      <c r="E4777" s="125" t="s">
        <v>464</v>
      </c>
      <c r="F4777" s="126">
        <v>42844.0</v>
      </c>
      <c r="G4777" s="127">
        <v>4.92E8</v>
      </c>
      <c r="H4777" s="126">
        <v>42848.0</v>
      </c>
      <c r="I4777" s="128">
        <v>3256.0</v>
      </c>
      <c r="J4777" s="128">
        <v>109.28</v>
      </c>
      <c r="K4777" s="128">
        <v>35.84</v>
      </c>
      <c r="L4777" s="128">
        <v>355815.7</v>
      </c>
      <c r="M4777" s="128">
        <v>116695.0</v>
      </c>
      <c r="N4777" s="128">
        <v>239120.6</v>
      </c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</row>
    <row r="4778">
      <c r="A4778" s="125" t="s">
        <v>475</v>
      </c>
      <c r="B4778" s="125" t="s">
        <v>558</v>
      </c>
      <c r="C4778" s="125" t="s">
        <v>463</v>
      </c>
      <c r="D4778" s="125" t="s">
        <v>454</v>
      </c>
      <c r="E4778" s="125" t="s">
        <v>472</v>
      </c>
      <c r="F4778" s="126">
        <v>42904.0</v>
      </c>
      <c r="G4778" s="127">
        <v>6.4E8</v>
      </c>
      <c r="H4778" s="126">
        <v>42925.0</v>
      </c>
      <c r="I4778" s="128">
        <v>4244.0</v>
      </c>
      <c r="J4778" s="128">
        <v>205.7</v>
      </c>
      <c r="K4778" s="128">
        <v>117.11</v>
      </c>
      <c r="L4778" s="128">
        <v>872990.8</v>
      </c>
      <c r="M4778" s="128">
        <v>497014.8</v>
      </c>
      <c r="N4778" s="128">
        <v>375976.0</v>
      </c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</row>
    <row r="4779">
      <c r="A4779" s="125" t="s">
        <v>475</v>
      </c>
      <c r="B4779" s="125" t="s">
        <v>602</v>
      </c>
      <c r="C4779" s="125" t="s">
        <v>468</v>
      </c>
      <c r="D4779" s="125" t="s">
        <v>457</v>
      </c>
      <c r="E4779" s="125" t="s">
        <v>284</v>
      </c>
      <c r="F4779" s="126">
        <v>41032.0</v>
      </c>
      <c r="G4779" s="127">
        <v>2.11E8</v>
      </c>
      <c r="H4779" s="126">
        <v>41075.0</v>
      </c>
      <c r="I4779" s="128">
        <v>5473.0</v>
      </c>
      <c r="J4779" s="128">
        <v>81.73</v>
      </c>
      <c r="K4779" s="128">
        <v>56.67</v>
      </c>
      <c r="L4779" s="128">
        <v>447308.3</v>
      </c>
      <c r="M4779" s="128">
        <v>310154.9</v>
      </c>
      <c r="N4779" s="128">
        <v>137153.4</v>
      </c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</row>
    <row r="4780">
      <c r="A4780" s="125" t="s">
        <v>458</v>
      </c>
      <c r="B4780" s="125" t="s">
        <v>633</v>
      </c>
      <c r="C4780" s="125" t="s">
        <v>456</v>
      </c>
      <c r="D4780" s="125" t="s">
        <v>457</v>
      </c>
      <c r="E4780" s="125" t="s">
        <v>189</v>
      </c>
      <c r="F4780" s="126">
        <v>40704.0</v>
      </c>
      <c r="G4780" s="127">
        <v>7.66E8</v>
      </c>
      <c r="H4780" s="126">
        <v>40741.0</v>
      </c>
      <c r="I4780" s="128">
        <v>2727.0</v>
      </c>
      <c r="J4780" s="128">
        <v>152.58</v>
      </c>
      <c r="K4780" s="128">
        <v>97.44</v>
      </c>
      <c r="L4780" s="128">
        <v>416085.7</v>
      </c>
      <c r="M4780" s="128">
        <v>265718.9</v>
      </c>
      <c r="N4780" s="128">
        <v>150366.8</v>
      </c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</row>
    <row r="4781">
      <c r="A4781" s="125" t="s">
        <v>475</v>
      </c>
      <c r="B4781" s="125" t="s">
        <v>649</v>
      </c>
      <c r="C4781" s="125" t="s">
        <v>514</v>
      </c>
      <c r="D4781" s="125" t="s">
        <v>454</v>
      </c>
      <c r="E4781" s="125" t="s">
        <v>284</v>
      </c>
      <c r="F4781" s="126">
        <v>41636.0</v>
      </c>
      <c r="G4781" s="127">
        <v>3.3E8</v>
      </c>
      <c r="H4781" s="126">
        <v>41641.0</v>
      </c>
      <c r="I4781" s="128">
        <v>8825.0</v>
      </c>
      <c r="J4781" s="128">
        <v>668.27</v>
      </c>
      <c r="K4781" s="128">
        <v>502.54</v>
      </c>
      <c r="L4781" s="128">
        <v>5897483.0</v>
      </c>
      <c r="M4781" s="128">
        <v>4434916.0</v>
      </c>
      <c r="N4781" s="128">
        <v>1462567.0</v>
      </c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</row>
    <row r="4782">
      <c r="A4782" s="125" t="s">
        <v>466</v>
      </c>
      <c r="B4782" s="125" t="s">
        <v>477</v>
      </c>
      <c r="C4782" s="125" t="s">
        <v>485</v>
      </c>
      <c r="D4782" s="125" t="s">
        <v>457</v>
      </c>
      <c r="E4782" s="125" t="s">
        <v>284</v>
      </c>
      <c r="F4782" s="126">
        <v>41163.0</v>
      </c>
      <c r="G4782" s="127">
        <v>1.53E8</v>
      </c>
      <c r="H4782" s="126">
        <v>41179.0</v>
      </c>
      <c r="I4782" s="128">
        <v>8616.0</v>
      </c>
      <c r="J4782" s="128">
        <v>421.89</v>
      </c>
      <c r="K4782" s="128">
        <v>364.69</v>
      </c>
      <c r="L4782" s="128">
        <v>3635004.0</v>
      </c>
      <c r="M4782" s="128">
        <v>3142169.0</v>
      </c>
      <c r="N4782" s="128">
        <v>492835.2</v>
      </c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</row>
    <row r="4783">
      <c r="A4783" s="125" t="s">
        <v>469</v>
      </c>
      <c r="B4783" s="125" t="s">
        <v>470</v>
      </c>
      <c r="C4783" s="125" t="s">
        <v>453</v>
      </c>
      <c r="D4783" s="125" t="s">
        <v>457</v>
      </c>
      <c r="E4783" s="125" t="s">
        <v>472</v>
      </c>
      <c r="F4783" s="126">
        <v>41164.0</v>
      </c>
      <c r="G4783" s="127">
        <v>6.54E8</v>
      </c>
      <c r="H4783" s="126">
        <v>41188.0</v>
      </c>
      <c r="I4783" s="128">
        <v>3978.0</v>
      </c>
      <c r="J4783" s="128">
        <v>255.28</v>
      </c>
      <c r="K4783" s="128">
        <v>159.42</v>
      </c>
      <c r="L4783" s="128">
        <v>1015504.0</v>
      </c>
      <c r="M4783" s="128">
        <v>634172.8</v>
      </c>
      <c r="N4783" s="128">
        <v>381331.1</v>
      </c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</row>
    <row r="4784">
      <c r="A4784" s="125" t="s">
        <v>475</v>
      </c>
      <c r="B4784" s="125" t="s">
        <v>575</v>
      </c>
      <c r="C4784" s="125" t="s">
        <v>478</v>
      </c>
      <c r="D4784" s="125" t="s">
        <v>457</v>
      </c>
      <c r="E4784" s="125" t="s">
        <v>472</v>
      </c>
      <c r="F4784" s="126">
        <v>41136.0</v>
      </c>
      <c r="G4784" s="127">
        <v>9.71E8</v>
      </c>
      <c r="H4784" s="126">
        <v>41184.0</v>
      </c>
      <c r="I4784" s="128">
        <v>8824.0</v>
      </c>
      <c r="J4784" s="128">
        <v>651.21</v>
      </c>
      <c r="K4784" s="128">
        <v>524.96</v>
      </c>
      <c r="L4784" s="128">
        <v>5746277.0</v>
      </c>
      <c r="M4784" s="128">
        <v>4632247.0</v>
      </c>
      <c r="N4784" s="128">
        <v>1114030.0</v>
      </c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</row>
    <row r="4785">
      <c r="A4785" s="125" t="s">
        <v>461</v>
      </c>
      <c r="B4785" s="125" t="s">
        <v>581</v>
      </c>
      <c r="C4785" s="125" t="s">
        <v>494</v>
      </c>
      <c r="D4785" s="125" t="s">
        <v>457</v>
      </c>
      <c r="E4785" s="125" t="s">
        <v>464</v>
      </c>
      <c r="F4785" s="126">
        <v>42351.0</v>
      </c>
      <c r="G4785" s="127">
        <v>3.15E8</v>
      </c>
      <c r="H4785" s="126">
        <v>42395.0</v>
      </c>
      <c r="I4785" s="128">
        <v>4095.0</v>
      </c>
      <c r="J4785" s="128">
        <v>9.33</v>
      </c>
      <c r="K4785" s="128">
        <v>6.92</v>
      </c>
      <c r="L4785" s="128">
        <v>38206.35</v>
      </c>
      <c r="M4785" s="128">
        <v>28337.4</v>
      </c>
      <c r="N4785" s="128">
        <v>9868.95</v>
      </c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</row>
    <row r="4786">
      <c r="A4786" s="125" t="s">
        <v>466</v>
      </c>
      <c r="B4786" s="125" t="s">
        <v>637</v>
      </c>
      <c r="C4786" s="125" t="s">
        <v>514</v>
      </c>
      <c r="D4786" s="125" t="s">
        <v>454</v>
      </c>
      <c r="E4786" s="125" t="s">
        <v>284</v>
      </c>
      <c r="F4786" s="126">
        <v>40937.0</v>
      </c>
      <c r="G4786" s="127">
        <v>2.15E8</v>
      </c>
      <c r="H4786" s="126">
        <v>40970.0</v>
      </c>
      <c r="I4786" s="128">
        <v>2765.0</v>
      </c>
      <c r="J4786" s="128">
        <v>668.27</v>
      </c>
      <c r="K4786" s="128">
        <v>502.54</v>
      </c>
      <c r="L4786" s="128">
        <v>1847767.0</v>
      </c>
      <c r="M4786" s="128">
        <v>1389523.0</v>
      </c>
      <c r="N4786" s="128">
        <v>458243.5</v>
      </c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</row>
    <row r="4787">
      <c r="A4787" s="125" t="s">
        <v>458</v>
      </c>
      <c r="B4787" s="125" t="s">
        <v>610</v>
      </c>
      <c r="C4787" s="125" t="s">
        <v>453</v>
      </c>
      <c r="D4787" s="125" t="s">
        <v>457</v>
      </c>
      <c r="E4787" s="125" t="s">
        <v>189</v>
      </c>
      <c r="F4787" s="126">
        <v>40324.0</v>
      </c>
      <c r="G4787" s="127">
        <v>4.7E8</v>
      </c>
      <c r="H4787" s="126">
        <v>40346.0</v>
      </c>
      <c r="I4787" s="128">
        <v>4840.0</v>
      </c>
      <c r="J4787" s="128">
        <v>255.28</v>
      </c>
      <c r="K4787" s="128">
        <v>159.42</v>
      </c>
      <c r="L4787" s="128">
        <v>1235555.0</v>
      </c>
      <c r="M4787" s="128">
        <v>771592.8</v>
      </c>
      <c r="N4787" s="128">
        <v>463962.4</v>
      </c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</row>
    <row r="4788">
      <c r="A4788" s="125" t="s">
        <v>451</v>
      </c>
      <c r="B4788" s="125" t="s">
        <v>483</v>
      </c>
      <c r="C4788" s="125" t="s">
        <v>494</v>
      </c>
      <c r="D4788" s="125" t="s">
        <v>457</v>
      </c>
      <c r="E4788" s="125" t="s">
        <v>472</v>
      </c>
      <c r="F4788" s="126">
        <v>41569.0</v>
      </c>
      <c r="G4788" s="127">
        <v>5.02E8</v>
      </c>
      <c r="H4788" s="126">
        <v>41603.0</v>
      </c>
      <c r="I4788" s="128">
        <v>2354.0</v>
      </c>
      <c r="J4788" s="128">
        <v>9.33</v>
      </c>
      <c r="K4788" s="128">
        <v>6.92</v>
      </c>
      <c r="L4788" s="128">
        <v>21962.82</v>
      </c>
      <c r="M4788" s="128">
        <v>16289.68</v>
      </c>
      <c r="N4788" s="128">
        <v>5673.14</v>
      </c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</row>
    <row r="4789">
      <c r="A4789" s="125" t="s">
        <v>458</v>
      </c>
      <c r="B4789" s="125" t="s">
        <v>554</v>
      </c>
      <c r="C4789" s="125" t="s">
        <v>468</v>
      </c>
      <c r="D4789" s="125" t="s">
        <v>457</v>
      </c>
      <c r="E4789" s="125" t="s">
        <v>189</v>
      </c>
      <c r="F4789" s="126">
        <v>41966.0</v>
      </c>
      <c r="G4789" s="127">
        <v>7.0E8</v>
      </c>
      <c r="H4789" s="126">
        <v>41994.0</v>
      </c>
      <c r="I4789" s="128">
        <v>4376.0</v>
      </c>
      <c r="J4789" s="128">
        <v>81.73</v>
      </c>
      <c r="K4789" s="128">
        <v>56.67</v>
      </c>
      <c r="L4789" s="128">
        <v>357650.5</v>
      </c>
      <c r="M4789" s="128">
        <v>247987.9</v>
      </c>
      <c r="N4789" s="128">
        <v>109662.6</v>
      </c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</row>
    <row r="4790">
      <c r="A4790" s="125" t="s">
        <v>475</v>
      </c>
      <c r="B4790" s="125" t="s">
        <v>513</v>
      </c>
      <c r="C4790" s="125" t="s">
        <v>456</v>
      </c>
      <c r="D4790" s="125" t="s">
        <v>457</v>
      </c>
      <c r="E4790" s="125" t="s">
        <v>464</v>
      </c>
      <c r="F4790" s="126">
        <v>41964.0</v>
      </c>
      <c r="G4790" s="127">
        <v>1.77E8</v>
      </c>
      <c r="H4790" s="126">
        <v>41992.0</v>
      </c>
      <c r="I4790" s="128">
        <v>2005.0</v>
      </c>
      <c r="J4790" s="128">
        <v>152.58</v>
      </c>
      <c r="K4790" s="128">
        <v>97.44</v>
      </c>
      <c r="L4790" s="128">
        <v>305922.9</v>
      </c>
      <c r="M4790" s="128">
        <v>195367.2</v>
      </c>
      <c r="N4790" s="128">
        <v>110555.7</v>
      </c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</row>
    <row r="4791">
      <c r="A4791" s="125" t="s">
        <v>475</v>
      </c>
      <c r="B4791" s="125" t="s">
        <v>624</v>
      </c>
      <c r="C4791" s="125" t="s">
        <v>453</v>
      </c>
      <c r="D4791" s="125" t="s">
        <v>454</v>
      </c>
      <c r="E4791" s="125" t="s">
        <v>472</v>
      </c>
      <c r="F4791" s="126">
        <v>41019.0</v>
      </c>
      <c r="G4791" s="127">
        <v>8.13E8</v>
      </c>
      <c r="H4791" s="126">
        <v>41064.0</v>
      </c>
      <c r="I4791" s="128">
        <v>3369.0</v>
      </c>
      <c r="J4791" s="128">
        <v>255.28</v>
      </c>
      <c r="K4791" s="128">
        <v>159.42</v>
      </c>
      <c r="L4791" s="128">
        <v>860038.3</v>
      </c>
      <c r="M4791" s="128">
        <v>537086.0</v>
      </c>
      <c r="N4791" s="128">
        <v>322952.3</v>
      </c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</row>
    <row r="4792">
      <c r="A4792" s="125" t="s">
        <v>458</v>
      </c>
      <c r="B4792" s="125" t="s">
        <v>563</v>
      </c>
      <c r="C4792" s="125" t="s">
        <v>471</v>
      </c>
      <c r="D4792" s="125" t="s">
        <v>454</v>
      </c>
      <c r="E4792" s="125" t="s">
        <v>472</v>
      </c>
      <c r="F4792" s="126">
        <v>41743.0</v>
      </c>
      <c r="G4792" s="127">
        <v>5.09E8</v>
      </c>
      <c r="H4792" s="126">
        <v>41746.0</v>
      </c>
      <c r="I4792" s="128">
        <v>8631.0</v>
      </c>
      <c r="J4792" s="128">
        <v>109.28</v>
      </c>
      <c r="K4792" s="128">
        <v>35.84</v>
      </c>
      <c r="L4792" s="128">
        <v>943195.7</v>
      </c>
      <c r="M4792" s="128">
        <v>309335.0</v>
      </c>
      <c r="N4792" s="128">
        <v>633860.6</v>
      </c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</row>
    <row r="4793">
      <c r="A4793" s="125" t="s">
        <v>458</v>
      </c>
      <c r="B4793" s="125" t="s">
        <v>567</v>
      </c>
      <c r="C4793" s="125" t="s">
        <v>453</v>
      </c>
      <c r="D4793" s="125" t="s">
        <v>457</v>
      </c>
      <c r="E4793" s="125" t="s">
        <v>189</v>
      </c>
      <c r="F4793" s="126">
        <v>40219.0</v>
      </c>
      <c r="G4793" s="127">
        <v>8.39E8</v>
      </c>
      <c r="H4793" s="126">
        <v>40235.0</v>
      </c>
      <c r="I4793" s="128">
        <v>4983.0</v>
      </c>
      <c r="J4793" s="128">
        <v>255.28</v>
      </c>
      <c r="K4793" s="128">
        <v>159.42</v>
      </c>
      <c r="L4793" s="128">
        <v>1272060.0</v>
      </c>
      <c r="M4793" s="128">
        <v>794389.9</v>
      </c>
      <c r="N4793" s="128">
        <v>477670.4</v>
      </c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</row>
    <row r="4794">
      <c r="A4794" s="125" t="s">
        <v>451</v>
      </c>
      <c r="B4794" s="125" t="s">
        <v>609</v>
      </c>
      <c r="C4794" s="125" t="s">
        <v>494</v>
      </c>
      <c r="D4794" s="125" t="s">
        <v>457</v>
      </c>
      <c r="E4794" s="125" t="s">
        <v>472</v>
      </c>
      <c r="F4794" s="126">
        <v>41220.0</v>
      </c>
      <c r="G4794" s="127">
        <v>2.93E8</v>
      </c>
      <c r="H4794" s="126">
        <v>41230.0</v>
      </c>
      <c r="I4794" s="128">
        <v>1647.0</v>
      </c>
      <c r="J4794" s="128">
        <v>9.33</v>
      </c>
      <c r="K4794" s="128">
        <v>6.92</v>
      </c>
      <c r="L4794" s="128">
        <v>15366.51</v>
      </c>
      <c r="M4794" s="128">
        <v>11397.24</v>
      </c>
      <c r="N4794" s="128">
        <v>3969.27</v>
      </c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</row>
    <row r="4795">
      <c r="A4795" s="125" t="s">
        <v>466</v>
      </c>
      <c r="B4795" s="125" t="s">
        <v>607</v>
      </c>
      <c r="C4795" s="125" t="s">
        <v>463</v>
      </c>
      <c r="D4795" s="125" t="s">
        <v>454</v>
      </c>
      <c r="E4795" s="125" t="s">
        <v>284</v>
      </c>
      <c r="F4795" s="126">
        <v>40224.0</v>
      </c>
      <c r="G4795" s="127">
        <v>1.35E8</v>
      </c>
      <c r="H4795" s="126">
        <v>40274.0</v>
      </c>
      <c r="I4795" s="128">
        <v>4880.0</v>
      </c>
      <c r="J4795" s="128">
        <v>205.7</v>
      </c>
      <c r="K4795" s="128">
        <v>117.11</v>
      </c>
      <c r="L4795" s="128">
        <v>1003816.0</v>
      </c>
      <c r="M4795" s="128">
        <v>571496.8</v>
      </c>
      <c r="N4795" s="128">
        <v>432319.2</v>
      </c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</row>
    <row r="4796">
      <c r="A4796" s="125" t="s">
        <v>451</v>
      </c>
      <c r="B4796" s="125" t="s">
        <v>550</v>
      </c>
      <c r="C4796" s="125" t="s">
        <v>463</v>
      </c>
      <c r="D4796" s="125" t="s">
        <v>457</v>
      </c>
      <c r="E4796" s="125" t="s">
        <v>189</v>
      </c>
      <c r="F4796" s="126">
        <v>41399.0</v>
      </c>
      <c r="G4796" s="127">
        <v>3.48E8</v>
      </c>
      <c r="H4796" s="126">
        <v>41412.0</v>
      </c>
      <c r="I4796" s="128">
        <v>2967.0</v>
      </c>
      <c r="J4796" s="128">
        <v>205.7</v>
      </c>
      <c r="K4796" s="128">
        <v>117.11</v>
      </c>
      <c r="L4796" s="128">
        <v>610311.9</v>
      </c>
      <c r="M4796" s="128">
        <v>347465.4</v>
      </c>
      <c r="N4796" s="128">
        <v>262846.5</v>
      </c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</row>
    <row r="4797">
      <c r="A4797" s="125" t="s">
        <v>475</v>
      </c>
      <c r="B4797" s="125" t="s">
        <v>552</v>
      </c>
      <c r="C4797" s="125" t="s">
        <v>514</v>
      </c>
      <c r="D4797" s="125" t="s">
        <v>454</v>
      </c>
      <c r="E4797" s="125" t="s">
        <v>284</v>
      </c>
      <c r="F4797" s="126">
        <v>42385.0</v>
      </c>
      <c r="G4797" s="127">
        <v>9.84E8</v>
      </c>
      <c r="H4797" s="126">
        <v>42400.0</v>
      </c>
      <c r="I4797" s="128">
        <v>1226.0</v>
      </c>
      <c r="J4797" s="128">
        <v>668.27</v>
      </c>
      <c r="K4797" s="128">
        <v>502.54</v>
      </c>
      <c r="L4797" s="128">
        <v>819299.0</v>
      </c>
      <c r="M4797" s="128">
        <v>616114.0</v>
      </c>
      <c r="N4797" s="128">
        <v>203185.0</v>
      </c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</row>
    <row r="4798">
      <c r="A4798" s="125" t="s">
        <v>469</v>
      </c>
      <c r="B4798" s="125" t="s">
        <v>530</v>
      </c>
      <c r="C4798" s="125" t="s">
        <v>453</v>
      </c>
      <c r="D4798" s="125" t="s">
        <v>454</v>
      </c>
      <c r="E4798" s="125" t="s">
        <v>472</v>
      </c>
      <c r="F4798" s="126">
        <v>41211.0</v>
      </c>
      <c r="G4798" s="127">
        <v>8.17E8</v>
      </c>
      <c r="H4798" s="126">
        <v>41248.0</v>
      </c>
      <c r="I4798" s="128">
        <v>7005.0</v>
      </c>
      <c r="J4798" s="128">
        <v>255.28</v>
      </c>
      <c r="K4798" s="128">
        <v>159.42</v>
      </c>
      <c r="L4798" s="128">
        <v>1788236.0</v>
      </c>
      <c r="M4798" s="128">
        <v>1116737.0</v>
      </c>
      <c r="N4798" s="128">
        <v>671499.3</v>
      </c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</row>
    <row r="4799">
      <c r="A4799" s="125" t="s">
        <v>461</v>
      </c>
      <c r="B4799" s="125" t="s">
        <v>564</v>
      </c>
      <c r="C4799" s="125" t="s">
        <v>468</v>
      </c>
      <c r="D4799" s="125" t="s">
        <v>457</v>
      </c>
      <c r="E4799" s="125" t="s">
        <v>284</v>
      </c>
      <c r="F4799" s="126">
        <v>40445.0</v>
      </c>
      <c r="G4799" s="127">
        <v>4.91E8</v>
      </c>
      <c r="H4799" s="126">
        <v>40491.0</v>
      </c>
      <c r="I4799" s="128">
        <v>4684.0</v>
      </c>
      <c r="J4799" s="128">
        <v>81.73</v>
      </c>
      <c r="K4799" s="128">
        <v>56.67</v>
      </c>
      <c r="L4799" s="128">
        <v>382823.3</v>
      </c>
      <c r="M4799" s="128">
        <v>265442.3</v>
      </c>
      <c r="N4799" s="128">
        <v>117381.0</v>
      </c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</row>
    <row r="4800">
      <c r="A4800" s="125" t="s">
        <v>488</v>
      </c>
      <c r="B4800" s="125" t="s">
        <v>654</v>
      </c>
      <c r="C4800" s="125" t="s">
        <v>478</v>
      </c>
      <c r="D4800" s="125" t="s">
        <v>457</v>
      </c>
      <c r="E4800" s="125" t="s">
        <v>284</v>
      </c>
      <c r="F4800" s="126">
        <v>40278.0</v>
      </c>
      <c r="G4800" s="127">
        <v>2.7E8</v>
      </c>
      <c r="H4800" s="126">
        <v>40299.0</v>
      </c>
      <c r="I4800" s="128">
        <v>675.0</v>
      </c>
      <c r="J4800" s="128">
        <v>651.21</v>
      </c>
      <c r="K4800" s="128">
        <v>524.96</v>
      </c>
      <c r="L4800" s="128">
        <v>439566.8</v>
      </c>
      <c r="M4800" s="128">
        <v>354348.0</v>
      </c>
      <c r="N4800" s="128">
        <v>85218.75</v>
      </c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</row>
    <row r="4801">
      <c r="A4801" s="125" t="s">
        <v>475</v>
      </c>
      <c r="B4801" s="125" t="s">
        <v>500</v>
      </c>
      <c r="C4801" s="125" t="s">
        <v>471</v>
      </c>
      <c r="D4801" s="125" t="s">
        <v>457</v>
      </c>
      <c r="E4801" s="125" t="s">
        <v>189</v>
      </c>
      <c r="F4801" s="126">
        <v>42671.0</v>
      </c>
      <c r="G4801" s="127">
        <v>4.88E8</v>
      </c>
      <c r="H4801" s="126">
        <v>42705.0</v>
      </c>
      <c r="I4801" s="128">
        <v>8419.0</v>
      </c>
      <c r="J4801" s="128">
        <v>109.28</v>
      </c>
      <c r="K4801" s="128">
        <v>35.84</v>
      </c>
      <c r="L4801" s="128">
        <v>920028.3</v>
      </c>
      <c r="M4801" s="128">
        <v>301737.0</v>
      </c>
      <c r="N4801" s="128">
        <v>618291.4</v>
      </c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</row>
    <row r="4802">
      <c r="A4802" s="125" t="s">
        <v>458</v>
      </c>
      <c r="B4802" s="125" t="s">
        <v>487</v>
      </c>
      <c r="C4802" s="125" t="s">
        <v>478</v>
      </c>
      <c r="D4802" s="125" t="s">
        <v>457</v>
      </c>
      <c r="E4802" s="125" t="s">
        <v>284</v>
      </c>
      <c r="F4802" s="126">
        <v>41679.0</v>
      </c>
      <c r="G4802" s="127">
        <v>2.01E8</v>
      </c>
      <c r="H4802" s="126">
        <v>41695.0</v>
      </c>
      <c r="I4802" s="128">
        <v>3391.0</v>
      </c>
      <c r="J4802" s="128">
        <v>651.21</v>
      </c>
      <c r="K4802" s="128">
        <v>524.96</v>
      </c>
      <c r="L4802" s="128">
        <v>2208253.0</v>
      </c>
      <c r="M4802" s="128">
        <v>1780139.0</v>
      </c>
      <c r="N4802" s="128">
        <v>428113.8</v>
      </c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</row>
    <row r="4803">
      <c r="A4803" s="125" t="s">
        <v>461</v>
      </c>
      <c r="B4803" s="125" t="s">
        <v>556</v>
      </c>
      <c r="C4803" s="125" t="s">
        <v>514</v>
      </c>
      <c r="D4803" s="125" t="s">
        <v>454</v>
      </c>
      <c r="E4803" s="125" t="s">
        <v>189</v>
      </c>
      <c r="F4803" s="126">
        <v>41423.0</v>
      </c>
      <c r="G4803" s="127">
        <v>3.32E8</v>
      </c>
      <c r="H4803" s="126">
        <v>41462.0</v>
      </c>
      <c r="I4803" s="128">
        <v>8095.0</v>
      </c>
      <c r="J4803" s="128">
        <v>668.27</v>
      </c>
      <c r="K4803" s="128">
        <v>502.54</v>
      </c>
      <c r="L4803" s="128">
        <v>5409646.0</v>
      </c>
      <c r="M4803" s="128">
        <v>4068061.0</v>
      </c>
      <c r="N4803" s="128">
        <v>1341584.0</v>
      </c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</row>
    <row r="4804">
      <c r="A4804" s="125" t="s">
        <v>451</v>
      </c>
      <c r="B4804" s="125" t="s">
        <v>609</v>
      </c>
      <c r="C4804" s="125" t="s">
        <v>453</v>
      </c>
      <c r="D4804" s="125" t="s">
        <v>454</v>
      </c>
      <c r="E4804" s="125" t="s">
        <v>189</v>
      </c>
      <c r="F4804" s="126">
        <v>40886.0</v>
      </c>
      <c r="G4804" s="127">
        <v>5.28E8</v>
      </c>
      <c r="H4804" s="126">
        <v>40922.0</v>
      </c>
      <c r="I4804" s="128">
        <v>7067.0</v>
      </c>
      <c r="J4804" s="128">
        <v>255.28</v>
      </c>
      <c r="K4804" s="128">
        <v>159.42</v>
      </c>
      <c r="L4804" s="128">
        <v>1804064.0</v>
      </c>
      <c r="M4804" s="128">
        <v>1126621.0</v>
      </c>
      <c r="N4804" s="128">
        <v>677442.6</v>
      </c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</row>
    <row r="4805">
      <c r="A4805" s="125" t="s">
        <v>458</v>
      </c>
      <c r="B4805" s="125" t="s">
        <v>626</v>
      </c>
      <c r="C4805" s="125" t="s">
        <v>485</v>
      </c>
      <c r="D4805" s="125" t="s">
        <v>454</v>
      </c>
      <c r="E4805" s="125" t="s">
        <v>189</v>
      </c>
      <c r="F4805" s="126">
        <v>40819.0</v>
      </c>
      <c r="G4805" s="127">
        <v>5.05E8</v>
      </c>
      <c r="H4805" s="126">
        <v>40849.0</v>
      </c>
      <c r="I4805" s="128">
        <v>1875.0</v>
      </c>
      <c r="J4805" s="128">
        <v>421.89</v>
      </c>
      <c r="K4805" s="128">
        <v>364.69</v>
      </c>
      <c r="L4805" s="128">
        <v>791043.8</v>
      </c>
      <c r="M4805" s="128">
        <v>683793.8</v>
      </c>
      <c r="N4805" s="128">
        <v>107250.0</v>
      </c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</row>
    <row r="4806">
      <c r="A4806" s="125" t="s">
        <v>461</v>
      </c>
      <c r="B4806" s="125" t="s">
        <v>556</v>
      </c>
      <c r="C4806" s="125" t="s">
        <v>471</v>
      </c>
      <c r="D4806" s="125" t="s">
        <v>454</v>
      </c>
      <c r="E4806" s="125" t="s">
        <v>189</v>
      </c>
      <c r="F4806" s="126">
        <v>42363.0</v>
      </c>
      <c r="G4806" s="127">
        <v>4.98E8</v>
      </c>
      <c r="H4806" s="126">
        <v>42369.0</v>
      </c>
      <c r="I4806" s="128">
        <v>6117.0</v>
      </c>
      <c r="J4806" s="128">
        <v>109.28</v>
      </c>
      <c r="K4806" s="128">
        <v>35.84</v>
      </c>
      <c r="L4806" s="128">
        <v>668465.8</v>
      </c>
      <c r="M4806" s="128">
        <v>219233.3</v>
      </c>
      <c r="N4806" s="128">
        <v>449232.5</v>
      </c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</row>
    <row r="4807">
      <c r="A4807" s="125" t="s">
        <v>466</v>
      </c>
      <c r="B4807" s="125" t="s">
        <v>508</v>
      </c>
      <c r="C4807" s="125" t="s">
        <v>485</v>
      </c>
      <c r="D4807" s="125" t="s">
        <v>454</v>
      </c>
      <c r="E4807" s="125" t="s">
        <v>472</v>
      </c>
      <c r="F4807" s="126">
        <v>42899.0</v>
      </c>
      <c r="G4807" s="127">
        <v>8.13E8</v>
      </c>
      <c r="H4807" s="126">
        <v>42938.0</v>
      </c>
      <c r="I4807" s="128">
        <v>423.0</v>
      </c>
      <c r="J4807" s="128">
        <v>421.89</v>
      </c>
      <c r="K4807" s="128">
        <v>364.69</v>
      </c>
      <c r="L4807" s="128">
        <v>178459.5</v>
      </c>
      <c r="M4807" s="128">
        <v>154263.9</v>
      </c>
      <c r="N4807" s="128">
        <v>24195.6</v>
      </c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</row>
    <row r="4808">
      <c r="A4808" s="125" t="s">
        <v>458</v>
      </c>
      <c r="B4808" s="125" t="s">
        <v>567</v>
      </c>
      <c r="C4808" s="125" t="s">
        <v>463</v>
      </c>
      <c r="D4808" s="125" t="s">
        <v>457</v>
      </c>
      <c r="E4808" s="125" t="s">
        <v>472</v>
      </c>
      <c r="F4808" s="126">
        <v>40198.0</v>
      </c>
      <c r="G4808" s="127">
        <v>4.77E8</v>
      </c>
      <c r="H4808" s="126">
        <v>40213.0</v>
      </c>
      <c r="I4808" s="128">
        <v>7455.0</v>
      </c>
      <c r="J4808" s="128">
        <v>205.7</v>
      </c>
      <c r="K4808" s="128">
        <v>117.11</v>
      </c>
      <c r="L4808" s="128">
        <v>1533494.0</v>
      </c>
      <c r="M4808" s="128">
        <v>873055.1</v>
      </c>
      <c r="N4808" s="128">
        <v>660438.5</v>
      </c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</row>
    <row r="4809">
      <c r="A4809" s="125" t="s">
        <v>475</v>
      </c>
      <c r="B4809" s="125" t="s">
        <v>636</v>
      </c>
      <c r="C4809" s="125" t="s">
        <v>494</v>
      </c>
      <c r="D4809" s="125" t="s">
        <v>454</v>
      </c>
      <c r="E4809" s="125" t="s">
        <v>284</v>
      </c>
      <c r="F4809" s="126">
        <v>42100.0</v>
      </c>
      <c r="G4809" s="127">
        <v>3.88E8</v>
      </c>
      <c r="H4809" s="126">
        <v>42110.0</v>
      </c>
      <c r="I4809" s="128">
        <v>6905.0</v>
      </c>
      <c r="J4809" s="128">
        <v>9.33</v>
      </c>
      <c r="K4809" s="128">
        <v>6.92</v>
      </c>
      <c r="L4809" s="128">
        <v>64423.65</v>
      </c>
      <c r="M4809" s="128">
        <v>47782.6</v>
      </c>
      <c r="N4809" s="128">
        <v>16641.05</v>
      </c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</row>
    <row r="4810">
      <c r="A4810" s="125" t="s">
        <v>458</v>
      </c>
      <c r="B4810" s="125" t="s">
        <v>633</v>
      </c>
      <c r="C4810" s="125" t="s">
        <v>480</v>
      </c>
      <c r="D4810" s="125" t="s">
        <v>454</v>
      </c>
      <c r="E4810" s="125" t="s">
        <v>464</v>
      </c>
      <c r="F4810" s="126">
        <v>40238.0</v>
      </c>
      <c r="G4810" s="127">
        <v>1.61E8</v>
      </c>
      <c r="H4810" s="126">
        <v>40252.0</v>
      </c>
      <c r="I4810" s="128">
        <v>496.0</v>
      </c>
      <c r="J4810" s="128">
        <v>437.2</v>
      </c>
      <c r="K4810" s="128">
        <v>263.33</v>
      </c>
      <c r="L4810" s="128">
        <v>216851.2</v>
      </c>
      <c r="M4810" s="128">
        <v>130611.7</v>
      </c>
      <c r="N4810" s="128">
        <v>86239.52</v>
      </c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</row>
    <row r="4811">
      <c r="A4811" s="125" t="s">
        <v>466</v>
      </c>
      <c r="B4811" s="125" t="s">
        <v>584</v>
      </c>
      <c r="C4811" s="125" t="s">
        <v>506</v>
      </c>
      <c r="D4811" s="125" t="s">
        <v>454</v>
      </c>
      <c r="E4811" s="125" t="s">
        <v>189</v>
      </c>
      <c r="F4811" s="126">
        <v>41847.0</v>
      </c>
      <c r="G4811" s="127">
        <v>3.86E8</v>
      </c>
      <c r="H4811" s="126">
        <v>41849.0</v>
      </c>
      <c r="I4811" s="128">
        <v>6983.0</v>
      </c>
      <c r="J4811" s="128">
        <v>154.06</v>
      </c>
      <c r="K4811" s="128">
        <v>90.93</v>
      </c>
      <c r="L4811" s="128">
        <v>1075801.0</v>
      </c>
      <c r="M4811" s="128">
        <v>634964.2</v>
      </c>
      <c r="N4811" s="128">
        <v>440836.8</v>
      </c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</row>
    <row r="4812">
      <c r="A4812" s="125" t="s">
        <v>469</v>
      </c>
      <c r="B4812" s="125" t="s">
        <v>589</v>
      </c>
      <c r="C4812" s="125" t="s">
        <v>456</v>
      </c>
      <c r="D4812" s="125" t="s">
        <v>457</v>
      </c>
      <c r="E4812" s="125" t="s">
        <v>189</v>
      </c>
      <c r="F4812" s="126">
        <v>40722.0</v>
      </c>
      <c r="G4812" s="127">
        <v>3.69E8</v>
      </c>
      <c r="H4812" s="126">
        <v>40738.0</v>
      </c>
      <c r="I4812" s="128">
        <v>7153.0</v>
      </c>
      <c r="J4812" s="128">
        <v>152.58</v>
      </c>
      <c r="K4812" s="128">
        <v>97.44</v>
      </c>
      <c r="L4812" s="128">
        <v>1091405.0</v>
      </c>
      <c r="M4812" s="128">
        <v>696988.3</v>
      </c>
      <c r="N4812" s="128">
        <v>394416.4</v>
      </c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</row>
    <row r="4813">
      <c r="A4813" s="125" t="s">
        <v>475</v>
      </c>
      <c r="B4813" s="125" t="s">
        <v>604</v>
      </c>
      <c r="C4813" s="125" t="s">
        <v>453</v>
      </c>
      <c r="D4813" s="125" t="s">
        <v>457</v>
      </c>
      <c r="E4813" s="125" t="s">
        <v>464</v>
      </c>
      <c r="F4813" s="126">
        <v>40725.0</v>
      </c>
      <c r="G4813" s="127">
        <v>3.89E8</v>
      </c>
      <c r="H4813" s="126">
        <v>40759.0</v>
      </c>
      <c r="I4813" s="128">
        <v>8822.0</v>
      </c>
      <c r="J4813" s="128">
        <v>255.28</v>
      </c>
      <c r="K4813" s="128">
        <v>159.42</v>
      </c>
      <c r="L4813" s="128">
        <v>2252080.0</v>
      </c>
      <c r="M4813" s="128">
        <v>1406403.0</v>
      </c>
      <c r="N4813" s="128">
        <v>845676.9</v>
      </c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</row>
    <row r="4814">
      <c r="A4814" s="125" t="s">
        <v>466</v>
      </c>
      <c r="B4814" s="125" t="s">
        <v>474</v>
      </c>
      <c r="C4814" s="125" t="s">
        <v>456</v>
      </c>
      <c r="D4814" s="125" t="s">
        <v>457</v>
      </c>
      <c r="E4814" s="125" t="s">
        <v>464</v>
      </c>
      <c r="F4814" s="126">
        <v>40578.0</v>
      </c>
      <c r="G4814" s="127">
        <v>3.45E8</v>
      </c>
      <c r="H4814" s="126">
        <v>40626.0</v>
      </c>
      <c r="I4814" s="128">
        <v>1840.0</v>
      </c>
      <c r="J4814" s="128">
        <v>152.58</v>
      </c>
      <c r="K4814" s="128">
        <v>97.44</v>
      </c>
      <c r="L4814" s="128">
        <v>280747.2</v>
      </c>
      <c r="M4814" s="128">
        <v>179289.6</v>
      </c>
      <c r="N4814" s="128">
        <v>101457.6</v>
      </c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</row>
    <row r="4815">
      <c r="A4815" s="125" t="s">
        <v>458</v>
      </c>
      <c r="B4815" s="125" t="s">
        <v>583</v>
      </c>
      <c r="C4815" s="125" t="s">
        <v>478</v>
      </c>
      <c r="D4815" s="125" t="s">
        <v>454</v>
      </c>
      <c r="E4815" s="125" t="s">
        <v>472</v>
      </c>
      <c r="F4815" s="126">
        <v>40775.0</v>
      </c>
      <c r="G4815" s="127">
        <v>2.04E8</v>
      </c>
      <c r="H4815" s="126">
        <v>40812.0</v>
      </c>
      <c r="I4815" s="128">
        <v>3086.0</v>
      </c>
      <c r="J4815" s="128">
        <v>651.21</v>
      </c>
      <c r="K4815" s="128">
        <v>524.96</v>
      </c>
      <c r="L4815" s="128">
        <v>2009634.0</v>
      </c>
      <c r="M4815" s="128">
        <v>1620027.0</v>
      </c>
      <c r="N4815" s="128">
        <v>389607.5</v>
      </c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</row>
    <row r="4816">
      <c r="A4816" s="125" t="s">
        <v>469</v>
      </c>
      <c r="B4816" s="125" t="s">
        <v>630</v>
      </c>
      <c r="C4816" s="125" t="s">
        <v>485</v>
      </c>
      <c r="D4816" s="125" t="s">
        <v>454</v>
      </c>
      <c r="E4816" s="125" t="s">
        <v>464</v>
      </c>
      <c r="F4816" s="126">
        <v>42196.0</v>
      </c>
      <c r="G4816" s="127">
        <v>4.57E8</v>
      </c>
      <c r="H4816" s="126">
        <v>42243.0</v>
      </c>
      <c r="I4816" s="128">
        <v>1472.0</v>
      </c>
      <c r="J4816" s="128">
        <v>421.89</v>
      </c>
      <c r="K4816" s="128">
        <v>364.69</v>
      </c>
      <c r="L4816" s="128">
        <v>621022.1</v>
      </c>
      <c r="M4816" s="128">
        <v>536823.7</v>
      </c>
      <c r="N4816" s="128">
        <v>84198.4</v>
      </c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</row>
    <row r="4817">
      <c r="A4817" s="125" t="s">
        <v>475</v>
      </c>
      <c r="B4817" s="125" t="s">
        <v>605</v>
      </c>
      <c r="C4817" s="125" t="s">
        <v>480</v>
      </c>
      <c r="D4817" s="125" t="s">
        <v>454</v>
      </c>
      <c r="E4817" s="125" t="s">
        <v>284</v>
      </c>
      <c r="F4817" s="126">
        <v>41965.0</v>
      </c>
      <c r="G4817" s="127">
        <v>7.63E8</v>
      </c>
      <c r="H4817" s="126">
        <v>41972.0</v>
      </c>
      <c r="I4817" s="128">
        <v>2939.0</v>
      </c>
      <c r="J4817" s="128">
        <v>437.2</v>
      </c>
      <c r="K4817" s="128">
        <v>263.33</v>
      </c>
      <c r="L4817" s="128">
        <v>1284931.0</v>
      </c>
      <c r="M4817" s="128">
        <v>773926.9</v>
      </c>
      <c r="N4817" s="128">
        <v>511003.9</v>
      </c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</row>
    <row r="4818">
      <c r="A4818" s="125" t="s">
        <v>458</v>
      </c>
      <c r="B4818" s="125" t="s">
        <v>540</v>
      </c>
      <c r="C4818" s="125" t="s">
        <v>463</v>
      </c>
      <c r="D4818" s="125" t="s">
        <v>457</v>
      </c>
      <c r="E4818" s="125" t="s">
        <v>189</v>
      </c>
      <c r="F4818" s="126">
        <v>40357.0</v>
      </c>
      <c r="G4818" s="127">
        <v>4.01E8</v>
      </c>
      <c r="H4818" s="126">
        <v>40371.0</v>
      </c>
      <c r="I4818" s="128">
        <v>5462.0</v>
      </c>
      <c r="J4818" s="128">
        <v>205.7</v>
      </c>
      <c r="K4818" s="128">
        <v>117.11</v>
      </c>
      <c r="L4818" s="128">
        <v>1123533.0</v>
      </c>
      <c r="M4818" s="128">
        <v>639654.8</v>
      </c>
      <c r="N4818" s="128">
        <v>483878.6</v>
      </c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</row>
    <row r="4819">
      <c r="A4819" s="125" t="s">
        <v>461</v>
      </c>
      <c r="B4819" s="125" t="s">
        <v>542</v>
      </c>
      <c r="C4819" s="125" t="s">
        <v>460</v>
      </c>
      <c r="D4819" s="125" t="s">
        <v>454</v>
      </c>
      <c r="E4819" s="125" t="s">
        <v>472</v>
      </c>
      <c r="F4819" s="126">
        <v>42188.0</v>
      </c>
      <c r="G4819" s="127">
        <v>5.21E8</v>
      </c>
      <c r="H4819" s="126">
        <v>42189.0</v>
      </c>
      <c r="I4819" s="128">
        <v>4045.0</v>
      </c>
      <c r="J4819" s="128">
        <v>47.45</v>
      </c>
      <c r="K4819" s="128">
        <v>31.79</v>
      </c>
      <c r="L4819" s="128">
        <v>191935.3</v>
      </c>
      <c r="M4819" s="128">
        <v>128590.6</v>
      </c>
      <c r="N4819" s="128">
        <v>63344.7</v>
      </c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</row>
    <row r="4820">
      <c r="A4820" s="125" t="s">
        <v>475</v>
      </c>
      <c r="B4820" s="125" t="s">
        <v>624</v>
      </c>
      <c r="C4820" s="125" t="s">
        <v>506</v>
      </c>
      <c r="D4820" s="125" t="s">
        <v>457</v>
      </c>
      <c r="E4820" s="125" t="s">
        <v>189</v>
      </c>
      <c r="F4820" s="126">
        <v>41597.0</v>
      </c>
      <c r="G4820" s="127">
        <v>9.95E8</v>
      </c>
      <c r="H4820" s="126">
        <v>41612.0</v>
      </c>
      <c r="I4820" s="128">
        <v>5725.0</v>
      </c>
      <c r="J4820" s="128">
        <v>154.06</v>
      </c>
      <c r="K4820" s="128">
        <v>90.93</v>
      </c>
      <c r="L4820" s="128">
        <v>881993.5</v>
      </c>
      <c r="M4820" s="128">
        <v>520574.3</v>
      </c>
      <c r="N4820" s="128">
        <v>361419.3</v>
      </c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</row>
    <row r="4821">
      <c r="A4821" s="125" t="s">
        <v>475</v>
      </c>
      <c r="B4821" s="125" t="s">
        <v>527</v>
      </c>
      <c r="C4821" s="125" t="s">
        <v>460</v>
      </c>
      <c r="D4821" s="125" t="s">
        <v>457</v>
      </c>
      <c r="E4821" s="125" t="s">
        <v>189</v>
      </c>
      <c r="F4821" s="126">
        <v>42794.0</v>
      </c>
      <c r="G4821" s="127">
        <v>8.62E8</v>
      </c>
      <c r="H4821" s="126">
        <v>42834.0</v>
      </c>
      <c r="I4821" s="128">
        <v>4568.0</v>
      </c>
      <c r="J4821" s="128">
        <v>47.45</v>
      </c>
      <c r="K4821" s="128">
        <v>31.79</v>
      </c>
      <c r="L4821" s="128">
        <v>216751.6</v>
      </c>
      <c r="M4821" s="128">
        <v>145216.7</v>
      </c>
      <c r="N4821" s="128">
        <v>71534.88</v>
      </c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</row>
    <row r="4822">
      <c r="A4822" s="125" t="s">
        <v>451</v>
      </c>
      <c r="B4822" s="125" t="s">
        <v>482</v>
      </c>
      <c r="C4822" s="125" t="s">
        <v>453</v>
      </c>
      <c r="D4822" s="125" t="s">
        <v>454</v>
      </c>
      <c r="E4822" s="125" t="s">
        <v>472</v>
      </c>
      <c r="F4822" s="126">
        <v>42081.0</v>
      </c>
      <c r="G4822" s="127">
        <v>5.83E8</v>
      </c>
      <c r="H4822" s="126">
        <v>42104.0</v>
      </c>
      <c r="I4822" s="128">
        <v>6674.0</v>
      </c>
      <c r="J4822" s="128">
        <v>255.28</v>
      </c>
      <c r="K4822" s="128">
        <v>159.42</v>
      </c>
      <c r="L4822" s="128">
        <v>1703739.0</v>
      </c>
      <c r="M4822" s="128">
        <v>1063969.0</v>
      </c>
      <c r="N4822" s="128">
        <v>639769.6</v>
      </c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</row>
    <row r="4823">
      <c r="A4823" s="125" t="s">
        <v>475</v>
      </c>
      <c r="B4823" s="125" t="s">
        <v>500</v>
      </c>
      <c r="C4823" s="125" t="s">
        <v>480</v>
      </c>
      <c r="D4823" s="125" t="s">
        <v>454</v>
      </c>
      <c r="E4823" s="125" t="s">
        <v>464</v>
      </c>
      <c r="F4823" s="126">
        <v>40295.0</v>
      </c>
      <c r="G4823" s="127">
        <v>6.9E8</v>
      </c>
      <c r="H4823" s="126">
        <v>40298.0</v>
      </c>
      <c r="I4823" s="128">
        <v>5173.0</v>
      </c>
      <c r="J4823" s="128">
        <v>437.2</v>
      </c>
      <c r="K4823" s="128">
        <v>263.33</v>
      </c>
      <c r="L4823" s="128">
        <v>2261636.0</v>
      </c>
      <c r="M4823" s="128">
        <v>1362206.0</v>
      </c>
      <c r="N4823" s="128">
        <v>899429.5</v>
      </c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</row>
    <row r="4824">
      <c r="A4824" s="125" t="s">
        <v>475</v>
      </c>
      <c r="B4824" s="125" t="s">
        <v>504</v>
      </c>
      <c r="C4824" s="125" t="s">
        <v>485</v>
      </c>
      <c r="D4824" s="125" t="s">
        <v>457</v>
      </c>
      <c r="E4824" s="125" t="s">
        <v>464</v>
      </c>
      <c r="F4824" s="126">
        <v>41431.0</v>
      </c>
      <c r="G4824" s="127">
        <v>4.35E8</v>
      </c>
      <c r="H4824" s="126">
        <v>41460.0</v>
      </c>
      <c r="I4824" s="128">
        <v>5224.0</v>
      </c>
      <c r="J4824" s="128">
        <v>421.89</v>
      </c>
      <c r="K4824" s="128">
        <v>364.69</v>
      </c>
      <c r="L4824" s="128">
        <v>2203953.0</v>
      </c>
      <c r="M4824" s="128">
        <v>1905141.0</v>
      </c>
      <c r="N4824" s="128">
        <v>298812.8</v>
      </c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</row>
    <row r="4825">
      <c r="A4825" s="125" t="s">
        <v>475</v>
      </c>
      <c r="B4825" s="125" t="s">
        <v>521</v>
      </c>
      <c r="C4825" s="125" t="s">
        <v>478</v>
      </c>
      <c r="D4825" s="125" t="s">
        <v>457</v>
      </c>
      <c r="E4825" s="125" t="s">
        <v>464</v>
      </c>
      <c r="F4825" s="126">
        <v>40189.0</v>
      </c>
      <c r="G4825" s="127">
        <v>9.39E8</v>
      </c>
      <c r="H4825" s="126">
        <v>40227.0</v>
      </c>
      <c r="I4825" s="128">
        <v>9022.0</v>
      </c>
      <c r="J4825" s="128">
        <v>651.21</v>
      </c>
      <c r="K4825" s="128">
        <v>524.96</v>
      </c>
      <c r="L4825" s="128">
        <v>5875217.0</v>
      </c>
      <c r="M4825" s="128">
        <v>4736189.0</v>
      </c>
      <c r="N4825" s="128">
        <v>1139028.0</v>
      </c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</row>
    <row r="4826">
      <c r="A4826" s="125" t="s">
        <v>458</v>
      </c>
      <c r="B4826" s="125" t="s">
        <v>517</v>
      </c>
      <c r="C4826" s="125" t="s">
        <v>460</v>
      </c>
      <c r="D4826" s="125" t="s">
        <v>457</v>
      </c>
      <c r="E4826" s="125" t="s">
        <v>464</v>
      </c>
      <c r="F4826" s="126">
        <v>42725.0</v>
      </c>
      <c r="G4826" s="127">
        <v>2.44E8</v>
      </c>
      <c r="H4826" s="126">
        <v>42757.0</v>
      </c>
      <c r="I4826" s="128">
        <v>789.0</v>
      </c>
      <c r="J4826" s="128">
        <v>47.45</v>
      </c>
      <c r="K4826" s="128">
        <v>31.79</v>
      </c>
      <c r="L4826" s="128">
        <v>37438.05</v>
      </c>
      <c r="M4826" s="128">
        <v>25082.31</v>
      </c>
      <c r="N4826" s="128">
        <v>12355.74</v>
      </c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</row>
    <row r="4827">
      <c r="A4827" s="125" t="s">
        <v>475</v>
      </c>
      <c r="B4827" s="125" t="s">
        <v>636</v>
      </c>
      <c r="C4827" s="125" t="s">
        <v>494</v>
      </c>
      <c r="D4827" s="125" t="s">
        <v>454</v>
      </c>
      <c r="E4827" s="125" t="s">
        <v>464</v>
      </c>
      <c r="F4827" s="126">
        <v>40370.0</v>
      </c>
      <c r="G4827" s="127">
        <v>9.64E8</v>
      </c>
      <c r="H4827" s="126">
        <v>40370.0</v>
      </c>
      <c r="I4827" s="128">
        <v>1781.0</v>
      </c>
      <c r="J4827" s="128">
        <v>9.33</v>
      </c>
      <c r="K4827" s="128">
        <v>6.92</v>
      </c>
      <c r="L4827" s="128">
        <v>16616.73</v>
      </c>
      <c r="M4827" s="128">
        <v>12324.52</v>
      </c>
      <c r="N4827" s="128">
        <v>4292.21</v>
      </c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</row>
    <row r="4828">
      <c r="A4828" s="125" t="s">
        <v>458</v>
      </c>
      <c r="B4828" s="125" t="s">
        <v>597</v>
      </c>
      <c r="C4828" s="125" t="s">
        <v>480</v>
      </c>
      <c r="D4828" s="125" t="s">
        <v>454</v>
      </c>
      <c r="E4828" s="125" t="s">
        <v>472</v>
      </c>
      <c r="F4828" s="126">
        <v>41438.0</v>
      </c>
      <c r="G4828" s="127">
        <v>8.3E8</v>
      </c>
      <c r="H4828" s="126">
        <v>41484.0</v>
      </c>
      <c r="I4828" s="128">
        <v>5283.0</v>
      </c>
      <c r="J4828" s="128">
        <v>437.2</v>
      </c>
      <c r="K4828" s="128">
        <v>263.33</v>
      </c>
      <c r="L4828" s="128">
        <v>2309728.0</v>
      </c>
      <c r="M4828" s="128">
        <v>1391172.0</v>
      </c>
      <c r="N4828" s="128">
        <v>918555.2</v>
      </c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</row>
    <row r="4829">
      <c r="A4829" s="125" t="s">
        <v>451</v>
      </c>
      <c r="B4829" s="125" t="s">
        <v>543</v>
      </c>
      <c r="C4829" s="125" t="s">
        <v>460</v>
      </c>
      <c r="D4829" s="125" t="s">
        <v>454</v>
      </c>
      <c r="E4829" s="125" t="s">
        <v>189</v>
      </c>
      <c r="F4829" s="126">
        <v>42187.0</v>
      </c>
      <c r="G4829" s="127">
        <v>3.47E8</v>
      </c>
      <c r="H4829" s="126">
        <v>42197.0</v>
      </c>
      <c r="I4829" s="128">
        <v>1613.0</v>
      </c>
      <c r="J4829" s="128">
        <v>47.45</v>
      </c>
      <c r="K4829" s="128">
        <v>31.79</v>
      </c>
      <c r="L4829" s="128">
        <v>76536.85</v>
      </c>
      <c r="M4829" s="128">
        <v>51277.27</v>
      </c>
      <c r="N4829" s="128">
        <v>25259.58</v>
      </c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</row>
    <row r="4830">
      <c r="A4830" s="125" t="s">
        <v>475</v>
      </c>
      <c r="B4830" s="125" t="s">
        <v>561</v>
      </c>
      <c r="C4830" s="125" t="s">
        <v>453</v>
      </c>
      <c r="D4830" s="125" t="s">
        <v>454</v>
      </c>
      <c r="E4830" s="125" t="s">
        <v>472</v>
      </c>
      <c r="F4830" s="126">
        <v>42031.0</v>
      </c>
      <c r="G4830" s="127">
        <v>5.37E8</v>
      </c>
      <c r="H4830" s="126">
        <v>42078.0</v>
      </c>
      <c r="I4830" s="128">
        <v>3120.0</v>
      </c>
      <c r="J4830" s="128">
        <v>255.28</v>
      </c>
      <c r="K4830" s="128">
        <v>159.42</v>
      </c>
      <c r="L4830" s="128">
        <v>796473.6</v>
      </c>
      <c r="M4830" s="128">
        <v>497390.4</v>
      </c>
      <c r="N4830" s="128">
        <v>299083.2</v>
      </c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</row>
    <row r="4831">
      <c r="A4831" s="125" t="s">
        <v>475</v>
      </c>
      <c r="B4831" s="125" t="s">
        <v>549</v>
      </c>
      <c r="C4831" s="125" t="s">
        <v>478</v>
      </c>
      <c r="D4831" s="125" t="s">
        <v>457</v>
      </c>
      <c r="E4831" s="125" t="s">
        <v>189</v>
      </c>
      <c r="F4831" s="126">
        <v>42152.0</v>
      </c>
      <c r="G4831" s="127">
        <v>6.95E8</v>
      </c>
      <c r="H4831" s="126">
        <v>42202.0</v>
      </c>
      <c r="I4831" s="128">
        <v>9183.0</v>
      </c>
      <c r="J4831" s="128">
        <v>651.21</v>
      </c>
      <c r="K4831" s="128">
        <v>524.96</v>
      </c>
      <c r="L4831" s="128">
        <v>5980061.0</v>
      </c>
      <c r="M4831" s="128">
        <v>4820708.0</v>
      </c>
      <c r="N4831" s="128">
        <v>1159354.0</v>
      </c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</row>
    <row r="4832">
      <c r="A4832" s="125" t="s">
        <v>461</v>
      </c>
      <c r="B4832" s="125" t="s">
        <v>481</v>
      </c>
      <c r="C4832" s="125" t="s">
        <v>471</v>
      </c>
      <c r="D4832" s="125" t="s">
        <v>457</v>
      </c>
      <c r="E4832" s="125" t="s">
        <v>472</v>
      </c>
      <c r="F4832" s="126">
        <v>41359.0</v>
      </c>
      <c r="G4832" s="127">
        <v>6.34E8</v>
      </c>
      <c r="H4832" s="126">
        <v>41383.0</v>
      </c>
      <c r="I4832" s="128">
        <v>1213.0</v>
      </c>
      <c r="J4832" s="128">
        <v>109.28</v>
      </c>
      <c r="K4832" s="128">
        <v>35.84</v>
      </c>
      <c r="L4832" s="128">
        <v>132556.6</v>
      </c>
      <c r="M4832" s="128">
        <v>43473.92</v>
      </c>
      <c r="N4832" s="128">
        <v>89082.72</v>
      </c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</row>
    <row r="4833">
      <c r="A4833" s="125" t="s">
        <v>469</v>
      </c>
      <c r="B4833" s="125" t="s">
        <v>501</v>
      </c>
      <c r="C4833" s="125" t="s">
        <v>468</v>
      </c>
      <c r="D4833" s="125" t="s">
        <v>457</v>
      </c>
      <c r="E4833" s="125" t="s">
        <v>464</v>
      </c>
      <c r="F4833" s="126">
        <v>40232.0</v>
      </c>
      <c r="G4833" s="127">
        <v>2.4E8</v>
      </c>
      <c r="H4833" s="126">
        <v>40246.0</v>
      </c>
      <c r="I4833" s="128">
        <v>7654.0</v>
      </c>
      <c r="J4833" s="128">
        <v>81.73</v>
      </c>
      <c r="K4833" s="128">
        <v>56.67</v>
      </c>
      <c r="L4833" s="128">
        <v>625561.4</v>
      </c>
      <c r="M4833" s="128">
        <v>433752.2</v>
      </c>
      <c r="N4833" s="128">
        <v>191809.2</v>
      </c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</row>
    <row r="4834">
      <c r="A4834" s="125" t="s">
        <v>458</v>
      </c>
      <c r="B4834" s="125" t="s">
        <v>597</v>
      </c>
      <c r="C4834" s="125" t="s">
        <v>485</v>
      </c>
      <c r="D4834" s="125" t="s">
        <v>457</v>
      </c>
      <c r="E4834" s="125" t="s">
        <v>464</v>
      </c>
      <c r="F4834" s="126">
        <v>42503.0</v>
      </c>
      <c r="G4834" s="127">
        <v>8.16E8</v>
      </c>
      <c r="H4834" s="126">
        <v>42530.0</v>
      </c>
      <c r="I4834" s="128">
        <v>8978.0</v>
      </c>
      <c r="J4834" s="128">
        <v>421.89</v>
      </c>
      <c r="K4834" s="128">
        <v>364.69</v>
      </c>
      <c r="L4834" s="128">
        <v>3787728.0</v>
      </c>
      <c r="M4834" s="128">
        <v>3274187.0</v>
      </c>
      <c r="N4834" s="128">
        <v>513541.6</v>
      </c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</row>
    <row r="4835">
      <c r="A4835" s="125" t="s">
        <v>475</v>
      </c>
      <c r="B4835" s="125" t="s">
        <v>605</v>
      </c>
      <c r="C4835" s="125" t="s">
        <v>460</v>
      </c>
      <c r="D4835" s="125" t="s">
        <v>457</v>
      </c>
      <c r="E4835" s="125" t="s">
        <v>464</v>
      </c>
      <c r="F4835" s="126">
        <v>42617.0</v>
      </c>
      <c r="G4835" s="127">
        <v>1.38E8</v>
      </c>
      <c r="H4835" s="126">
        <v>42626.0</v>
      </c>
      <c r="I4835" s="128">
        <v>2691.0</v>
      </c>
      <c r="J4835" s="128">
        <v>47.45</v>
      </c>
      <c r="K4835" s="128">
        <v>31.79</v>
      </c>
      <c r="L4835" s="128">
        <v>127688.0</v>
      </c>
      <c r="M4835" s="128">
        <v>85546.89</v>
      </c>
      <c r="N4835" s="128">
        <v>42141.06</v>
      </c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</row>
    <row r="4836">
      <c r="A4836" s="125" t="s">
        <v>461</v>
      </c>
      <c r="B4836" s="125" t="s">
        <v>581</v>
      </c>
      <c r="C4836" s="125" t="s">
        <v>494</v>
      </c>
      <c r="D4836" s="125" t="s">
        <v>454</v>
      </c>
      <c r="E4836" s="125" t="s">
        <v>189</v>
      </c>
      <c r="F4836" s="126">
        <v>40936.0</v>
      </c>
      <c r="G4836" s="127">
        <v>1.0E8</v>
      </c>
      <c r="H4836" s="126">
        <v>40957.0</v>
      </c>
      <c r="I4836" s="128">
        <v>8328.0</v>
      </c>
      <c r="J4836" s="128">
        <v>9.33</v>
      </c>
      <c r="K4836" s="128">
        <v>6.92</v>
      </c>
      <c r="L4836" s="128">
        <v>77700.24</v>
      </c>
      <c r="M4836" s="128">
        <v>57629.76</v>
      </c>
      <c r="N4836" s="128">
        <v>20070.48</v>
      </c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</row>
    <row r="4837">
      <c r="A4837" s="125" t="s">
        <v>458</v>
      </c>
      <c r="B4837" s="125" t="s">
        <v>486</v>
      </c>
      <c r="C4837" s="125" t="s">
        <v>471</v>
      </c>
      <c r="D4837" s="125" t="s">
        <v>454</v>
      </c>
      <c r="E4837" s="125" t="s">
        <v>189</v>
      </c>
      <c r="F4837" s="126">
        <v>42361.0</v>
      </c>
      <c r="G4837" s="127">
        <v>8.7E8</v>
      </c>
      <c r="H4837" s="126">
        <v>42368.0</v>
      </c>
      <c r="I4837" s="128">
        <v>2457.0</v>
      </c>
      <c r="J4837" s="128">
        <v>109.28</v>
      </c>
      <c r="K4837" s="128">
        <v>35.84</v>
      </c>
      <c r="L4837" s="128">
        <v>268501.0</v>
      </c>
      <c r="M4837" s="128">
        <v>88058.88</v>
      </c>
      <c r="N4837" s="128">
        <v>180442.1</v>
      </c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</row>
    <row r="4838">
      <c r="A4838" s="125" t="s">
        <v>475</v>
      </c>
      <c r="B4838" s="125" t="s">
        <v>605</v>
      </c>
      <c r="C4838" s="125" t="s">
        <v>468</v>
      </c>
      <c r="D4838" s="125" t="s">
        <v>457</v>
      </c>
      <c r="E4838" s="125" t="s">
        <v>284</v>
      </c>
      <c r="F4838" s="126">
        <v>41118.0</v>
      </c>
      <c r="G4838" s="127">
        <v>4.33E8</v>
      </c>
      <c r="H4838" s="126">
        <v>41148.0</v>
      </c>
      <c r="I4838" s="128">
        <v>3677.0</v>
      </c>
      <c r="J4838" s="128">
        <v>81.73</v>
      </c>
      <c r="K4838" s="128">
        <v>56.67</v>
      </c>
      <c r="L4838" s="128">
        <v>300521.2</v>
      </c>
      <c r="M4838" s="128">
        <v>208375.6</v>
      </c>
      <c r="N4838" s="128">
        <v>92145.62</v>
      </c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</row>
    <row r="4839">
      <c r="A4839" s="125" t="s">
        <v>458</v>
      </c>
      <c r="B4839" s="125" t="s">
        <v>614</v>
      </c>
      <c r="C4839" s="125" t="s">
        <v>453</v>
      </c>
      <c r="D4839" s="125" t="s">
        <v>454</v>
      </c>
      <c r="E4839" s="125" t="s">
        <v>189</v>
      </c>
      <c r="F4839" s="126">
        <v>41505.0</v>
      </c>
      <c r="G4839" s="127">
        <v>4.44E8</v>
      </c>
      <c r="H4839" s="126">
        <v>41544.0</v>
      </c>
      <c r="I4839" s="128">
        <v>7617.0</v>
      </c>
      <c r="J4839" s="128">
        <v>255.28</v>
      </c>
      <c r="K4839" s="128">
        <v>159.42</v>
      </c>
      <c r="L4839" s="128">
        <v>1944468.0</v>
      </c>
      <c r="M4839" s="128">
        <v>1214302.0</v>
      </c>
      <c r="N4839" s="128">
        <v>730165.6</v>
      </c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</row>
    <row r="4840">
      <c r="A4840" s="125" t="s">
        <v>461</v>
      </c>
      <c r="B4840" s="125" t="s">
        <v>629</v>
      </c>
      <c r="C4840" s="125" t="s">
        <v>453</v>
      </c>
      <c r="D4840" s="125" t="s">
        <v>457</v>
      </c>
      <c r="E4840" s="125" t="s">
        <v>189</v>
      </c>
      <c r="F4840" s="126">
        <v>42674.0</v>
      </c>
      <c r="G4840" s="127">
        <v>3.81E8</v>
      </c>
      <c r="H4840" s="126">
        <v>42719.0</v>
      </c>
      <c r="I4840" s="128">
        <v>1939.0</v>
      </c>
      <c r="J4840" s="128">
        <v>255.28</v>
      </c>
      <c r="K4840" s="128">
        <v>159.42</v>
      </c>
      <c r="L4840" s="128">
        <v>494987.9</v>
      </c>
      <c r="M4840" s="128">
        <v>309115.4</v>
      </c>
      <c r="N4840" s="128">
        <v>185872.5</v>
      </c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</row>
    <row r="4841">
      <c r="A4841" s="125" t="s">
        <v>475</v>
      </c>
      <c r="B4841" s="125" t="s">
        <v>579</v>
      </c>
      <c r="C4841" s="125" t="s">
        <v>485</v>
      </c>
      <c r="D4841" s="125" t="s">
        <v>457</v>
      </c>
      <c r="E4841" s="125" t="s">
        <v>284</v>
      </c>
      <c r="F4841" s="126">
        <v>42783.0</v>
      </c>
      <c r="G4841" s="127">
        <v>6.91E8</v>
      </c>
      <c r="H4841" s="126">
        <v>42832.0</v>
      </c>
      <c r="I4841" s="128">
        <v>1335.0</v>
      </c>
      <c r="J4841" s="128">
        <v>421.89</v>
      </c>
      <c r="K4841" s="128">
        <v>364.69</v>
      </c>
      <c r="L4841" s="128">
        <v>563223.2</v>
      </c>
      <c r="M4841" s="128">
        <v>486861.2</v>
      </c>
      <c r="N4841" s="128">
        <v>76362.0</v>
      </c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</row>
    <row r="4842">
      <c r="A4842" s="125" t="s">
        <v>461</v>
      </c>
      <c r="B4842" s="125" t="s">
        <v>462</v>
      </c>
      <c r="C4842" s="125" t="s">
        <v>485</v>
      </c>
      <c r="D4842" s="125" t="s">
        <v>457</v>
      </c>
      <c r="E4842" s="125" t="s">
        <v>189</v>
      </c>
      <c r="F4842" s="126">
        <v>40382.0</v>
      </c>
      <c r="G4842" s="127">
        <v>5.41E8</v>
      </c>
      <c r="H4842" s="126">
        <v>40396.0</v>
      </c>
      <c r="I4842" s="128">
        <v>2528.0</v>
      </c>
      <c r="J4842" s="128">
        <v>421.89</v>
      </c>
      <c r="K4842" s="128">
        <v>364.69</v>
      </c>
      <c r="L4842" s="128">
        <v>1066538.0</v>
      </c>
      <c r="M4842" s="128">
        <v>921936.3</v>
      </c>
      <c r="N4842" s="128">
        <v>144601.6</v>
      </c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</row>
    <row r="4843">
      <c r="A4843" s="125" t="s">
        <v>461</v>
      </c>
      <c r="B4843" s="125" t="s">
        <v>556</v>
      </c>
      <c r="C4843" s="125" t="s">
        <v>456</v>
      </c>
      <c r="D4843" s="125" t="s">
        <v>454</v>
      </c>
      <c r="E4843" s="125" t="s">
        <v>464</v>
      </c>
      <c r="F4843" s="126">
        <v>41323.0</v>
      </c>
      <c r="G4843" s="127">
        <v>9.68E8</v>
      </c>
      <c r="H4843" s="126">
        <v>41367.0</v>
      </c>
      <c r="I4843" s="128">
        <v>9274.0</v>
      </c>
      <c r="J4843" s="128">
        <v>152.58</v>
      </c>
      <c r="K4843" s="128">
        <v>97.44</v>
      </c>
      <c r="L4843" s="128">
        <v>1415027.0</v>
      </c>
      <c r="M4843" s="128">
        <v>903658.6</v>
      </c>
      <c r="N4843" s="128">
        <v>511368.4</v>
      </c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</row>
    <row r="4844">
      <c r="A4844" s="125" t="s">
        <v>461</v>
      </c>
      <c r="B4844" s="125" t="s">
        <v>564</v>
      </c>
      <c r="C4844" s="125" t="s">
        <v>480</v>
      </c>
      <c r="D4844" s="125" t="s">
        <v>457</v>
      </c>
      <c r="E4844" s="125" t="s">
        <v>464</v>
      </c>
      <c r="F4844" s="126">
        <v>40782.0</v>
      </c>
      <c r="G4844" s="127">
        <v>8.31E8</v>
      </c>
      <c r="H4844" s="126">
        <v>40784.0</v>
      </c>
      <c r="I4844" s="128">
        <v>7359.0</v>
      </c>
      <c r="J4844" s="128">
        <v>437.2</v>
      </c>
      <c r="K4844" s="128">
        <v>263.33</v>
      </c>
      <c r="L4844" s="128">
        <v>3217355.0</v>
      </c>
      <c r="M4844" s="128">
        <v>1937845.0</v>
      </c>
      <c r="N4844" s="128">
        <v>1279509.0</v>
      </c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</row>
    <row r="4845">
      <c r="A4845" s="125" t="s">
        <v>466</v>
      </c>
      <c r="B4845" s="125" t="s">
        <v>531</v>
      </c>
      <c r="C4845" s="125" t="s">
        <v>480</v>
      </c>
      <c r="D4845" s="125" t="s">
        <v>457</v>
      </c>
      <c r="E4845" s="125" t="s">
        <v>472</v>
      </c>
      <c r="F4845" s="126">
        <v>41240.0</v>
      </c>
      <c r="G4845" s="127">
        <v>8.56E8</v>
      </c>
      <c r="H4845" s="126">
        <v>41284.0</v>
      </c>
      <c r="I4845" s="128">
        <v>9600.0</v>
      </c>
      <c r="J4845" s="128">
        <v>437.2</v>
      </c>
      <c r="K4845" s="128">
        <v>263.33</v>
      </c>
      <c r="L4845" s="128">
        <v>4197120.0</v>
      </c>
      <c r="M4845" s="128">
        <v>2527968.0</v>
      </c>
      <c r="N4845" s="128">
        <v>1669152.0</v>
      </c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</row>
    <row r="4846">
      <c r="A4846" s="125" t="s">
        <v>475</v>
      </c>
      <c r="B4846" s="125" t="s">
        <v>570</v>
      </c>
      <c r="C4846" s="125" t="s">
        <v>485</v>
      </c>
      <c r="D4846" s="125" t="s">
        <v>457</v>
      </c>
      <c r="E4846" s="125" t="s">
        <v>464</v>
      </c>
      <c r="F4846" s="126">
        <v>42802.0</v>
      </c>
      <c r="G4846" s="127">
        <v>4.94E8</v>
      </c>
      <c r="H4846" s="126">
        <v>42838.0</v>
      </c>
      <c r="I4846" s="128">
        <v>845.0</v>
      </c>
      <c r="J4846" s="128">
        <v>421.89</v>
      </c>
      <c r="K4846" s="128">
        <v>364.69</v>
      </c>
      <c r="L4846" s="128">
        <v>356497.1</v>
      </c>
      <c r="M4846" s="128">
        <v>308163.1</v>
      </c>
      <c r="N4846" s="128">
        <v>48334.0</v>
      </c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</row>
    <row r="4847">
      <c r="A4847" s="125" t="s">
        <v>461</v>
      </c>
      <c r="B4847" s="125" t="s">
        <v>511</v>
      </c>
      <c r="C4847" s="125" t="s">
        <v>514</v>
      </c>
      <c r="D4847" s="125" t="s">
        <v>457</v>
      </c>
      <c r="E4847" s="125" t="s">
        <v>284</v>
      </c>
      <c r="F4847" s="126">
        <v>41811.0</v>
      </c>
      <c r="G4847" s="127">
        <v>1.63E8</v>
      </c>
      <c r="H4847" s="126">
        <v>41844.0</v>
      </c>
      <c r="I4847" s="128">
        <v>2975.0</v>
      </c>
      <c r="J4847" s="128">
        <v>668.27</v>
      </c>
      <c r="K4847" s="128">
        <v>502.54</v>
      </c>
      <c r="L4847" s="128">
        <v>1988103.0</v>
      </c>
      <c r="M4847" s="128">
        <v>1495057.0</v>
      </c>
      <c r="N4847" s="128">
        <v>493046.8</v>
      </c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</row>
    <row r="4848">
      <c r="A4848" s="125" t="s">
        <v>475</v>
      </c>
      <c r="B4848" s="125" t="s">
        <v>579</v>
      </c>
      <c r="C4848" s="125" t="s">
        <v>453</v>
      </c>
      <c r="D4848" s="125" t="s">
        <v>457</v>
      </c>
      <c r="E4848" s="125" t="s">
        <v>464</v>
      </c>
      <c r="F4848" s="126">
        <v>40533.0</v>
      </c>
      <c r="G4848" s="127">
        <v>8.01E8</v>
      </c>
      <c r="H4848" s="126">
        <v>40535.0</v>
      </c>
      <c r="I4848" s="128">
        <v>9901.0</v>
      </c>
      <c r="J4848" s="128">
        <v>255.28</v>
      </c>
      <c r="K4848" s="128">
        <v>159.42</v>
      </c>
      <c r="L4848" s="128">
        <v>2527527.0</v>
      </c>
      <c r="M4848" s="128">
        <v>1578417.0</v>
      </c>
      <c r="N4848" s="128">
        <v>949109.9</v>
      </c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</row>
    <row r="4849">
      <c r="A4849" s="125" t="s">
        <v>451</v>
      </c>
      <c r="B4849" s="125" t="s">
        <v>523</v>
      </c>
      <c r="C4849" s="125" t="s">
        <v>460</v>
      </c>
      <c r="D4849" s="125" t="s">
        <v>457</v>
      </c>
      <c r="E4849" s="125" t="s">
        <v>284</v>
      </c>
      <c r="F4849" s="126">
        <v>40238.0</v>
      </c>
      <c r="G4849" s="127">
        <v>7.19E8</v>
      </c>
      <c r="H4849" s="126">
        <v>40241.0</v>
      </c>
      <c r="I4849" s="128">
        <v>2564.0</v>
      </c>
      <c r="J4849" s="128">
        <v>47.45</v>
      </c>
      <c r="K4849" s="128">
        <v>31.79</v>
      </c>
      <c r="L4849" s="128">
        <v>121661.8</v>
      </c>
      <c r="M4849" s="128">
        <v>81509.56</v>
      </c>
      <c r="N4849" s="128">
        <v>40152.24</v>
      </c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</row>
    <row r="4850">
      <c r="A4850" s="125" t="s">
        <v>458</v>
      </c>
      <c r="B4850" s="125" t="s">
        <v>551</v>
      </c>
      <c r="C4850" s="125" t="s">
        <v>471</v>
      </c>
      <c r="D4850" s="125" t="s">
        <v>457</v>
      </c>
      <c r="E4850" s="125" t="s">
        <v>472</v>
      </c>
      <c r="F4850" s="126">
        <v>42586.0</v>
      </c>
      <c r="G4850" s="127">
        <v>5.45E8</v>
      </c>
      <c r="H4850" s="126">
        <v>42590.0</v>
      </c>
      <c r="I4850" s="128">
        <v>3940.0</v>
      </c>
      <c r="J4850" s="128">
        <v>109.28</v>
      </c>
      <c r="K4850" s="128">
        <v>35.84</v>
      </c>
      <c r="L4850" s="128">
        <v>430563.2</v>
      </c>
      <c r="M4850" s="128">
        <v>141209.6</v>
      </c>
      <c r="N4850" s="128">
        <v>289353.6</v>
      </c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</row>
    <row r="4851">
      <c r="A4851" s="125" t="s">
        <v>469</v>
      </c>
      <c r="B4851" s="125" t="s">
        <v>650</v>
      </c>
      <c r="C4851" s="125" t="s">
        <v>514</v>
      </c>
      <c r="D4851" s="125" t="s">
        <v>457</v>
      </c>
      <c r="E4851" s="125" t="s">
        <v>464</v>
      </c>
      <c r="F4851" s="126">
        <v>42711.0</v>
      </c>
      <c r="G4851" s="127">
        <v>9.81E8</v>
      </c>
      <c r="H4851" s="126">
        <v>42724.0</v>
      </c>
      <c r="I4851" s="128">
        <v>4032.0</v>
      </c>
      <c r="J4851" s="128">
        <v>668.27</v>
      </c>
      <c r="K4851" s="128">
        <v>502.54</v>
      </c>
      <c r="L4851" s="128">
        <v>2694465.0</v>
      </c>
      <c r="M4851" s="128">
        <v>2026241.0</v>
      </c>
      <c r="N4851" s="128">
        <v>668223.4</v>
      </c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</row>
    <row r="4852">
      <c r="A4852" s="125" t="s">
        <v>475</v>
      </c>
      <c r="B4852" s="125" t="s">
        <v>619</v>
      </c>
      <c r="C4852" s="125" t="s">
        <v>514</v>
      </c>
      <c r="D4852" s="125" t="s">
        <v>457</v>
      </c>
      <c r="E4852" s="125" t="s">
        <v>472</v>
      </c>
      <c r="F4852" s="126">
        <v>41668.0</v>
      </c>
      <c r="G4852" s="127">
        <v>5.46E8</v>
      </c>
      <c r="H4852" s="126">
        <v>41671.0</v>
      </c>
      <c r="I4852" s="128">
        <v>4876.0</v>
      </c>
      <c r="J4852" s="128">
        <v>668.27</v>
      </c>
      <c r="K4852" s="128">
        <v>502.54</v>
      </c>
      <c r="L4852" s="128">
        <v>3258485.0</v>
      </c>
      <c r="M4852" s="128">
        <v>2450385.0</v>
      </c>
      <c r="N4852" s="128">
        <v>808099.5</v>
      </c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</row>
    <row r="4853">
      <c r="A4853" s="125" t="s">
        <v>458</v>
      </c>
      <c r="B4853" s="125" t="s">
        <v>553</v>
      </c>
      <c r="C4853" s="125" t="s">
        <v>453</v>
      </c>
      <c r="D4853" s="125" t="s">
        <v>457</v>
      </c>
      <c r="E4853" s="125" t="s">
        <v>189</v>
      </c>
      <c r="F4853" s="126">
        <v>42284.0</v>
      </c>
      <c r="G4853" s="127">
        <v>5.31E8</v>
      </c>
      <c r="H4853" s="126">
        <v>42317.0</v>
      </c>
      <c r="I4853" s="128">
        <v>5541.0</v>
      </c>
      <c r="J4853" s="128">
        <v>255.28</v>
      </c>
      <c r="K4853" s="128">
        <v>159.42</v>
      </c>
      <c r="L4853" s="128">
        <v>1414506.0</v>
      </c>
      <c r="M4853" s="128">
        <v>883346.2</v>
      </c>
      <c r="N4853" s="128">
        <v>531160.3</v>
      </c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</row>
    <row r="4854">
      <c r="A4854" s="125" t="s">
        <v>466</v>
      </c>
      <c r="B4854" s="125" t="s">
        <v>658</v>
      </c>
      <c r="C4854" s="125" t="s">
        <v>485</v>
      </c>
      <c r="D4854" s="125" t="s">
        <v>457</v>
      </c>
      <c r="E4854" s="125" t="s">
        <v>284</v>
      </c>
      <c r="F4854" s="126">
        <v>42241.0</v>
      </c>
      <c r="G4854" s="127">
        <v>9.47E8</v>
      </c>
      <c r="H4854" s="126">
        <v>42267.0</v>
      </c>
      <c r="I4854" s="128">
        <v>7125.0</v>
      </c>
      <c r="J4854" s="128">
        <v>421.89</v>
      </c>
      <c r="K4854" s="128">
        <v>364.69</v>
      </c>
      <c r="L4854" s="128">
        <v>3005966.0</v>
      </c>
      <c r="M4854" s="128">
        <v>2598416.0</v>
      </c>
      <c r="N4854" s="128">
        <v>407550.0</v>
      </c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</row>
    <row r="4855">
      <c r="A4855" s="125" t="s">
        <v>461</v>
      </c>
      <c r="B4855" s="125" t="s">
        <v>576</v>
      </c>
      <c r="C4855" s="125" t="s">
        <v>463</v>
      </c>
      <c r="D4855" s="125" t="s">
        <v>457</v>
      </c>
      <c r="E4855" s="125" t="s">
        <v>472</v>
      </c>
      <c r="F4855" s="126">
        <v>40997.0</v>
      </c>
      <c r="G4855" s="127">
        <v>9.75E8</v>
      </c>
      <c r="H4855" s="126">
        <v>41041.0</v>
      </c>
      <c r="I4855" s="128">
        <v>7757.0</v>
      </c>
      <c r="J4855" s="128">
        <v>205.7</v>
      </c>
      <c r="K4855" s="128">
        <v>117.11</v>
      </c>
      <c r="L4855" s="128">
        <v>1595615.0</v>
      </c>
      <c r="M4855" s="128">
        <v>908422.3</v>
      </c>
      <c r="N4855" s="128">
        <v>687192.6</v>
      </c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</row>
    <row r="4856">
      <c r="A4856" s="125" t="s">
        <v>475</v>
      </c>
      <c r="B4856" s="125" t="s">
        <v>651</v>
      </c>
      <c r="C4856" s="125" t="s">
        <v>485</v>
      </c>
      <c r="D4856" s="125" t="s">
        <v>457</v>
      </c>
      <c r="E4856" s="125" t="s">
        <v>189</v>
      </c>
      <c r="F4856" s="126">
        <v>41161.0</v>
      </c>
      <c r="G4856" s="127">
        <v>3.18E8</v>
      </c>
      <c r="H4856" s="126">
        <v>41172.0</v>
      </c>
      <c r="I4856" s="128">
        <v>7599.0</v>
      </c>
      <c r="J4856" s="128">
        <v>421.89</v>
      </c>
      <c r="K4856" s="128">
        <v>364.69</v>
      </c>
      <c r="L4856" s="128">
        <v>3205942.0</v>
      </c>
      <c r="M4856" s="128">
        <v>2771279.0</v>
      </c>
      <c r="N4856" s="128">
        <v>434662.8</v>
      </c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</row>
    <row r="4857">
      <c r="A4857" s="125" t="s">
        <v>458</v>
      </c>
      <c r="B4857" s="125" t="s">
        <v>627</v>
      </c>
      <c r="C4857" s="125" t="s">
        <v>468</v>
      </c>
      <c r="D4857" s="125" t="s">
        <v>457</v>
      </c>
      <c r="E4857" s="125" t="s">
        <v>464</v>
      </c>
      <c r="F4857" s="126">
        <v>41585.0</v>
      </c>
      <c r="G4857" s="127">
        <v>5.46E8</v>
      </c>
      <c r="H4857" s="126">
        <v>41627.0</v>
      </c>
      <c r="I4857" s="128">
        <v>3843.0</v>
      </c>
      <c r="J4857" s="128">
        <v>81.73</v>
      </c>
      <c r="K4857" s="128">
        <v>56.67</v>
      </c>
      <c r="L4857" s="128">
        <v>314088.4</v>
      </c>
      <c r="M4857" s="128">
        <v>217782.8</v>
      </c>
      <c r="N4857" s="128">
        <v>96305.58</v>
      </c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</row>
    <row r="4858">
      <c r="A4858" s="125" t="s">
        <v>475</v>
      </c>
      <c r="B4858" s="125" t="s">
        <v>537</v>
      </c>
      <c r="C4858" s="125" t="s">
        <v>460</v>
      </c>
      <c r="D4858" s="125" t="s">
        <v>457</v>
      </c>
      <c r="E4858" s="125" t="s">
        <v>464</v>
      </c>
      <c r="F4858" s="126">
        <v>41508.0</v>
      </c>
      <c r="G4858" s="127">
        <v>1.53E8</v>
      </c>
      <c r="H4858" s="126">
        <v>41518.0</v>
      </c>
      <c r="I4858" s="128">
        <v>5713.0</v>
      </c>
      <c r="J4858" s="128">
        <v>47.45</v>
      </c>
      <c r="K4858" s="128">
        <v>31.79</v>
      </c>
      <c r="L4858" s="128">
        <v>271081.9</v>
      </c>
      <c r="M4858" s="128">
        <v>181616.3</v>
      </c>
      <c r="N4858" s="128">
        <v>89465.58</v>
      </c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</row>
    <row r="4859">
      <c r="A4859" s="125" t="s">
        <v>475</v>
      </c>
      <c r="B4859" s="125" t="s">
        <v>476</v>
      </c>
      <c r="C4859" s="125" t="s">
        <v>480</v>
      </c>
      <c r="D4859" s="125" t="s">
        <v>457</v>
      </c>
      <c r="E4859" s="125" t="s">
        <v>189</v>
      </c>
      <c r="F4859" s="126">
        <v>41941.0</v>
      </c>
      <c r="G4859" s="127">
        <v>4.0E8</v>
      </c>
      <c r="H4859" s="126">
        <v>41973.0</v>
      </c>
      <c r="I4859" s="128">
        <v>9463.0</v>
      </c>
      <c r="J4859" s="128">
        <v>437.2</v>
      </c>
      <c r="K4859" s="128">
        <v>263.33</v>
      </c>
      <c r="L4859" s="128">
        <v>4137224.0</v>
      </c>
      <c r="M4859" s="128">
        <v>2491892.0</v>
      </c>
      <c r="N4859" s="128">
        <v>1645332.0</v>
      </c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</row>
    <row r="4860">
      <c r="A4860" s="125" t="s">
        <v>461</v>
      </c>
      <c r="B4860" s="125" t="s">
        <v>615</v>
      </c>
      <c r="C4860" s="125" t="s">
        <v>514</v>
      </c>
      <c r="D4860" s="125" t="s">
        <v>457</v>
      </c>
      <c r="E4860" s="125" t="s">
        <v>472</v>
      </c>
      <c r="F4860" s="126">
        <v>41520.0</v>
      </c>
      <c r="G4860" s="127">
        <v>3.71E8</v>
      </c>
      <c r="H4860" s="126">
        <v>41556.0</v>
      </c>
      <c r="I4860" s="128">
        <v>3380.0</v>
      </c>
      <c r="J4860" s="128">
        <v>668.27</v>
      </c>
      <c r="K4860" s="128">
        <v>502.54</v>
      </c>
      <c r="L4860" s="128">
        <v>2258753.0</v>
      </c>
      <c r="M4860" s="128">
        <v>1698585.0</v>
      </c>
      <c r="N4860" s="128">
        <v>560167.4</v>
      </c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</row>
    <row r="4861">
      <c r="A4861" s="125" t="s">
        <v>451</v>
      </c>
      <c r="B4861" s="125" t="s">
        <v>546</v>
      </c>
      <c r="C4861" s="125" t="s">
        <v>460</v>
      </c>
      <c r="D4861" s="125" t="s">
        <v>457</v>
      </c>
      <c r="E4861" s="125" t="s">
        <v>284</v>
      </c>
      <c r="F4861" s="126">
        <v>40650.0</v>
      </c>
      <c r="G4861" s="127">
        <v>1.18E8</v>
      </c>
      <c r="H4861" s="126">
        <v>40687.0</v>
      </c>
      <c r="I4861" s="128">
        <v>2782.0</v>
      </c>
      <c r="J4861" s="128">
        <v>47.45</v>
      </c>
      <c r="K4861" s="128">
        <v>31.79</v>
      </c>
      <c r="L4861" s="128">
        <v>132005.9</v>
      </c>
      <c r="M4861" s="128">
        <v>88439.78</v>
      </c>
      <c r="N4861" s="128">
        <v>43566.12</v>
      </c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</row>
    <row r="4862">
      <c r="A4862" s="125" t="s">
        <v>458</v>
      </c>
      <c r="B4862" s="125" t="s">
        <v>642</v>
      </c>
      <c r="C4862" s="125" t="s">
        <v>506</v>
      </c>
      <c r="D4862" s="125" t="s">
        <v>457</v>
      </c>
      <c r="E4862" s="125" t="s">
        <v>189</v>
      </c>
      <c r="F4862" s="126">
        <v>42893.0</v>
      </c>
      <c r="G4862" s="127">
        <v>2.16E8</v>
      </c>
      <c r="H4862" s="126">
        <v>42907.0</v>
      </c>
      <c r="I4862" s="128">
        <v>5016.0</v>
      </c>
      <c r="J4862" s="128">
        <v>154.06</v>
      </c>
      <c r="K4862" s="128">
        <v>90.93</v>
      </c>
      <c r="L4862" s="128">
        <v>772765.0</v>
      </c>
      <c r="M4862" s="128">
        <v>456104.9</v>
      </c>
      <c r="N4862" s="128">
        <v>316660.1</v>
      </c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</row>
    <row r="4863">
      <c r="A4863" s="125" t="s">
        <v>458</v>
      </c>
      <c r="B4863" s="125" t="s">
        <v>610</v>
      </c>
      <c r="C4863" s="125" t="s">
        <v>463</v>
      </c>
      <c r="D4863" s="125" t="s">
        <v>454</v>
      </c>
      <c r="E4863" s="125" t="s">
        <v>464</v>
      </c>
      <c r="F4863" s="126">
        <v>42519.0</v>
      </c>
      <c r="G4863" s="127">
        <v>4.07E8</v>
      </c>
      <c r="H4863" s="126">
        <v>42555.0</v>
      </c>
      <c r="I4863" s="128">
        <v>4463.0</v>
      </c>
      <c r="J4863" s="128">
        <v>205.7</v>
      </c>
      <c r="K4863" s="128">
        <v>117.11</v>
      </c>
      <c r="L4863" s="128">
        <v>918039.1</v>
      </c>
      <c r="M4863" s="128">
        <v>522661.9</v>
      </c>
      <c r="N4863" s="128">
        <v>395377.2</v>
      </c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</row>
    <row r="4864">
      <c r="A4864" s="125" t="s">
        <v>458</v>
      </c>
      <c r="B4864" s="125" t="s">
        <v>643</v>
      </c>
      <c r="C4864" s="125" t="s">
        <v>506</v>
      </c>
      <c r="D4864" s="125" t="s">
        <v>454</v>
      </c>
      <c r="E4864" s="125" t="s">
        <v>464</v>
      </c>
      <c r="F4864" s="126">
        <v>42484.0</v>
      </c>
      <c r="G4864" s="127">
        <v>9.57E8</v>
      </c>
      <c r="H4864" s="126">
        <v>42517.0</v>
      </c>
      <c r="I4864" s="128">
        <v>7533.0</v>
      </c>
      <c r="J4864" s="128">
        <v>154.06</v>
      </c>
      <c r="K4864" s="128">
        <v>90.93</v>
      </c>
      <c r="L4864" s="128">
        <v>1160534.0</v>
      </c>
      <c r="M4864" s="128">
        <v>684975.7</v>
      </c>
      <c r="N4864" s="128">
        <v>475558.3</v>
      </c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</row>
    <row r="4865">
      <c r="A4865" s="125" t="s">
        <v>458</v>
      </c>
      <c r="B4865" s="125" t="s">
        <v>554</v>
      </c>
      <c r="C4865" s="125" t="s">
        <v>494</v>
      </c>
      <c r="D4865" s="125" t="s">
        <v>454</v>
      </c>
      <c r="E4865" s="125" t="s">
        <v>464</v>
      </c>
      <c r="F4865" s="126">
        <v>41984.0</v>
      </c>
      <c r="G4865" s="127">
        <v>3.99E8</v>
      </c>
      <c r="H4865" s="126">
        <v>42009.0</v>
      </c>
      <c r="I4865" s="128">
        <v>7670.0</v>
      </c>
      <c r="J4865" s="128">
        <v>9.33</v>
      </c>
      <c r="K4865" s="128">
        <v>6.92</v>
      </c>
      <c r="L4865" s="128">
        <v>71561.1</v>
      </c>
      <c r="M4865" s="128">
        <v>53076.4</v>
      </c>
      <c r="N4865" s="128">
        <v>18484.7</v>
      </c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</row>
    <row r="4866">
      <c r="A4866" s="125" t="s">
        <v>458</v>
      </c>
      <c r="B4866" s="125" t="s">
        <v>631</v>
      </c>
      <c r="C4866" s="125" t="s">
        <v>456</v>
      </c>
      <c r="D4866" s="125" t="s">
        <v>457</v>
      </c>
      <c r="E4866" s="125" t="s">
        <v>189</v>
      </c>
      <c r="F4866" s="126">
        <v>40605.0</v>
      </c>
      <c r="G4866" s="127">
        <v>4.89E8</v>
      </c>
      <c r="H4866" s="126">
        <v>40650.0</v>
      </c>
      <c r="I4866" s="128">
        <v>347.0</v>
      </c>
      <c r="J4866" s="128">
        <v>152.58</v>
      </c>
      <c r="K4866" s="128">
        <v>97.44</v>
      </c>
      <c r="L4866" s="128">
        <v>52945.26</v>
      </c>
      <c r="M4866" s="128">
        <v>33811.68</v>
      </c>
      <c r="N4866" s="128">
        <v>19133.58</v>
      </c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</row>
    <row r="4867">
      <c r="A4867" s="125" t="s">
        <v>475</v>
      </c>
      <c r="B4867" s="125" t="s">
        <v>588</v>
      </c>
      <c r="C4867" s="125" t="s">
        <v>463</v>
      </c>
      <c r="D4867" s="125" t="s">
        <v>454</v>
      </c>
      <c r="E4867" s="125" t="s">
        <v>189</v>
      </c>
      <c r="F4867" s="126">
        <v>42471.0</v>
      </c>
      <c r="G4867" s="127">
        <v>3.51E8</v>
      </c>
      <c r="H4867" s="126">
        <v>42483.0</v>
      </c>
      <c r="I4867" s="128">
        <v>8068.0</v>
      </c>
      <c r="J4867" s="128">
        <v>205.7</v>
      </c>
      <c r="K4867" s="128">
        <v>117.11</v>
      </c>
      <c r="L4867" s="128">
        <v>1659588.0</v>
      </c>
      <c r="M4867" s="128">
        <v>944843.5</v>
      </c>
      <c r="N4867" s="128">
        <v>714744.1</v>
      </c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</row>
    <row r="4868">
      <c r="A4868" s="125" t="s">
        <v>458</v>
      </c>
      <c r="B4868" s="125" t="s">
        <v>590</v>
      </c>
      <c r="C4868" s="125" t="s">
        <v>471</v>
      </c>
      <c r="D4868" s="125" t="s">
        <v>457</v>
      </c>
      <c r="E4868" s="125" t="s">
        <v>284</v>
      </c>
      <c r="F4868" s="126">
        <v>41028.0</v>
      </c>
      <c r="G4868" s="127">
        <v>5.3E8</v>
      </c>
      <c r="H4868" s="126">
        <v>41040.0</v>
      </c>
      <c r="I4868" s="128">
        <v>5370.0</v>
      </c>
      <c r="J4868" s="128">
        <v>109.28</v>
      </c>
      <c r="K4868" s="128">
        <v>35.84</v>
      </c>
      <c r="L4868" s="128">
        <v>586833.6</v>
      </c>
      <c r="M4868" s="128">
        <v>192460.8</v>
      </c>
      <c r="N4868" s="128">
        <v>394372.8</v>
      </c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</row>
    <row r="4869">
      <c r="A4869" s="125" t="s">
        <v>451</v>
      </c>
      <c r="B4869" s="125" t="s">
        <v>546</v>
      </c>
      <c r="C4869" s="125" t="s">
        <v>471</v>
      </c>
      <c r="D4869" s="125" t="s">
        <v>457</v>
      </c>
      <c r="E4869" s="125" t="s">
        <v>189</v>
      </c>
      <c r="F4869" s="126">
        <v>42563.0</v>
      </c>
      <c r="G4869" s="127">
        <v>7.43E8</v>
      </c>
      <c r="H4869" s="126">
        <v>42580.0</v>
      </c>
      <c r="I4869" s="128">
        <v>3821.0</v>
      </c>
      <c r="J4869" s="128">
        <v>109.28</v>
      </c>
      <c r="K4869" s="128">
        <v>35.84</v>
      </c>
      <c r="L4869" s="128">
        <v>417558.9</v>
      </c>
      <c r="M4869" s="128">
        <v>136944.6</v>
      </c>
      <c r="N4869" s="128">
        <v>280614.2</v>
      </c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</row>
    <row r="4870">
      <c r="A4870" s="125" t="s">
        <v>466</v>
      </c>
      <c r="B4870" s="125" t="s">
        <v>491</v>
      </c>
      <c r="C4870" s="125" t="s">
        <v>514</v>
      </c>
      <c r="D4870" s="125" t="s">
        <v>454</v>
      </c>
      <c r="E4870" s="125" t="s">
        <v>284</v>
      </c>
      <c r="F4870" s="126">
        <v>42683.0</v>
      </c>
      <c r="G4870" s="127">
        <v>3.25E8</v>
      </c>
      <c r="H4870" s="126">
        <v>42694.0</v>
      </c>
      <c r="I4870" s="128">
        <v>7018.0</v>
      </c>
      <c r="J4870" s="128">
        <v>668.27</v>
      </c>
      <c r="K4870" s="128">
        <v>502.54</v>
      </c>
      <c r="L4870" s="128">
        <v>4689919.0</v>
      </c>
      <c r="M4870" s="128">
        <v>3526826.0</v>
      </c>
      <c r="N4870" s="128">
        <v>1163093.0</v>
      </c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</row>
    <row r="4871">
      <c r="A4871" s="125" t="s">
        <v>475</v>
      </c>
      <c r="B4871" s="125" t="s">
        <v>561</v>
      </c>
      <c r="C4871" s="125" t="s">
        <v>506</v>
      </c>
      <c r="D4871" s="125" t="s">
        <v>457</v>
      </c>
      <c r="E4871" s="125" t="s">
        <v>472</v>
      </c>
      <c r="F4871" s="126">
        <v>41537.0</v>
      </c>
      <c r="G4871" s="127">
        <v>4.83E8</v>
      </c>
      <c r="H4871" s="126">
        <v>41557.0</v>
      </c>
      <c r="I4871" s="128">
        <v>5592.0</v>
      </c>
      <c r="J4871" s="128">
        <v>154.06</v>
      </c>
      <c r="K4871" s="128">
        <v>90.93</v>
      </c>
      <c r="L4871" s="128">
        <v>861503.5</v>
      </c>
      <c r="M4871" s="128">
        <v>508480.6</v>
      </c>
      <c r="N4871" s="128">
        <v>353023.0</v>
      </c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</row>
    <row r="4872">
      <c r="A4872" s="125" t="s">
        <v>458</v>
      </c>
      <c r="B4872" s="125" t="s">
        <v>509</v>
      </c>
      <c r="C4872" s="125" t="s">
        <v>480</v>
      </c>
      <c r="D4872" s="125" t="s">
        <v>454</v>
      </c>
      <c r="E4872" s="125" t="s">
        <v>464</v>
      </c>
      <c r="F4872" s="126">
        <v>42426.0</v>
      </c>
      <c r="G4872" s="127">
        <v>2.44E8</v>
      </c>
      <c r="H4872" s="126">
        <v>42457.0</v>
      </c>
      <c r="I4872" s="128">
        <v>2204.0</v>
      </c>
      <c r="J4872" s="128">
        <v>437.2</v>
      </c>
      <c r="K4872" s="128">
        <v>263.33</v>
      </c>
      <c r="L4872" s="128">
        <v>963588.8</v>
      </c>
      <c r="M4872" s="128">
        <v>580379.3</v>
      </c>
      <c r="N4872" s="128">
        <v>383209.5</v>
      </c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</row>
    <row r="4873">
      <c r="A4873" s="125" t="s">
        <v>466</v>
      </c>
      <c r="B4873" s="125" t="s">
        <v>568</v>
      </c>
      <c r="C4873" s="125" t="s">
        <v>514</v>
      </c>
      <c r="D4873" s="125" t="s">
        <v>457</v>
      </c>
      <c r="E4873" s="125" t="s">
        <v>284</v>
      </c>
      <c r="F4873" s="126">
        <v>42127.0</v>
      </c>
      <c r="G4873" s="127">
        <v>5.03E8</v>
      </c>
      <c r="H4873" s="126">
        <v>42145.0</v>
      </c>
      <c r="I4873" s="128">
        <v>6546.0</v>
      </c>
      <c r="J4873" s="128">
        <v>668.27</v>
      </c>
      <c r="K4873" s="128">
        <v>502.54</v>
      </c>
      <c r="L4873" s="128">
        <v>4374495.0</v>
      </c>
      <c r="M4873" s="128">
        <v>3289627.0</v>
      </c>
      <c r="N4873" s="128">
        <v>1084869.0</v>
      </c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</row>
    <row r="4874">
      <c r="A4874" s="125" t="s">
        <v>458</v>
      </c>
      <c r="B4874" s="125" t="s">
        <v>627</v>
      </c>
      <c r="C4874" s="125" t="s">
        <v>480</v>
      </c>
      <c r="D4874" s="125" t="s">
        <v>454</v>
      </c>
      <c r="E4874" s="125" t="s">
        <v>189</v>
      </c>
      <c r="F4874" s="126">
        <v>40570.0</v>
      </c>
      <c r="G4874" s="127">
        <v>8.79E8</v>
      </c>
      <c r="H4874" s="126">
        <v>40591.0</v>
      </c>
      <c r="I4874" s="128">
        <v>342.0</v>
      </c>
      <c r="J4874" s="128">
        <v>437.2</v>
      </c>
      <c r="K4874" s="128">
        <v>263.33</v>
      </c>
      <c r="L4874" s="128">
        <v>149522.4</v>
      </c>
      <c r="M4874" s="128">
        <v>90058.86</v>
      </c>
      <c r="N4874" s="128">
        <v>59463.54</v>
      </c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</row>
    <row r="4875">
      <c r="A4875" s="125" t="s">
        <v>461</v>
      </c>
      <c r="B4875" s="125" t="s">
        <v>525</v>
      </c>
      <c r="C4875" s="125" t="s">
        <v>480</v>
      </c>
      <c r="D4875" s="125" t="s">
        <v>457</v>
      </c>
      <c r="E4875" s="125" t="s">
        <v>284</v>
      </c>
      <c r="F4875" s="126">
        <v>42225.0</v>
      </c>
      <c r="G4875" s="127">
        <v>1.58E8</v>
      </c>
      <c r="H4875" s="126">
        <v>42241.0</v>
      </c>
      <c r="I4875" s="128">
        <v>2347.0</v>
      </c>
      <c r="J4875" s="128">
        <v>437.2</v>
      </c>
      <c r="K4875" s="128">
        <v>263.33</v>
      </c>
      <c r="L4875" s="128">
        <v>1026108.0</v>
      </c>
      <c r="M4875" s="128">
        <v>618035.5</v>
      </c>
      <c r="N4875" s="128">
        <v>408072.9</v>
      </c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</row>
    <row r="4876">
      <c r="A4876" s="125" t="s">
        <v>461</v>
      </c>
      <c r="B4876" s="125" t="s">
        <v>578</v>
      </c>
      <c r="C4876" s="125" t="s">
        <v>471</v>
      </c>
      <c r="D4876" s="125" t="s">
        <v>454</v>
      </c>
      <c r="E4876" s="125" t="s">
        <v>189</v>
      </c>
      <c r="F4876" s="126">
        <v>40885.0</v>
      </c>
      <c r="G4876" s="127">
        <v>3.5E8</v>
      </c>
      <c r="H4876" s="126">
        <v>40931.0</v>
      </c>
      <c r="I4876" s="128">
        <v>3347.0</v>
      </c>
      <c r="J4876" s="128">
        <v>109.28</v>
      </c>
      <c r="K4876" s="128">
        <v>35.84</v>
      </c>
      <c r="L4876" s="128">
        <v>365760.2</v>
      </c>
      <c r="M4876" s="128">
        <v>119956.5</v>
      </c>
      <c r="N4876" s="128">
        <v>245803.7</v>
      </c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</row>
    <row r="4877">
      <c r="A4877" s="125" t="s">
        <v>475</v>
      </c>
      <c r="B4877" s="125" t="s">
        <v>500</v>
      </c>
      <c r="C4877" s="125" t="s">
        <v>480</v>
      </c>
      <c r="D4877" s="125" t="s">
        <v>454</v>
      </c>
      <c r="E4877" s="125" t="s">
        <v>189</v>
      </c>
      <c r="F4877" s="126">
        <v>40416.0</v>
      </c>
      <c r="G4877" s="127">
        <v>8.31E8</v>
      </c>
      <c r="H4877" s="126">
        <v>40453.0</v>
      </c>
      <c r="I4877" s="128">
        <v>1159.0</v>
      </c>
      <c r="J4877" s="128">
        <v>437.2</v>
      </c>
      <c r="K4877" s="128">
        <v>263.33</v>
      </c>
      <c r="L4877" s="128">
        <v>506714.8</v>
      </c>
      <c r="M4877" s="128">
        <v>305199.5</v>
      </c>
      <c r="N4877" s="128">
        <v>201515.3</v>
      </c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</row>
    <row r="4878">
      <c r="A4878" s="125" t="s">
        <v>466</v>
      </c>
      <c r="B4878" s="125" t="s">
        <v>524</v>
      </c>
      <c r="C4878" s="125" t="s">
        <v>478</v>
      </c>
      <c r="D4878" s="125" t="s">
        <v>454</v>
      </c>
      <c r="E4878" s="125" t="s">
        <v>472</v>
      </c>
      <c r="F4878" s="126">
        <v>42303.0</v>
      </c>
      <c r="G4878" s="127">
        <v>6.01E8</v>
      </c>
      <c r="H4878" s="126">
        <v>42334.0</v>
      </c>
      <c r="I4878" s="128">
        <v>5632.0</v>
      </c>
      <c r="J4878" s="128">
        <v>651.21</v>
      </c>
      <c r="K4878" s="128">
        <v>524.96</v>
      </c>
      <c r="L4878" s="128">
        <v>3667615.0</v>
      </c>
      <c r="M4878" s="128">
        <v>2956575.0</v>
      </c>
      <c r="N4878" s="128">
        <v>711040.0</v>
      </c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/>
    </row>
    <row r="4879">
      <c r="A4879" s="125" t="s">
        <v>461</v>
      </c>
      <c r="B4879" s="125" t="s">
        <v>629</v>
      </c>
      <c r="C4879" s="125" t="s">
        <v>514</v>
      </c>
      <c r="D4879" s="125" t="s">
        <v>454</v>
      </c>
      <c r="E4879" s="125" t="s">
        <v>189</v>
      </c>
      <c r="F4879" s="126">
        <v>41508.0</v>
      </c>
      <c r="G4879" s="127">
        <v>5.29E8</v>
      </c>
      <c r="H4879" s="126">
        <v>41517.0</v>
      </c>
      <c r="I4879" s="128">
        <v>3645.0</v>
      </c>
      <c r="J4879" s="128">
        <v>668.27</v>
      </c>
      <c r="K4879" s="128">
        <v>502.54</v>
      </c>
      <c r="L4879" s="128">
        <v>2435844.0</v>
      </c>
      <c r="M4879" s="128">
        <v>1831758.0</v>
      </c>
      <c r="N4879" s="128">
        <v>604085.9</v>
      </c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</row>
    <row r="4880">
      <c r="A4880" s="125" t="s">
        <v>451</v>
      </c>
      <c r="B4880" s="125" t="s">
        <v>655</v>
      </c>
      <c r="C4880" s="125" t="s">
        <v>471</v>
      </c>
      <c r="D4880" s="125" t="s">
        <v>454</v>
      </c>
      <c r="E4880" s="125" t="s">
        <v>284</v>
      </c>
      <c r="F4880" s="126">
        <v>41679.0</v>
      </c>
      <c r="G4880" s="127">
        <v>2.02E8</v>
      </c>
      <c r="H4880" s="126">
        <v>41694.0</v>
      </c>
      <c r="I4880" s="128">
        <v>4111.0</v>
      </c>
      <c r="J4880" s="128">
        <v>109.28</v>
      </c>
      <c r="K4880" s="128">
        <v>35.84</v>
      </c>
      <c r="L4880" s="128">
        <v>449250.1</v>
      </c>
      <c r="M4880" s="128">
        <v>147338.2</v>
      </c>
      <c r="N4880" s="128">
        <v>301911.8</v>
      </c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</row>
    <row r="4881">
      <c r="A4881" s="125" t="s">
        <v>475</v>
      </c>
      <c r="B4881" s="125" t="s">
        <v>601</v>
      </c>
      <c r="C4881" s="125" t="s">
        <v>485</v>
      </c>
      <c r="D4881" s="125" t="s">
        <v>457</v>
      </c>
      <c r="E4881" s="125" t="s">
        <v>284</v>
      </c>
      <c r="F4881" s="126">
        <v>42704.0</v>
      </c>
      <c r="G4881" s="127">
        <v>1.82E8</v>
      </c>
      <c r="H4881" s="126">
        <v>42735.0</v>
      </c>
      <c r="I4881" s="128">
        <v>2971.0</v>
      </c>
      <c r="J4881" s="128">
        <v>421.89</v>
      </c>
      <c r="K4881" s="128">
        <v>364.69</v>
      </c>
      <c r="L4881" s="128">
        <v>1253435.0</v>
      </c>
      <c r="M4881" s="128">
        <v>1083494.0</v>
      </c>
      <c r="N4881" s="128">
        <v>169941.2</v>
      </c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</row>
    <row r="4882">
      <c r="A4882" s="125" t="s">
        <v>466</v>
      </c>
      <c r="B4882" s="125" t="s">
        <v>598</v>
      </c>
      <c r="C4882" s="125" t="s">
        <v>471</v>
      </c>
      <c r="D4882" s="125" t="s">
        <v>457</v>
      </c>
      <c r="E4882" s="125" t="s">
        <v>189</v>
      </c>
      <c r="F4882" s="126">
        <v>42093.0</v>
      </c>
      <c r="G4882" s="127">
        <v>6.47E8</v>
      </c>
      <c r="H4882" s="126">
        <v>42093.0</v>
      </c>
      <c r="I4882" s="128">
        <v>8199.0</v>
      </c>
      <c r="J4882" s="128">
        <v>109.28</v>
      </c>
      <c r="K4882" s="128">
        <v>35.84</v>
      </c>
      <c r="L4882" s="128">
        <v>895986.7</v>
      </c>
      <c r="M4882" s="128">
        <v>293852.2</v>
      </c>
      <c r="N4882" s="128">
        <v>602134.6</v>
      </c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</row>
    <row r="4883">
      <c r="A4883" s="125" t="s">
        <v>461</v>
      </c>
      <c r="B4883" s="125" t="s">
        <v>586</v>
      </c>
      <c r="C4883" s="125" t="s">
        <v>480</v>
      </c>
      <c r="D4883" s="125" t="s">
        <v>457</v>
      </c>
      <c r="E4883" s="125" t="s">
        <v>284</v>
      </c>
      <c r="F4883" s="126">
        <v>41895.0</v>
      </c>
      <c r="G4883" s="127">
        <v>9.48E8</v>
      </c>
      <c r="H4883" s="126">
        <v>41902.0</v>
      </c>
      <c r="I4883" s="128">
        <v>4800.0</v>
      </c>
      <c r="J4883" s="128">
        <v>437.2</v>
      </c>
      <c r="K4883" s="128">
        <v>263.33</v>
      </c>
      <c r="L4883" s="128">
        <v>2098560.0</v>
      </c>
      <c r="M4883" s="128">
        <v>1263984.0</v>
      </c>
      <c r="N4883" s="128">
        <v>834576.0</v>
      </c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/>
    </row>
    <row r="4884">
      <c r="A4884" s="125" t="s">
        <v>458</v>
      </c>
      <c r="B4884" s="125" t="s">
        <v>573</v>
      </c>
      <c r="C4884" s="125" t="s">
        <v>506</v>
      </c>
      <c r="D4884" s="125" t="s">
        <v>457</v>
      </c>
      <c r="E4884" s="125" t="s">
        <v>472</v>
      </c>
      <c r="F4884" s="126">
        <v>41782.0</v>
      </c>
      <c r="G4884" s="127">
        <v>9.54E8</v>
      </c>
      <c r="H4884" s="126">
        <v>41831.0</v>
      </c>
      <c r="I4884" s="128">
        <v>9809.0</v>
      </c>
      <c r="J4884" s="128">
        <v>154.06</v>
      </c>
      <c r="K4884" s="128">
        <v>90.93</v>
      </c>
      <c r="L4884" s="128">
        <v>1511175.0</v>
      </c>
      <c r="M4884" s="128">
        <v>891932.4</v>
      </c>
      <c r="N4884" s="128">
        <v>619242.2</v>
      </c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</row>
    <row r="4885">
      <c r="A4885" s="125" t="s">
        <v>458</v>
      </c>
      <c r="B4885" s="125" t="s">
        <v>597</v>
      </c>
      <c r="C4885" s="125" t="s">
        <v>460</v>
      </c>
      <c r="D4885" s="125" t="s">
        <v>454</v>
      </c>
      <c r="E4885" s="125" t="s">
        <v>472</v>
      </c>
      <c r="F4885" s="126">
        <v>40433.0</v>
      </c>
      <c r="G4885" s="127">
        <v>6.08E8</v>
      </c>
      <c r="H4885" s="126">
        <v>40441.0</v>
      </c>
      <c r="I4885" s="128">
        <v>7296.0</v>
      </c>
      <c r="J4885" s="128">
        <v>47.45</v>
      </c>
      <c r="K4885" s="128">
        <v>31.79</v>
      </c>
      <c r="L4885" s="128">
        <v>346195.2</v>
      </c>
      <c r="M4885" s="128">
        <v>231939.8</v>
      </c>
      <c r="N4885" s="128">
        <v>114255.4</v>
      </c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</row>
    <row r="4886">
      <c r="A4886" s="125" t="s">
        <v>451</v>
      </c>
      <c r="B4886" s="125" t="s">
        <v>499</v>
      </c>
      <c r="C4886" s="125" t="s">
        <v>494</v>
      </c>
      <c r="D4886" s="125" t="s">
        <v>457</v>
      </c>
      <c r="E4886" s="125" t="s">
        <v>284</v>
      </c>
      <c r="F4886" s="126">
        <v>42445.0</v>
      </c>
      <c r="G4886" s="127">
        <v>3.69E8</v>
      </c>
      <c r="H4886" s="126">
        <v>42481.0</v>
      </c>
      <c r="I4886" s="128">
        <v>3357.0</v>
      </c>
      <c r="J4886" s="128">
        <v>9.33</v>
      </c>
      <c r="K4886" s="128">
        <v>6.92</v>
      </c>
      <c r="L4886" s="128">
        <v>31320.81</v>
      </c>
      <c r="M4886" s="128">
        <v>23230.44</v>
      </c>
      <c r="N4886" s="128">
        <v>8090.37</v>
      </c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</row>
    <row r="4887">
      <c r="A4887" s="125" t="s">
        <v>488</v>
      </c>
      <c r="B4887" s="125" t="s">
        <v>577</v>
      </c>
      <c r="C4887" s="125" t="s">
        <v>456</v>
      </c>
      <c r="D4887" s="125" t="s">
        <v>454</v>
      </c>
      <c r="E4887" s="125" t="s">
        <v>189</v>
      </c>
      <c r="F4887" s="126">
        <v>40359.0</v>
      </c>
      <c r="G4887" s="127">
        <v>7.68E8</v>
      </c>
      <c r="H4887" s="126">
        <v>40376.0</v>
      </c>
      <c r="I4887" s="128">
        <v>1123.0</v>
      </c>
      <c r="J4887" s="128">
        <v>152.58</v>
      </c>
      <c r="K4887" s="128">
        <v>97.44</v>
      </c>
      <c r="L4887" s="128">
        <v>171347.3</v>
      </c>
      <c r="M4887" s="128">
        <v>109425.1</v>
      </c>
      <c r="N4887" s="128">
        <v>61922.22</v>
      </c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</row>
    <row r="4888">
      <c r="A4888" s="125" t="s">
        <v>475</v>
      </c>
      <c r="B4888" s="125" t="s">
        <v>575</v>
      </c>
      <c r="C4888" s="125" t="s">
        <v>456</v>
      </c>
      <c r="D4888" s="125" t="s">
        <v>457</v>
      </c>
      <c r="E4888" s="125" t="s">
        <v>189</v>
      </c>
      <c r="F4888" s="126">
        <v>40935.0</v>
      </c>
      <c r="G4888" s="127">
        <v>1.59E8</v>
      </c>
      <c r="H4888" s="126">
        <v>40936.0</v>
      </c>
      <c r="I4888" s="128">
        <v>5754.0</v>
      </c>
      <c r="J4888" s="128">
        <v>152.58</v>
      </c>
      <c r="K4888" s="128">
        <v>97.44</v>
      </c>
      <c r="L4888" s="128">
        <v>877945.3</v>
      </c>
      <c r="M4888" s="128">
        <v>560669.8</v>
      </c>
      <c r="N4888" s="128">
        <v>317275.6</v>
      </c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</row>
    <row r="4889">
      <c r="A4889" s="125" t="s">
        <v>458</v>
      </c>
      <c r="B4889" s="125" t="s">
        <v>559</v>
      </c>
      <c r="C4889" s="125" t="s">
        <v>468</v>
      </c>
      <c r="D4889" s="125" t="s">
        <v>454</v>
      </c>
      <c r="E4889" s="125" t="s">
        <v>464</v>
      </c>
      <c r="F4889" s="126">
        <v>41641.0</v>
      </c>
      <c r="G4889" s="127">
        <v>5.62E8</v>
      </c>
      <c r="H4889" s="126">
        <v>41668.0</v>
      </c>
      <c r="I4889" s="128">
        <v>9445.0</v>
      </c>
      <c r="J4889" s="128">
        <v>81.73</v>
      </c>
      <c r="K4889" s="128">
        <v>56.67</v>
      </c>
      <c r="L4889" s="128">
        <v>771939.9</v>
      </c>
      <c r="M4889" s="128">
        <v>535248.2</v>
      </c>
      <c r="N4889" s="128">
        <v>236691.7</v>
      </c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/>
    </row>
    <row r="4890">
      <c r="A4890" s="125" t="s">
        <v>469</v>
      </c>
      <c r="B4890" s="125" t="s">
        <v>630</v>
      </c>
      <c r="C4890" s="125" t="s">
        <v>494</v>
      </c>
      <c r="D4890" s="125" t="s">
        <v>457</v>
      </c>
      <c r="E4890" s="125" t="s">
        <v>464</v>
      </c>
      <c r="F4890" s="126">
        <v>40334.0</v>
      </c>
      <c r="G4890" s="127">
        <v>9.19E8</v>
      </c>
      <c r="H4890" s="126">
        <v>40380.0</v>
      </c>
      <c r="I4890" s="128">
        <v>6417.0</v>
      </c>
      <c r="J4890" s="128">
        <v>9.33</v>
      </c>
      <c r="K4890" s="128">
        <v>6.92</v>
      </c>
      <c r="L4890" s="128">
        <v>59870.61</v>
      </c>
      <c r="M4890" s="128">
        <v>44405.64</v>
      </c>
      <c r="N4890" s="128">
        <v>15464.97</v>
      </c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</row>
    <row r="4891">
      <c r="A4891" s="125" t="s">
        <v>469</v>
      </c>
      <c r="B4891" s="125" t="s">
        <v>589</v>
      </c>
      <c r="C4891" s="125" t="s">
        <v>456</v>
      </c>
      <c r="D4891" s="125" t="s">
        <v>454</v>
      </c>
      <c r="E4891" s="125" t="s">
        <v>284</v>
      </c>
      <c r="F4891" s="126">
        <v>42173.0</v>
      </c>
      <c r="G4891" s="127">
        <v>2.44E8</v>
      </c>
      <c r="H4891" s="126">
        <v>42220.0</v>
      </c>
      <c r="I4891" s="128">
        <v>7926.0</v>
      </c>
      <c r="J4891" s="128">
        <v>152.58</v>
      </c>
      <c r="K4891" s="128">
        <v>97.44</v>
      </c>
      <c r="L4891" s="128">
        <v>1209349.0</v>
      </c>
      <c r="M4891" s="128">
        <v>772309.4</v>
      </c>
      <c r="N4891" s="128">
        <v>437039.6</v>
      </c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</row>
    <row r="4892">
      <c r="A4892" s="125" t="s">
        <v>458</v>
      </c>
      <c r="B4892" s="125" t="s">
        <v>583</v>
      </c>
      <c r="C4892" s="125" t="s">
        <v>506</v>
      </c>
      <c r="D4892" s="125" t="s">
        <v>457</v>
      </c>
      <c r="E4892" s="125" t="s">
        <v>464</v>
      </c>
      <c r="F4892" s="126">
        <v>41645.0</v>
      </c>
      <c r="G4892" s="127">
        <v>7.69E8</v>
      </c>
      <c r="H4892" s="126">
        <v>41678.0</v>
      </c>
      <c r="I4892" s="128">
        <v>7259.0</v>
      </c>
      <c r="J4892" s="128">
        <v>154.06</v>
      </c>
      <c r="K4892" s="128">
        <v>90.93</v>
      </c>
      <c r="L4892" s="128">
        <v>1118322.0</v>
      </c>
      <c r="M4892" s="128">
        <v>660060.9</v>
      </c>
      <c r="N4892" s="128">
        <v>458260.7</v>
      </c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/>
    </row>
    <row r="4893">
      <c r="A4893" s="125" t="s">
        <v>475</v>
      </c>
      <c r="B4893" s="125" t="s">
        <v>591</v>
      </c>
      <c r="C4893" s="125" t="s">
        <v>456</v>
      </c>
      <c r="D4893" s="125" t="s">
        <v>454</v>
      </c>
      <c r="E4893" s="125" t="s">
        <v>284</v>
      </c>
      <c r="F4893" s="126">
        <v>40539.0</v>
      </c>
      <c r="G4893" s="127">
        <v>2.97E8</v>
      </c>
      <c r="H4893" s="126">
        <v>40584.0</v>
      </c>
      <c r="I4893" s="128">
        <v>4731.0</v>
      </c>
      <c r="J4893" s="128">
        <v>152.58</v>
      </c>
      <c r="K4893" s="128">
        <v>97.44</v>
      </c>
      <c r="L4893" s="128">
        <v>721856.0</v>
      </c>
      <c r="M4893" s="128">
        <v>460988.6</v>
      </c>
      <c r="N4893" s="128">
        <v>260867.3</v>
      </c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</row>
    <row r="4894">
      <c r="A4894" s="125" t="s">
        <v>451</v>
      </c>
      <c r="B4894" s="125" t="s">
        <v>543</v>
      </c>
      <c r="C4894" s="125" t="s">
        <v>460</v>
      </c>
      <c r="D4894" s="125" t="s">
        <v>457</v>
      </c>
      <c r="E4894" s="125" t="s">
        <v>284</v>
      </c>
      <c r="F4894" s="126">
        <v>41033.0</v>
      </c>
      <c r="G4894" s="127">
        <v>7.52E8</v>
      </c>
      <c r="H4894" s="126">
        <v>41071.0</v>
      </c>
      <c r="I4894" s="128">
        <v>2693.0</v>
      </c>
      <c r="J4894" s="128">
        <v>47.45</v>
      </c>
      <c r="K4894" s="128">
        <v>31.79</v>
      </c>
      <c r="L4894" s="128">
        <v>127782.9</v>
      </c>
      <c r="M4894" s="128">
        <v>85610.47</v>
      </c>
      <c r="N4894" s="128">
        <v>42172.38</v>
      </c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</row>
    <row r="4895">
      <c r="A4895" s="125" t="s">
        <v>451</v>
      </c>
      <c r="B4895" s="125" t="s">
        <v>620</v>
      </c>
      <c r="C4895" s="125" t="s">
        <v>485</v>
      </c>
      <c r="D4895" s="125" t="s">
        <v>454</v>
      </c>
      <c r="E4895" s="125" t="s">
        <v>464</v>
      </c>
      <c r="F4895" s="126">
        <v>41546.0</v>
      </c>
      <c r="G4895" s="127">
        <v>5.27E8</v>
      </c>
      <c r="H4895" s="126">
        <v>41550.0</v>
      </c>
      <c r="I4895" s="128">
        <v>523.0</v>
      </c>
      <c r="J4895" s="128">
        <v>421.89</v>
      </c>
      <c r="K4895" s="128">
        <v>364.69</v>
      </c>
      <c r="L4895" s="128">
        <v>220648.5</v>
      </c>
      <c r="M4895" s="128">
        <v>190732.9</v>
      </c>
      <c r="N4895" s="128">
        <v>29915.6</v>
      </c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</row>
    <row r="4896">
      <c r="A4896" s="125" t="s">
        <v>458</v>
      </c>
      <c r="B4896" s="125" t="s">
        <v>563</v>
      </c>
      <c r="C4896" s="125" t="s">
        <v>480</v>
      </c>
      <c r="D4896" s="125" t="s">
        <v>457</v>
      </c>
      <c r="E4896" s="125" t="s">
        <v>464</v>
      </c>
      <c r="F4896" s="126">
        <v>40886.0</v>
      </c>
      <c r="G4896" s="127">
        <v>3.37E8</v>
      </c>
      <c r="H4896" s="126">
        <v>40936.0</v>
      </c>
      <c r="I4896" s="128">
        <v>9634.0</v>
      </c>
      <c r="J4896" s="128">
        <v>437.2</v>
      </c>
      <c r="K4896" s="128">
        <v>263.33</v>
      </c>
      <c r="L4896" s="128">
        <v>4211985.0</v>
      </c>
      <c r="M4896" s="128">
        <v>2536921.0</v>
      </c>
      <c r="N4896" s="128">
        <v>1675064.0</v>
      </c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</row>
    <row r="4897">
      <c r="A4897" s="125" t="s">
        <v>466</v>
      </c>
      <c r="B4897" s="125" t="s">
        <v>625</v>
      </c>
      <c r="C4897" s="125" t="s">
        <v>471</v>
      </c>
      <c r="D4897" s="125" t="s">
        <v>454</v>
      </c>
      <c r="E4897" s="125" t="s">
        <v>189</v>
      </c>
      <c r="F4897" s="126">
        <v>42397.0</v>
      </c>
      <c r="G4897" s="127">
        <v>9.67E8</v>
      </c>
      <c r="H4897" s="126">
        <v>42416.0</v>
      </c>
      <c r="I4897" s="128">
        <v>8467.0</v>
      </c>
      <c r="J4897" s="128">
        <v>109.28</v>
      </c>
      <c r="K4897" s="128">
        <v>35.84</v>
      </c>
      <c r="L4897" s="128">
        <v>925273.8</v>
      </c>
      <c r="M4897" s="128">
        <v>303457.3</v>
      </c>
      <c r="N4897" s="128">
        <v>621816.5</v>
      </c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</row>
    <row r="4898">
      <c r="A4898" s="125" t="s">
        <v>469</v>
      </c>
      <c r="B4898" s="125" t="s">
        <v>634</v>
      </c>
      <c r="C4898" s="125" t="s">
        <v>478</v>
      </c>
      <c r="D4898" s="125" t="s">
        <v>457</v>
      </c>
      <c r="E4898" s="125" t="s">
        <v>464</v>
      </c>
      <c r="F4898" s="126">
        <v>41516.0</v>
      </c>
      <c r="G4898" s="127">
        <v>1.2E8</v>
      </c>
      <c r="H4898" s="126">
        <v>41536.0</v>
      </c>
      <c r="I4898" s="128">
        <v>7497.0</v>
      </c>
      <c r="J4898" s="128">
        <v>651.21</v>
      </c>
      <c r="K4898" s="128">
        <v>524.96</v>
      </c>
      <c r="L4898" s="128">
        <v>4882121.0</v>
      </c>
      <c r="M4898" s="128">
        <v>3935625.0</v>
      </c>
      <c r="N4898" s="128">
        <v>946496.3</v>
      </c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</row>
    <row r="4899">
      <c r="A4899" s="125" t="s">
        <v>469</v>
      </c>
      <c r="B4899" s="125" t="s">
        <v>470</v>
      </c>
      <c r="C4899" s="125" t="s">
        <v>453</v>
      </c>
      <c r="D4899" s="125" t="s">
        <v>457</v>
      </c>
      <c r="E4899" s="125" t="s">
        <v>472</v>
      </c>
      <c r="F4899" s="126">
        <v>40984.0</v>
      </c>
      <c r="G4899" s="127">
        <v>9.72E8</v>
      </c>
      <c r="H4899" s="126">
        <v>41032.0</v>
      </c>
      <c r="I4899" s="128">
        <v>4227.0</v>
      </c>
      <c r="J4899" s="128">
        <v>255.28</v>
      </c>
      <c r="K4899" s="128">
        <v>159.42</v>
      </c>
      <c r="L4899" s="128">
        <v>1079069.0</v>
      </c>
      <c r="M4899" s="128">
        <v>673868.3</v>
      </c>
      <c r="N4899" s="128">
        <v>405200.2</v>
      </c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</row>
    <row r="4900">
      <c r="A4900" s="125" t="s">
        <v>458</v>
      </c>
      <c r="B4900" s="125" t="s">
        <v>563</v>
      </c>
      <c r="C4900" s="125" t="s">
        <v>485</v>
      </c>
      <c r="D4900" s="125" t="s">
        <v>457</v>
      </c>
      <c r="E4900" s="125" t="s">
        <v>189</v>
      </c>
      <c r="F4900" s="126">
        <v>41164.0</v>
      </c>
      <c r="G4900" s="127">
        <v>9.18E8</v>
      </c>
      <c r="H4900" s="126">
        <v>41175.0</v>
      </c>
      <c r="I4900" s="128">
        <v>8194.0</v>
      </c>
      <c r="J4900" s="128">
        <v>421.89</v>
      </c>
      <c r="K4900" s="128">
        <v>364.69</v>
      </c>
      <c r="L4900" s="128">
        <v>3456967.0</v>
      </c>
      <c r="M4900" s="128">
        <v>2988270.0</v>
      </c>
      <c r="N4900" s="128">
        <v>468696.8</v>
      </c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</row>
    <row r="4901">
      <c r="A4901" s="125" t="s">
        <v>461</v>
      </c>
      <c r="B4901" s="125" t="s">
        <v>465</v>
      </c>
      <c r="C4901" s="125" t="s">
        <v>468</v>
      </c>
      <c r="D4901" s="125" t="s">
        <v>457</v>
      </c>
      <c r="E4901" s="125" t="s">
        <v>472</v>
      </c>
      <c r="F4901" s="126">
        <v>41425.0</v>
      </c>
      <c r="G4901" s="127">
        <v>1.24E8</v>
      </c>
      <c r="H4901" s="126">
        <v>41433.0</v>
      </c>
      <c r="I4901" s="128">
        <v>5966.0</v>
      </c>
      <c r="J4901" s="128">
        <v>81.73</v>
      </c>
      <c r="K4901" s="128">
        <v>56.67</v>
      </c>
      <c r="L4901" s="128">
        <v>487601.2</v>
      </c>
      <c r="M4901" s="128">
        <v>338093.2</v>
      </c>
      <c r="N4901" s="128">
        <v>149508.0</v>
      </c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</row>
    <row r="4902">
      <c r="A4902" s="125" t="s">
        <v>458</v>
      </c>
      <c r="B4902" s="125" t="s">
        <v>547</v>
      </c>
      <c r="C4902" s="125" t="s">
        <v>463</v>
      </c>
      <c r="D4902" s="125" t="s">
        <v>454</v>
      </c>
      <c r="E4902" s="125" t="s">
        <v>284</v>
      </c>
      <c r="F4902" s="126">
        <v>41525.0</v>
      </c>
      <c r="G4902" s="127">
        <v>1.76E8</v>
      </c>
      <c r="H4902" s="126">
        <v>41575.0</v>
      </c>
      <c r="I4902" s="128">
        <v>6140.0</v>
      </c>
      <c r="J4902" s="128">
        <v>205.7</v>
      </c>
      <c r="K4902" s="128">
        <v>117.11</v>
      </c>
      <c r="L4902" s="128">
        <v>1262998.0</v>
      </c>
      <c r="M4902" s="128">
        <v>719055.4</v>
      </c>
      <c r="N4902" s="128">
        <v>543942.6</v>
      </c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</row>
    <row r="4903">
      <c r="A4903" s="125" t="s">
        <v>458</v>
      </c>
      <c r="B4903" s="125" t="s">
        <v>590</v>
      </c>
      <c r="C4903" s="125" t="s">
        <v>485</v>
      </c>
      <c r="D4903" s="125" t="s">
        <v>457</v>
      </c>
      <c r="E4903" s="125" t="s">
        <v>284</v>
      </c>
      <c r="F4903" s="126">
        <v>40229.0</v>
      </c>
      <c r="G4903" s="127">
        <v>9.3E8</v>
      </c>
      <c r="H4903" s="126">
        <v>40263.0</v>
      </c>
      <c r="I4903" s="128">
        <v>4348.0</v>
      </c>
      <c r="J4903" s="128">
        <v>421.89</v>
      </c>
      <c r="K4903" s="128">
        <v>364.69</v>
      </c>
      <c r="L4903" s="128">
        <v>1834378.0</v>
      </c>
      <c r="M4903" s="128">
        <v>1585672.0</v>
      </c>
      <c r="N4903" s="128">
        <v>248705.6</v>
      </c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/>
    </row>
    <row r="4904">
      <c r="A4904" s="125" t="s">
        <v>475</v>
      </c>
      <c r="B4904" s="125" t="s">
        <v>640</v>
      </c>
      <c r="C4904" s="125" t="s">
        <v>468</v>
      </c>
      <c r="D4904" s="125" t="s">
        <v>454</v>
      </c>
      <c r="E4904" s="125" t="s">
        <v>189</v>
      </c>
      <c r="F4904" s="126">
        <v>42222.0</v>
      </c>
      <c r="G4904" s="127">
        <v>9.63E8</v>
      </c>
      <c r="H4904" s="126">
        <v>42246.0</v>
      </c>
      <c r="I4904" s="128">
        <v>8250.0</v>
      </c>
      <c r="J4904" s="128">
        <v>81.73</v>
      </c>
      <c r="K4904" s="128">
        <v>56.67</v>
      </c>
      <c r="L4904" s="128">
        <v>674272.5</v>
      </c>
      <c r="M4904" s="128">
        <v>467527.5</v>
      </c>
      <c r="N4904" s="128">
        <v>206745.0</v>
      </c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</row>
    <row r="4905">
      <c r="A4905" s="125" t="s">
        <v>475</v>
      </c>
      <c r="B4905" s="125" t="s">
        <v>635</v>
      </c>
      <c r="C4905" s="125" t="s">
        <v>485</v>
      </c>
      <c r="D4905" s="125" t="s">
        <v>457</v>
      </c>
      <c r="E4905" s="125" t="s">
        <v>464</v>
      </c>
      <c r="F4905" s="126">
        <v>42896.0</v>
      </c>
      <c r="G4905" s="127">
        <v>7.22E8</v>
      </c>
      <c r="H4905" s="126">
        <v>42915.0</v>
      </c>
      <c r="I4905" s="128">
        <v>2539.0</v>
      </c>
      <c r="J4905" s="128">
        <v>421.89</v>
      </c>
      <c r="K4905" s="128">
        <v>364.69</v>
      </c>
      <c r="L4905" s="128">
        <v>1071179.0</v>
      </c>
      <c r="M4905" s="128">
        <v>925947.9</v>
      </c>
      <c r="N4905" s="128">
        <v>145230.8</v>
      </c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</row>
    <row r="4906">
      <c r="A4906" s="125" t="s">
        <v>458</v>
      </c>
      <c r="B4906" s="125" t="s">
        <v>652</v>
      </c>
      <c r="C4906" s="125" t="s">
        <v>463</v>
      </c>
      <c r="D4906" s="125" t="s">
        <v>454</v>
      </c>
      <c r="E4906" s="125" t="s">
        <v>464</v>
      </c>
      <c r="F4906" s="126">
        <v>40800.0</v>
      </c>
      <c r="G4906" s="127">
        <v>2.74E8</v>
      </c>
      <c r="H4906" s="126">
        <v>40835.0</v>
      </c>
      <c r="I4906" s="128">
        <v>3937.0</v>
      </c>
      <c r="J4906" s="128">
        <v>205.7</v>
      </c>
      <c r="K4906" s="128">
        <v>117.11</v>
      </c>
      <c r="L4906" s="128">
        <v>809840.9</v>
      </c>
      <c r="M4906" s="128">
        <v>461062.1</v>
      </c>
      <c r="N4906" s="128">
        <v>348778.8</v>
      </c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</row>
    <row r="4907">
      <c r="A4907" s="125" t="s">
        <v>458</v>
      </c>
      <c r="B4907" s="125" t="s">
        <v>614</v>
      </c>
      <c r="C4907" s="125" t="s">
        <v>494</v>
      </c>
      <c r="D4907" s="125" t="s">
        <v>457</v>
      </c>
      <c r="E4907" s="125" t="s">
        <v>284</v>
      </c>
      <c r="F4907" s="126">
        <v>41787.0</v>
      </c>
      <c r="G4907" s="127">
        <v>6.56E8</v>
      </c>
      <c r="H4907" s="126">
        <v>41809.0</v>
      </c>
      <c r="I4907" s="128">
        <v>6201.0</v>
      </c>
      <c r="J4907" s="128">
        <v>9.33</v>
      </c>
      <c r="K4907" s="128">
        <v>6.92</v>
      </c>
      <c r="L4907" s="128">
        <v>57855.33</v>
      </c>
      <c r="M4907" s="128">
        <v>42910.92</v>
      </c>
      <c r="N4907" s="128">
        <v>14944.41</v>
      </c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</row>
    <row r="4908">
      <c r="A4908" s="125" t="s">
        <v>475</v>
      </c>
      <c r="B4908" s="125" t="s">
        <v>544</v>
      </c>
      <c r="C4908" s="125" t="s">
        <v>468</v>
      </c>
      <c r="D4908" s="125" t="s">
        <v>457</v>
      </c>
      <c r="E4908" s="125" t="s">
        <v>189</v>
      </c>
      <c r="F4908" s="126">
        <v>41032.0</v>
      </c>
      <c r="G4908" s="127">
        <v>7.27E8</v>
      </c>
      <c r="H4908" s="126">
        <v>41079.0</v>
      </c>
      <c r="I4908" s="128">
        <v>5116.0</v>
      </c>
      <c r="J4908" s="128">
        <v>81.73</v>
      </c>
      <c r="K4908" s="128">
        <v>56.67</v>
      </c>
      <c r="L4908" s="128">
        <v>418130.7</v>
      </c>
      <c r="M4908" s="128">
        <v>289923.7</v>
      </c>
      <c r="N4908" s="128">
        <v>128207.0</v>
      </c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</row>
    <row r="4909">
      <c r="A4909" s="125" t="s">
        <v>451</v>
      </c>
      <c r="B4909" s="125" t="s">
        <v>587</v>
      </c>
      <c r="C4909" s="125" t="s">
        <v>460</v>
      </c>
      <c r="D4909" s="125" t="s">
        <v>454</v>
      </c>
      <c r="E4909" s="125" t="s">
        <v>464</v>
      </c>
      <c r="F4909" s="126">
        <v>41018.0</v>
      </c>
      <c r="G4909" s="127">
        <v>3.14E8</v>
      </c>
      <c r="H4909" s="126">
        <v>41029.0</v>
      </c>
      <c r="I4909" s="128">
        <v>3499.0</v>
      </c>
      <c r="J4909" s="128">
        <v>47.45</v>
      </c>
      <c r="K4909" s="128">
        <v>31.79</v>
      </c>
      <c r="L4909" s="128">
        <v>166027.6</v>
      </c>
      <c r="M4909" s="128">
        <v>111233.2</v>
      </c>
      <c r="N4909" s="128">
        <v>54794.34</v>
      </c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</row>
    <row r="4910">
      <c r="A4910" s="125" t="s">
        <v>458</v>
      </c>
      <c r="B4910" s="125" t="s">
        <v>613</v>
      </c>
      <c r="C4910" s="125" t="s">
        <v>514</v>
      </c>
      <c r="D4910" s="125" t="s">
        <v>454</v>
      </c>
      <c r="E4910" s="125" t="s">
        <v>284</v>
      </c>
      <c r="F4910" s="126">
        <v>41848.0</v>
      </c>
      <c r="G4910" s="127">
        <v>6.66E8</v>
      </c>
      <c r="H4910" s="126">
        <v>41882.0</v>
      </c>
      <c r="I4910" s="128">
        <v>6199.0</v>
      </c>
      <c r="J4910" s="128">
        <v>668.27</v>
      </c>
      <c r="K4910" s="128">
        <v>502.54</v>
      </c>
      <c r="L4910" s="128">
        <v>4142606.0</v>
      </c>
      <c r="M4910" s="128">
        <v>3115245.0</v>
      </c>
      <c r="N4910" s="128">
        <v>1027360.0</v>
      </c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</row>
    <row r="4911">
      <c r="A4911" s="125" t="s">
        <v>466</v>
      </c>
      <c r="B4911" s="125" t="s">
        <v>496</v>
      </c>
      <c r="C4911" s="125" t="s">
        <v>485</v>
      </c>
      <c r="D4911" s="125" t="s">
        <v>454</v>
      </c>
      <c r="E4911" s="125" t="s">
        <v>284</v>
      </c>
      <c r="F4911" s="126">
        <v>42632.0</v>
      </c>
      <c r="G4911" s="127">
        <v>4.03E8</v>
      </c>
      <c r="H4911" s="126">
        <v>42651.0</v>
      </c>
      <c r="I4911" s="128">
        <v>5097.0</v>
      </c>
      <c r="J4911" s="128">
        <v>421.89</v>
      </c>
      <c r="K4911" s="128">
        <v>364.69</v>
      </c>
      <c r="L4911" s="128">
        <v>2150373.0</v>
      </c>
      <c r="M4911" s="128">
        <v>1858825.0</v>
      </c>
      <c r="N4911" s="128">
        <v>291548.4</v>
      </c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/>
    </row>
    <row r="4912">
      <c r="A4912" s="125" t="s">
        <v>461</v>
      </c>
      <c r="B4912" s="125" t="s">
        <v>576</v>
      </c>
      <c r="C4912" s="125" t="s">
        <v>471</v>
      </c>
      <c r="D4912" s="125" t="s">
        <v>454</v>
      </c>
      <c r="E4912" s="125" t="s">
        <v>189</v>
      </c>
      <c r="F4912" s="126">
        <v>42869.0</v>
      </c>
      <c r="G4912" s="127">
        <v>4.62E8</v>
      </c>
      <c r="H4912" s="126">
        <v>42905.0</v>
      </c>
      <c r="I4912" s="128">
        <v>4103.0</v>
      </c>
      <c r="J4912" s="128">
        <v>109.28</v>
      </c>
      <c r="K4912" s="128">
        <v>35.84</v>
      </c>
      <c r="L4912" s="128">
        <v>448375.8</v>
      </c>
      <c r="M4912" s="128">
        <v>147051.5</v>
      </c>
      <c r="N4912" s="128">
        <v>301324.3</v>
      </c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/>
    </row>
    <row r="4913">
      <c r="A4913" s="125" t="s">
        <v>461</v>
      </c>
      <c r="B4913" s="125" t="s">
        <v>465</v>
      </c>
      <c r="C4913" s="125" t="s">
        <v>456</v>
      </c>
      <c r="D4913" s="125" t="s">
        <v>457</v>
      </c>
      <c r="E4913" s="125" t="s">
        <v>464</v>
      </c>
      <c r="F4913" s="126">
        <v>41064.0</v>
      </c>
      <c r="G4913" s="127">
        <v>9.53E8</v>
      </c>
      <c r="H4913" s="126">
        <v>41105.0</v>
      </c>
      <c r="I4913" s="128">
        <v>4159.0</v>
      </c>
      <c r="J4913" s="128">
        <v>152.58</v>
      </c>
      <c r="K4913" s="128">
        <v>97.44</v>
      </c>
      <c r="L4913" s="128">
        <v>634580.2</v>
      </c>
      <c r="M4913" s="128">
        <v>405253.0</v>
      </c>
      <c r="N4913" s="128">
        <v>229327.3</v>
      </c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</row>
    <row r="4914">
      <c r="A4914" s="125" t="s">
        <v>475</v>
      </c>
      <c r="B4914" s="125" t="s">
        <v>588</v>
      </c>
      <c r="C4914" s="125" t="s">
        <v>453</v>
      </c>
      <c r="D4914" s="125" t="s">
        <v>454</v>
      </c>
      <c r="E4914" s="125" t="s">
        <v>464</v>
      </c>
      <c r="F4914" s="126">
        <v>41643.0</v>
      </c>
      <c r="G4914" s="127">
        <v>7.07E8</v>
      </c>
      <c r="H4914" s="126">
        <v>41646.0</v>
      </c>
      <c r="I4914" s="128">
        <v>8239.0</v>
      </c>
      <c r="J4914" s="128">
        <v>255.28</v>
      </c>
      <c r="K4914" s="128">
        <v>159.42</v>
      </c>
      <c r="L4914" s="128">
        <v>2103252.0</v>
      </c>
      <c r="M4914" s="128">
        <v>1313461.0</v>
      </c>
      <c r="N4914" s="128">
        <v>789790.5</v>
      </c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</row>
    <row r="4915">
      <c r="A4915" s="125" t="s">
        <v>458</v>
      </c>
      <c r="B4915" s="125" t="s">
        <v>555</v>
      </c>
      <c r="C4915" s="125" t="s">
        <v>485</v>
      </c>
      <c r="D4915" s="125" t="s">
        <v>454</v>
      </c>
      <c r="E4915" s="125" t="s">
        <v>472</v>
      </c>
      <c r="F4915" s="126">
        <v>42505.0</v>
      </c>
      <c r="G4915" s="127">
        <v>4.23E8</v>
      </c>
      <c r="H4915" s="126">
        <v>42538.0</v>
      </c>
      <c r="I4915" s="128">
        <v>6349.0</v>
      </c>
      <c r="J4915" s="128">
        <v>421.89</v>
      </c>
      <c r="K4915" s="128">
        <v>364.69</v>
      </c>
      <c r="L4915" s="128">
        <v>2678580.0</v>
      </c>
      <c r="M4915" s="128">
        <v>2315417.0</v>
      </c>
      <c r="N4915" s="128">
        <v>363162.8</v>
      </c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/>
    </row>
    <row r="4916">
      <c r="A4916" s="125" t="s">
        <v>475</v>
      </c>
      <c r="B4916" s="125" t="s">
        <v>566</v>
      </c>
      <c r="C4916" s="125" t="s">
        <v>506</v>
      </c>
      <c r="D4916" s="125" t="s">
        <v>457</v>
      </c>
      <c r="E4916" s="125" t="s">
        <v>464</v>
      </c>
      <c r="F4916" s="126">
        <v>41940.0</v>
      </c>
      <c r="G4916" s="127">
        <v>4.21E8</v>
      </c>
      <c r="H4916" s="126">
        <v>41940.0</v>
      </c>
      <c r="I4916" s="128">
        <v>524.0</v>
      </c>
      <c r="J4916" s="128">
        <v>154.06</v>
      </c>
      <c r="K4916" s="128">
        <v>90.93</v>
      </c>
      <c r="L4916" s="128">
        <v>80727.44</v>
      </c>
      <c r="M4916" s="128">
        <v>47647.32</v>
      </c>
      <c r="N4916" s="128">
        <v>33080.12</v>
      </c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</row>
    <row r="4917">
      <c r="A4917" s="125" t="s">
        <v>451</v>
      </c>
      <c r="B4917" s="125" t="s">
        <v>499</v>
      </c>
      <c r="C4917" s="125" t="s">
        <v>468</v>
      </c>
      <c r="D4917" s="125" t="s">
        <v>457</v>
      </c>
      <c r="E4917" s="125" t="s">
        <v>284</v>
      </c>
      <c r="F4917" s="126">
        <v>42774.0</v>
      </c>
      <c r="G4917" s="127">
        <v>1.92E8</v>
      </c>
      <c r="H4917" s="126">
        <v>42790.0</v>
      </c>
      <c r="I4917" s="128">
        <v>9831.0</v>
      </c>
      <c r="J4917" s="128">
        <v>81.73</v>
      </c>
      <c r="K4917" s="128">
        <v>56.67</v>
      </c>
      <c r="L4917" s="128">
        <v>803487.6</v>
      </c>
      <c r="M4917" s="128">
        <v>557122.8</v>
      </c>
      <c r="N4917" s="128">
        <v>246364.9</v>
      </c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</row>
    <row r="4918">
      <c r="A4918" s="125" t="s">
        <v>475</v>
      </c>
      <c r="B4918" s="125" t="s">
        <v>532</v>
      </c>
      <c r="C4918" s="125" t="s">
        <v>506</v>
      </c>
      <c r="D4918" s="125" t="s">
        <v>454</v>
      </c>
      <c r="E4918" s="125" t="s">
        <v>472</v>
      </c>
      <c r="F4918" s="126">
        <v>42691.0</v>
      </c>
      <c r="G4918" s="127">
        <v>6.48E8</v>
      </c>
      <c r="H4918" s="126">
        <v>42693.0</v>
      </c>
      <c r="I4918" s="128">
        <v>5370.0</v>
      </c>
      <c r="J4918" s="128">
        <v>154.06</v>
      </c>
      <c r="K4918" s="128">
        <v>90.93</v>
      </c>
      <c r="L4918" s="128">
        <v>827302.2</v>
      </c>
      <c r="M4918" s="128">
        <v>488294.1</v>
      </c>
      <c r="N4918" s="128">
        <v>339008.1</v>
      </c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</row>
    <row r="4919">
      <c r="A4919" s="125" t="s">
        <v>458</v>
      </c>
      <c r="B4919" s="125" t="s">
        <v>573</v>
      </c>
      <c r="C4919" s="125" t="s">
        <v>506</v>
      </c>
      <c r="D4919" s="125" t="s">
        <v>454</v>
      </c>
      <c r="E4919" s="125" t="s">
        <v>464</v>
      </c>
      <c r="F4919" s="126">
        <v>41147.0</v>
      </c>
      <c r="G4919" s="127">
        <v>9.69E8</v>
      </c>
      <c r="H4919" s="126">
        <v>41169.0</v>
      </c>
      <c r="I4919" s="128">
        <v>5269.0</v>
      </c>
      <c r="J4919" s="128">
        <v>154.06</v>
      </c>
      <c r="K4919" s="128">
        <v>90.93</v>
      </c>
      <c r="L4919" s="128">
        <v>811742.1</v>
      </c>
      <c r="M4919" s="128">
        <v>479110.2</v>
      </c>
      <c r="N4919" s="128">
        <v>332632.0</v>
      </c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/>
    </row>
    <row r="4920">
      <c r="A4920" s="125" t="s">
        <v>458</v>
      </c>
      <c r="B4920" s="125" t="s">
        <v>529</v>
      </c>
      <c r="C4920" s="125" t="s">
        <v>478</v>
      </c>
      <c r="D4920" s="125" t="s">
        <v>454</v>
      </c>
      <c r="E4920" s="125" t="s">
        <v>284</v>
      </c>
      <c r="F4920" s="126">
        <v>40753.0</v>
      </c>
      <c r="G4920" s="127">
        <v>8.57E8</v>
      </c>
      <c r="H4920" s="126">
        <v>40802.0</v>
      </c>
      <c r="I4920" s="128">
        <v>9691.0</v>
      </c>
      <c r="J4920" s="128">
        <v>651.21</v>
      </c>
      <c r="K4920" s="128">
        <v>524.96</v>
      </c>
      <c r="L4920" s="128">
        <v>6310876.0</v>
      </c>
      <c r="M4920" s="128">
        <v>5087387.0</v>
      </c>
      <c r="N4920" s="128">
        <v>1223489.0</v>
      </c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</row>
    <row r="4921">
      <c r="A4921" s="125" t="s">
        <v>488</v>
      </c>
      <c r="B4921" s="125" t="s">
        <v>654</v>
      </c>
      <c r="C4921" s="125" t="s">
        <v>478</v>
      </c>
      <c r="D4921" s="125" t="s">
        <v>454</v>
      </c>
      <c r="E4921" s="125" t="s">
        <v>189</v>
      </c>
      <c r="F4921" s="126">
        <v>40358.0</v>
      </c>
      <c r="G4921" s="127">
        <v>9.85E8</v>
      </c>
      <c r="H4921" s="126">
        <v>40403.0</v>
      </c>
      <c r="I4921" s="128">
        <v>5828.0</v>
      </c>
      <c r="J4921" s="128">
        <v>651.21</v>
      </c>
      <c r="K4921" s="128">
        <v>524.96</v>
      </c>
      <c r="L4921" s="128">
        <v>3795252.0</v>
      </c>
      <c r="M4921" s="128">
        <v>3059467.0</v>
      </c>
      <c r="N4921" s="128">
        <v>735785.0</v>
      </c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</row>
    <row r="4922">
      <c r="A4922" s="125" t="s">
        <v>469</v>
      </c>
      <c r="B4922" s="125" t="s">
        <v>589</v>
      </c>
      <c r="C4922" s="125" t="s">
        <v>456</v>
      </c>
      <c r="D4922" s="125" t="s">
        <v>454</v>
      </c>
      <c r="E4922" s="125" t="s">
        <v>472</v>
      </c>
      <c r="F4922" s="126">
        <v>41969.0</v>
      </c>
      <c r="G4922" s="127">
        <v>7.43E8</v>
      </c>
      <c r="H4922" s="126">
        <v>42008.0</v>
      </c>
      <c r="I4922" s="128">
        <v>2903.0</v>
      </c>
      <c r="J4922" s="128">
        <v>152.58</v>
      </c>
      <c r="K4922" s="128">
        <v>97.44</v>
      </c>
      <c r="L4922" s="128">
        <v>442939.7</v>
      </c>
      <c r="M4922" s="128">
        <v>282868.3</v>
      </c>
      <c r="N4922" s="128">
        <v>160071.4</v>
      </c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</row>
    <row r="4923">
      <c r="A4923" s="125" t="s">
        <v>458</v>
      </c>
      <c r="B4923" s="125" t="s">
        <v>583</v>
      </c>
      <c r="C4923" s="125" t="s">
        <v>506</v>
      </c>
      <c r="D4923" s="125" t="s">
        <v>454</v>
      </c>
      <c r="E4923" s="125" t="s">
        <v>189</v>
      </c>
      <c r="F4923" s="126">
        <v>41065.0</v>
      </c>
      <c r="G4923" s="127">
        <v>4.96E8</v>
      </c>
      <c r="H4923" s="126">
        <v>41108.0</v>
      </c>
      <c r="I4923" s="128">
        <v>7171.0</v>
      </c>
      <c r="J4923" s="128">
        <v>154.06</v>
      </c>
      <c r="K4923" s="128">
        <v>90.93</v>
      </c>
      <c r="L4923" s="128">
        <v>1104764.0</v>
      </c>
      <c r="M4923" s="128">
        <v>652059.0</v>
      </c>
      <c r="N4923" s="128">
        <v>452705.2</v>
      </c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</row>
    <row r="4924">
      <c r="A4924" s="125" t="s">
        <v>458</v>
      </c>
      <c r="B4924" s="125" t="s">
        <v>633</v>
      </c>
      <c r="C4924" s="125" t="s">
        <v>478</v>
      </c>
      <c r="D4924" s="125" t="s">
        <v>457</v>
      </c>
      <c r="E4924" s="125" t="s">
        <v>472</v>
      </c>
      <c r="F4924" s="126">
        <v>41813.0</v>
      </c>
      <c r="G4924" s="127">
        <v>2.25E8</v>
      </c>
      <c r="H4924" s="126">
        <v>41850.0</v>
      </c>
      <c r="I4924" s="128">
        <v>6918.0</v>
      </c>
      <c r="J4924" s="128">
        <v>651.21</v>
      </c>
      <c r="K4924" s="128">
        <v>524.96</v>
      </c>
      <c r="L4924" s="128">
        <v>4505071.0</v>
      </c>
      <c r="M4924" s="128">
        <v>3631673.0</v>
      </c>
      <c r="N4924" s="128">
        <v>873397.5</v>
      </c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</row>
    <row r="4925">
      <c r="A4925" s="125" t="s">
        <v>458</v>
      </c>
      <c r="B4925" s="125" t="s">
        <v>567</v>
      </c>
      <c r="C4925" s="125" t="s">
        <v>478</v>
      </c>
      <c r="D4925" s="125" t="s">
        <v>457</v>
      </c>
      <c r="E4925" s="125" t="s">
        <v>472</v>
      </c>
      <c r="F4925" s="126">
        <v>41854.0</v>
      </c>
      <c r="G4925" s="127">
        <v>8.84E8</v>
      </c>
      <c r="H4925" s="126">
        <v>41890.0</v>
      </c>
      <c r="I4925" s="128">
        <v>7462.0</v>
      </c>
      <c r="J4925" s="128">
        <v>651.21</v>
      </c>
      <c r="K4925" s="128">
        <v>524.96</v>
      </c>
      <c r="L4925" s="128">
        <v>4859329.0</v>
      </c>
      <c r="M4925" s="128">
        <v>3917252.0</v>
      </c>
      <c r="N4925" s="128">
        <v>942077.5</v>
      </c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</row>
    <row r="4926">
      <c r="A4926" s="125" t="s">
        <v>475</v>
      </c>
      <c r="B4926" s="125" t="s">
        <v>619</v>
      </c>
      <c r="C4926" s="125" t="s">
        <v>471</v>
      </c>
      <c r="D4926" s="125" t="s">
        <v>454</v>
      </c>
      <c r="E4926" s="125" t="s">
        <v>284</v>
      </c>
      <c r="F4926" s="126">
        <v>41982.0</v>
      </c>
      <c r="G4926" s="127">
        <v>3.46E8</v>
      </c>
      <c r="H4926" s="126">
        <v>42001.0</v>
      </c>
      <c r="I4926" s="128">
        <v>6151.0</v>
      </c>
      <c r="J4926" s="128">
        <v>109.28</v>
      </c>
      <c r="K4926" s="128">
        <v>35.84</v>
      </c>
      <c r="L4926" s="128">
        <v>672181.3</v>
      </c>
      <c r="M4926" s="128">
        <v>220451.8</v>
      </c>
      <c r="N4926" s="128">
        <v>451729.4</v>
      </c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</row>
    <row r="4927">
      <c r="A4927" s="125" t="s">
        <v>469</v>
      </c>
      <c r="B4927" s="125" t="s">
        <v>470</v>
      </c>
      <c r="C4927" s="125" t="s">
        <v>471</v>
      </c>
      <c r="D4927" s="125" t="s">
        <v>454</v>
      </c>
      <c r="E4927" s="125" t="s">
        <v>189</v>
      </c>
      <c r="F4927" s="126">
        <v>41999.0</v>
      </c>
      <c r="G4927" s="127">
        <v>1.55E8</v>
      </c>
      <c r="H4927" s="126">
        <v>42003.0</v>
      </c>
      <c r="I4927" s="128">
        <v>7366.0</v>
      </c>
      <c r="J4927" s="128">
        <v>109.28</v>
      </c>
      <c r="K4927" s="128">
        <v>35.84</v>
      </c>
      <c r="L4927" s="128">
        <v>804956.5</v>
      </c>
      <c r="M4927" s="128">
        <v>263997.4</v>
      </c>
      <c r="N4927" s="128">
        <v>540959.0</v>
      </c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</row>
    <row r="4928">
      <c r="A4928" s="125" t="s">
        <v>458</v>
      </c>
      <c r="B4928" s="125" t="s">
        <v>486</v>
      </c>
      <c r="C4928" s="125" t="s">
        <v>478</v>
      </c>
      <c r="D4928" s="125" t="s">
        <v>457</v>
      </c>
      <c r="E4928" s="125" t="s">
        <v>284</v>
      </c>
      <c r="F4928" s="126">
        <v>42097.0</v>
      </c>
      <c r="G4928" s="127">
        <v>5.76E8</v>
      </c>
      <c r="H4928" s="126">
        <v>42120.0</v>
      </c>
      <c r="I4928" s="128">
        <v>7516.0</v>
      </c>
      <c r="J4928" s="128">
        <v>651.21</v>
      </c>
      <c r="K4928" s="128">
        <v>524.96</v>
      </c>
      <c r="L4928" s="128">
        <v>4894494.0</v>
      </c>
      <c r="M4928" s="128">
        <v>3945599.0</v>
      </c>
      <c r="N4928" s="128">
        <v>948895.0</v>
      </c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</row>
    <row r="4929">
      <c r="A4929" s="125" t="s">
        <v>458</v>
      </c>
      <c r="B4929" s="125" t="s">
        <v>626</v>
      </c>
      <c r="C4929" s="125" t="s">
        <v>453</v>
      </c>
      <c r="D4929" s="125" t="s">
        <v>457</v>
      </c>
      <c r="E4929" s="125" t="s">
        <v>472</v>
      </c>
      <c r="F4929" s="126">
        <v>41470.0</v>
      </c>
      <c r="G4929" s="127">
        <v>1.42E8</v>
      </c>
      <c r="H4929" s="126">
        <v>41515.0</v>
      </c>
      <c r="I4929" s="128">
        <v>46.0</v>
      </c>
      <c r="J4929" s="128">
        <v>255.28</v>
      </c>
      <c r="K4929" s="128">
        <v>159.42</v>
      </c>
      <c r="L4929" s="128">
        <v>11742.88</v>
      </c>
      <c r="M4929" s="128">
        <v>7333.32</v>
      </c>
      <c r="N4929" s="128">
        <v>4409.56</v>
      </c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</row>
    <row r="4930">
      <c r="A4930" s="125" t="s">
        <v>458</v>
      </c>
      <c r="B4930" s="125" t="s">
        <v>616</v>
      </c>
      <c r="C4930" s="125" t="s">
        <v>506</v>
      </c>
      <c r="D4930" s="125" t="s">
        <v>457</v>
      </c>
      <c r="E4930" s="125" t="s">
        <v>189</v>
      </c>
      <c r="F4930" s="126">
        <v>42471.0</v>
      </c>
      <c r="G4930" s="127">
        <v>6.08E8</v>
      </c>
      <c r="H4930" s="126">
        <v>42472.0</v>
      </c>
      <c r="I4930" s="128">
        <v>428.0</v>
      </c>
      <c r="J4930" s="128">
        <v>154.06</v>
      </c>
      <c r="K4930" s="128">
        <v>90.93</v>
      </c>
      <c r="L4930" s="128">
        <v>65937.68</v>
      </c>
      <c r="M4930" s="128">
        <v>38918.04</v>
      </c>
      <c r="N4930" s="128">
        <v>27019.64</v>
      </c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</row>
    <row r="4931">
      <c r="A4931" s="125" t="s">
        <v>458</v>
      </c>
      <c r="B4931" s="125" t="s">
        <v>545</v>
      </c>
      <c r="C4931" s="125" t="s">
        <v>514</v>
      </c>
      <c r="D4931" s="125" t="s">
        <v>454</v>
      </c>
      <c r="E4931" s="125" t="s">
        <v>464</v>
      </c>
      <c r="F4931" s="126">
        <v>40925.0</v>
      </c>
      <c r="G4931" s="127">
        <v>2.0E8</v>
      </c>
      <c r="H4931" s="126">
        <v>40939.0</v>
      </c>
      <c r="I4931" s="128">
        <v>1167.0</v>
      </c>
      <c r="J4931" s="128">
        <v>668.27</v>
      </c>
      <c r="K4931" s="128">
        <v>502.54</v>
      </c>
      <c r="L4931" s="128">
        <v>779871.1</v>
      </c>
      <c r="M4931" s="128">
        <v>586464.2</v>
      </c>
      <c r="N4931" s="128">
        <v>193406.9</v>
      </c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</row>
    <row r="4932">
      <c r="A4932" s="125" t="s">
        <v>466</v>
      </c>
      <c r="B4932" s="125" t="s">
        <v>502</v>
      </c>
      <c r="C4932" s="125" t="s">
        <v>514</v>
      </c>
      <c r="D4932" s="125" t="s">
        <v>454</v>
      </c>
      <c r="E4932" s="125" t="s">
        <v>464</v>
      </c>
      <c r="F4932" s="126">
        <v>41343.0</v>
      </c>
      <c r="G4932" s="127">
        <v>3.63E8</v>
      </c>
      <c r="H4932" s="126">
        <v>41360.0</v>
      </c>
      <c r="I4932" s="128">
        <v>6799.0</v>
      </c>
      <c r="J4932" s="128">
        <v>668.27</v>
      </c>
      <c r="K4932" s="128">
        <v>502.54</v>
      </c>
      <c r="L4932" s="128">
        <v>4543568.0</v>
      </c>
      <c r="M4932" s="128">
        <v>3416769.0</v>
      </c>
      <c r="N4932" s="128">
        <v>1126798.0</v>
      </c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</row>
    <row r="4933">
      <c r="A4933" s="125" t="s">
        <v>469</v>
      </c>
      <c r="B4933" s="125" t="s">
        <v>503</v>
      </c>
      <c r="C4933" s="125" t="s">
        <v>480</v>
      </c>
      <c r="D4933" s="125" t="s">
        <v>457</v>
      </c>
      <c r="E4933" s="125" t="s">
        <v>464</v>
      </c>
      <c r="F4933" s="126">
        <v>41714.0</v>
      </c>
      <c r="G4933" s="127">
        <v>8.13E8</v>
      </c>
      <c r="H4933" s="126">
        <v>41746.0</v>
      </c>
      <c r="I4933" s="128">
        <v>8892.0</v>
      </c>
      <c r="J4933" s="128">
        <v>437.2</v>
      </c>
      <c r="K4933" s="128">
        <v>263.33</v>
      </c>
      <c r="L4933" s="128">
        <v>3887582.0</v>
      </c>
      <c r="M4933" s="128">
        <v>2341530.0</v>
      </c>
      <c r="N4933" s="128">
        <v>1546052.0</v>
      </c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</row>
    <row r="4934">
      <c r="A4934" s="125" t="s">
        <v>458</v>
      </c>
      <c r="B4934" s="125" t="s">
        <v>652</v>
      </c>
      <c r="C4934" s="125" t="s">
        <v>456</v>
      </c>
      <c r="D4934" s="125" t="s">
        <v>457</v>
      </c>
      <c r="E4934" s="125" t="s">
        <v>189</v>
      </c>
      <c r="F4934" s="126">
        <v>40411.0</v>
      </c>
      <c r="G4934" s="127">
        <v>8.84E8</v>
      </c>
      <c r="H4934" s="126">
        <v>40456.0</v>
      </c>
      <c r="I4934" s="128">
        <v>1044.0</v>
      </c>
      <c r="J4934" s="128">
        <v>152.58</v>
      </c>
      <c r="K4934" s="128">
        <v>97.44</v>
      </c>
      <c r="L4934" s="128">
        <v>159293.5</v>
      </c>
      <c r="M4934" s="128">
        <v>101727.4</v>
      </c>
      <c r="N4934" s="128">
        <v>57566.16</v>
      </c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</row>
    <row r="4935">
      <c r="A4935" s="125" t="s">
        <v>458</v>
      </c>
      <c r="B4935" s="125" t="s">
        <v>459</v>
      </c>
      <c r="C4935" s="125" t="s">
        <v>478</v>
      </c>
      <c r="D4935" s="125" t="s">
        <v>457</v>
      </c>
      <c r="E4935" s="125" t="s">
        <v>189</v>
      </c>
      <c r="F4935" s="126">
        <v>40348.0</v>
      </c>
      <c r="G4935" s="127">
        <v>8.85E8</v>
      </c>
      <c r="H4935" s="126">
        <v>40378.0</v>
      </c>
      <c r="I4935" s="128">
        <v>3886.0</v>
      </c>
      <c r="J4935" s="128">
        <v>651.21</v>
      </c>
      <c r="K4935" s="128">
        <v>524.96</v>
      </c>
      <c r="L4935" s="128">
        <v>2530602.0</v>
      </c>
      <c r="M4935" s="128">
        <v>2039995.0</v>
      </c>
      <c r="N4935" s="128">
        <v>490607.5</v>
      </c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</row>
    <row r="4936">
      <c r="A4936" s="125" t="s">
        <v>475</v>
      </c>
      <c r="B4936" s="125" t="s">
        <v>570</v>
      </c>
      <c r="C4936" s="125" t="s">
        <v>506</v>
      </c>
      <c r="D4936" s="125" t="s">
        <v>457</v>
      </c>
      <c r="E4936" s="125" t="s">
        <v>464</v>
      </c>
      <c r="F4936" s="126">
        <v>42060.0</v>
      </c>
      <c r="G4936" s="127">
        <v>7.41E8</v>
      </c>
      <c r="H4936" s="126">
        <v>42084.0</v>
      </c>
      <c r="I4936" s="128">
        <v>78.0</v>
      </c>
      <c r="J4936" s="128">
        <v>154.06</v>
      </c>
      <c r="K4936" s="128">
        <v>90.93</v>
      </c>
      <c r="L4936" s="128">
        <v>12016.68</v>
      </c>
      <c r="M4936" s="128">
        <v>7092.54</v>
      </c>
      <c r="N4936" s="128">
        <v>4924.14</v>
      </c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</row>
    <row r="4937">
      <c r="A4937" s="125" t="s">
        <v>451</v>
      </c>
      <c r="B4937" s="125" t="s">
        <v>499</v>
      </c>
      <c r="C4937" s="125" t="s">
        <v>494</v>
      </c>
      <c r="D4937" s="125" t="s">
        <v>454</v>
      </c>
      <c r="E4937" s="125" t="s">
        <v>189</v>
      </c>
      <c r="F4937" s="126">
        <v>42326.0</v>
      </c>
      <c r="G4937" s="127">
        <v>4.49E8</v>
      </c>
      <c r="H4937" s="126">
        <v>42329.0</v>
      </c>
      <c r="I4937" s="128">
        <v>9313.0</v>
      </c>
      <c r="J4937" s="128">
        <v>9.33</v>
      </c>
      <c r="K4937" s="128">
        <v>6.92</v>
      </c>
      <c r="L4937" s="128">
        <v>86890.29</v>
      </c>
      <c r="M4937" s="128">
        <v>64445.96</v>
      </c>
      <c r="N4937" s="128">
        <v>22444.33</v>
      </c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</row>
    <row r="4938">
      <c r="A4938" s="125" t="s">
        <v>458</v>
      </c>
      <c r="B4938" s="125" t="s">
        <v>459</v>
      </c>
      <c r="C4938" s="125" t="s">
        <v>506</v>
      </c>
      <c r="D4938" s="125" t="s">
        <v>454</v>
      </c>
      <c r="E4938" s="125" t="s">
        <v>189</v>
      </c>
      <c r="F4938" s="126">
        <v>41074.0</v>
      </c>
      <c r="G4938" s="127">
        <v>5.27E8</v>
      </c>
      <c r="H4938" s="126">
        <v>41080.0</v>
      </c>
      <c r="I4938" s="128">
        <v>3314.0</v>
      </c>
      <c r="J4938" s="128">
        <v>154.06</v>
      </c>
      <c r="K4938" s="128">
        <v>90.93</v>
      </c>
      <c r="L4938" s="128">
        <v>510554.8</v>
      </c>
      <c r="M4938" s="128">
        <v>301342.0</v>
      </c>
      <c r="N4938" s="128">
        <v>209212.8</v>
      </c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</row>
    <row r="4939">
      <c r="A4939" s="125" t="s">
        <v>469</v>
      </c>
      <c r="B4939" s="125" t="s">
        <v>632</v>
      </c>
      <c r="C4939" s="125" t="s">
        <v>480</v>
      </c>
      <c r="D4939" s="125" t="s">
        <v>457</v>
      </c>
      <c r="E4939" s="125" t="s">
        <v>464</v>
      </c>
      <c r="F4939" s="126">
        <v>42775.0</v>
      </c>
      <c r="G4939" s="127">
        <v>6.62E8</v>
      </c>
      <c r="H4939" s="126">
        <v>42784.0</v>
      </c>
      <c r="I4939" s="128">
        <v>836.0</v>
      </c>
      <c r="J4939" s="128">
        <v>437.2</v>
      </c>
      <c r="K4939" s="128">
        <v>263.33</v>
      </c>
      <c r="L4939" s="128">
        <v>365499.2</v>
      </c>
      <c r="M4939" s="128">
        <v>220143.9</v>
      </c>
      <c r="N4939" s="128">
        <v>145355.3</v>
      </c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</row>
    <row r="4940">
      <c r="A4940" s="125" t="s">
        <v>458</v>
      </c>
      <c r="B4940" s="125" t="s">
        <v>573</v>
      </c>
      <c r="C4940" s="125" t="s">
        <v>471</v>
      </c>
      <c r="D4940" s="125" t="s">
        <v>454</v>
      </c>
      <c r="E4940" s="125" t="s">
        <v>284</v>
      </c>
      <c r="F4940" s="126">
        <v>41222.0</v>
      </c>
      <c r="G4940" s="127">
        <v>1.62E8</v>
      </c>
      <c r="H4940" s="126">
        <v>41225.0</v>
      </c>
      <c r="I4940" s="128">
        <v>2666.0</v>
      </c>
      <c r="J4940" s="128">
        <v>109.28</v>
      </c>
      <c r="K4940" s="128">
        <v>35.84</v>
      </c>
      <c r="L4940" s="128">
        <v>291340.5</v>
      </c>
      <c r="M4940" s="128">
        <v>95549.44</v>
      </c>
      <c r="N4940" s="128">
        <v>195791.0</v>
      </c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</row>
    <row r="4941">
      <c r="A4941" s="125" t="s">
        <v>475</v>
      </c>
      <c r="B4941" s="125" t="s">
        <v>561</v>
      </c>
      <c r="C4941" s="125" t="s">
        <v>478</v>
      </c>
      <c r="D4941" s="125" t="s">
        <v>454</v>
      </c>
      <c r="E4941" s="125" t="s">
        <v>464</v>
      </c>
      <c r="F4941" s="126">
        <v>40280.0</v>
      </c>
      <c r="G4941" s="127">
        <v>2.05E8</v>
      </c>
      <c r="H4941" s="126">
        <v>40297.0</v>
      </c>
      <c r="I4941" s="128">
        <v>6620.0</v>
      </c>
      <c r="J4941" s="128">
        <v>651.21</v>
      </c>
      <c r="K4941" s="128">
        <v>524.96</v>
      </c>
      <c r="L4941" s="128">
        <v>4311010.0</v>
      </c>
      <c r="M4941" s="128">
        <v>3475235.0</v>
      </c>
      <c r="N4941" s="128">
        <v>835775.0</v>
      </c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</row>
    <row r="4942">
      <c r="A4942" s="125" t="s">
        <v>458</v>
      </c>
      <c r="B4942" s="125" t="s">
        <v>583</v>
      </c>
      <c r="C4942" s="125" t="s">
        <v>480</v>
      </c>
      <c r="D4942" s="125" t="s">
        <v>457</v>
      </c>
      <c r="E4942" s="125" t="s">
        <v>472</v>
      </c>
      <c r="F4942" s="126">
        <v>41435.0</v>
      </c>
      <c r="G4942" s="127">
        <v>6.89E8</v>
      </c>
      <c r="H4942" s="126">
        <v>41478.0</v>
      </c>
      <c r="I4942" s="128">
        <v>2548.0</v>
      </c>
      <c r="J4942" s="128">
        <v>437.2</v>
      </c>
      <c r="K4942" s="128">
        <v>263.33</v>
      </c>
      <c r="L4942" s="128">
        <v>1113986.0</v>
      </c>
      <c r="M4942" s="128">
        <v>670964.8</v>
      </c>
      <c r="N4942" s="128">
        <v>443020.8</v>
      </c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</row>
    <row r="4943">
      <c r="A4943" s="125" t="s">
        <v>475</v>
      </c>
      <c r="B4943" s="125" t="s">
        <v>600</v>
      </c>
      <c r="C4943" s="125" t="s">
        <v>480</v>
      </c>
      <c r="D4943" s="125" t="s">
        <v>457</v>
      </c>
      <c r="E4943" s="125" t="s">
        <v>472</v>
      </c>
      <c r="F4943" s="126">
        <v>42415.0</v>
      </c>
      <c r="G4943" s="127">
        <v>6.84E8</v>
      </c>
      <c r="H4943" s="126">
        <v>42425.0</v>
      </c>
      <c r="I4943" s="128">
        <v>7330.0</v>
      </c>
      <c r="J4943" s="128">
        <v>437.2</v>
      </c>
      <c r="K4943" s="128">
        <v>263.33</v>
      </c>
      <c r="L4943" s="128">
        <v>3204676.0</v>
      </c>
      <c r="M4943" s="128">
        <v>1930209.0</v>
      </c>
      <c r="N4943" s="128">
        <v>1274467.0</v>
      </c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</row>
    <row r="4944">
      <c r="A4944" s="125" t="s">
        <v>466</v>
      </c>
      <c r="B4944" s="125" t="s">
        <v>658</v>
      </c>
      <c r="C4944" s="125" t="s">
        <v>463</v>
      </c>
      <c r="D4944" s="125" t="s">
        <v>454</v>
      </c>
      <c r="E4944" s="125" t="s">
        <v>189</v>
      </c>
      <c r="F4944" s="126">
        <v>41335.0</v>
      </c>
      <c r="G4944" s="127">
        <v>6.79E8</v>
      </c>
      <c r="H4944" s="126">
        <v>41348.0</v>
      </c>
      <c r="I4944" s="128">
        <v>9876.0</v>
      </c>
      <c r="J4944" s="128">
        <v>205.7</v>
      </c>
      <c r="K4944" s="128">
        <v>117.11</v>
      </c>
      <c r="L4944" s="128">
        <v>2031493.0</v>
      </c>
      <c r="M4944" s="128">
        <v>1156578.0</v>
      </c>
      <c r="N4944" s="128">
        <v>874914.8</v>
      </c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</row>
    <row r="4945">
      <c r="A4945" s="125" t="s">
        <v>475</v>
      </c>
      <c r="B4945" s="125" t="s">
        <v>635</v>
      </c>
      <c r="C4945" s="125" t="s">
        <v>453</v>
      </c>
      <c r="D4945" s="125" t="s">
        <v>457</v>
      </c>
      <c r="E4945" s="125" t="s">
        <v>472</v>
      </c>
      <c r="F4945" s="126">
        <v>40850.0</v>
      </c>
      <c r="G4945" s="127">
        <v>3.32E8</v>
      </c>
      <c r="H4945" s="126">
        <v>40882.0</v>
      </c>
      <c r="I4945" s="128">
        <v>6128.0</v>
      </c>
      <c r="J4945" s="128">
        <v>255.28</v>
      </c>
      <c r="K4945" s="128">
        <v>159.42</v>
      </c>
      <c r="L4945" s="128">
        <v>1564356.0</v>
      </c>
      <c r="M4945" s="128">
        <v>976925.8</v>
      </c>
      <c r="N4945" s="128">
        <v>587430.1</v>
      </c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</row>
    <row r="4946">
      <c r="A4946" s="125" t="s">
        <v>461</v>
      </c>
      <c r="B4946" s="125" t="s">
        <v>556</v>
      </c>
      <c r="C4946" s="125" t="s">
        <v>468</v>
      </c>
      <c r="D4946" s="125" t="s">
        <v>454</v>
      </c>
      <c r="E4946" s="125" t="s">
        <v>189</v>
      </c>
      <c r="F4946" s="126">
        <v>41236.0</v>
      </c>
      <c r="G4946" s="127">
        <v>7.24E8</v>
      </c>
      <c r="H4946" s="126">
        <v>41250.0</v>
      </c>
      <c r="I4946" s="128">
        <v>4061.0</v>
      </c>
      <c r="J4946" s="128">
        <v>81.73</v>
      </c>
      <c r="K4946" s="128">
        <v>56.67</v>
      </c>
      <c r="L4946" s="128">
        <v>331905.5</v>
      </c>
      <c r="M4946" s="128">
        <v>230136.9</v>
      </c>
      <c r="N4946" s="128">
        <v>101768.7</v>
      </c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</row>
    <row r="4947">
      <c r="A4947" s="125" t="s">
        <v>461</v>
      </c>
      <c r="B4947" s="125" t="s">
        <v>510</v>
      </c>
      <c r="C4947" s="125" t="s">
        <v>468</v>
      </c>
      <c r="D4947" s="125" t="s">
        <v>454</v>
      </c>
      <c r="E4947" s="125" t="s">
        <v>472</v>
      </c>
      <c r="F4947" s="126">
        <v>41775.0</v>
      </c>
      <c r="G4947" s="127">
        <v>3.05E8</v>
      </c>
      <c r="H4947" s="126">
        <v>41816.0</v>
      </c>
      <c r="I4947" s="128">
        <v>8679.0</v>
      </c>
      <c r="J4947" s="128">
        <v>81.73</v>
      </c>
      <c r="K4947" s="128">
        <v>56.67</v>
      </c>
      <c r="L4947" s="128">
        <v>709334.7</v>
      </c>
      <c r="M4947" s="128">
        <v>491838.9</v>
      </c>
      <c r="N4947" s="128">
        <v>217495.7</v>
      </c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</row>
    <row r="4948">
      <c r="A4948" s="125" t="s">
        <v>469</v>
      </c>
      <c r="B4948" s="125" t="s">
        <v>630</v>
      </c>
      <c r="C4948" s="125" t="s">
        <v>485</v>
      </c>
      <c r="D4948" s="125" t="s">
        <v>457</v>
      </c>
      <c r="E4948" s="125" t="s">
        <v>189</v>
      </c>
      <c r="F4948" s="126">
        <v>42141.0</v>
      </c>
      <c r="G4948" s="127">
        <v>7.45E8</v>
      </c>
      <c r="H4948" s="126">
        <v>42150.0</v>
      </c>
      <c r="I4948" s="128">
        <v>7019.0</v>
      </c>
      <c r="J4948" s="128">
        <v>421.89</v>
      </c>
      <c r="K4948" s="128">
        <v>364.69</v>
      </c>
      <c r="L4948" s="128">
        <v>2961246.0</v>
      </c>
      <c r="M4948" s="128">
        <v>2559759.0</v>
      </c>
      <c r="N4948" s="128">
        <v>401486.8</v>
      </c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</row>
    <row r="4949">
      <c r="A4949" s="125" t="s">
        <v>461</v>
      </c>
      <c r="B4949" s="125" t="s">
        <v>586</v>
      </c>
      <c r="C4949" s="125" t="s">
        <v>463</v>
      </c>
      <c r="D4949" s="125" t="s">
        <v>457</v>
      </c>
      <c r="E4949" s="125" t="s">
        <v>472</v>
      </c>
      <c r="F4949" s="126">
        <v>41010.0</v>
      </c>
      <c r="G4949" s="127">
        <v>1.85E8</v>
      </c>
      <c r="H4949" s="126">
        <v>41015.0</v>
      </c>
      <c r="I4949" s="128">
        <v>3148.0</v>
      </c>
      <c r="J4949" s="128">
        <v>205.7</v>
      </c>
      <c r="K4949" s="128">
        <v>117.11</v>
      </c>
      <c r="L4949" s="128">
        <v>647543.6</v>
      </c>
      <c r="M4949" s="128">
        <v>368662.3</v>
      </c>
      <c r="N4949" s="128">
        <v>278881.3</v>
      </c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</row>
    <row r="4950">
      <c r="A4950" s="125" t="s">
        <v>451</v>
      </c>
      <c r="B4950" s="125" t="s">
        <v>455</v>
      </c>
      <c r="C4950" s="125" t="s">
        <v>514</v>
      </c>
      <c r="D4950" s="125" t="s">
        <v>454</v>
      </c>
      <c r="E4950" s="125" t="s">
        <v>284</v>
      </c>
      <c r="F4950" s="126">
        <v>40215.0</v>
      </c>
      <c r="G4950" s="127">
        <v>8.85E8</v>
      </c>
      <c r="H4950" s="126">
        <v>40241.0</v>
      </c>
      <c r="I4950" s="128">
        <v>3164.0</v>
      </c>
      <c r="J4950" s="128">
        <v>668.27</v>
      </c>
      <c r="K4950" s="128">
        <v>502.54</v>
      </c>
      <c r="L4950" s="128">
        <v>2114406.0</v>
      </c>
      <c r="M4950" s="128">
        <v>1590037.0</v>
      </c>
      <c r="N4950" s="128">
        <v>524369.7</v>
      </c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</row>
    <row r="4951">
      <c r="A4951" s="125" t="s">
        <v>458</v>
      </c>
      <c r="B4951" s="125" t="s">
        <v>616</v>
      </c>
      <c r="C4951" s="125" t="s">
        <v>514</v>
      </c>
      <c r="D4951" s="125" t="s">
        <v>457</v>
      </c>
      <c r="E4951" s="125" t="s">
        <v>189</v>
      </c>
      <c r="F4951" s="126">
        <v>40596.0</v>
      </c>
      <c r="G4951" s="127">
        <v>6.78E8</v>
      </c>
      <c r="H4951" s="126">
        <v>40604.0</v>
      </c>
      <c r="I4951" s="128">
        <v>198.0</v>
      </c>
      <c r="J4951" s="128">
        <v>668.27</v>
      </c>
      <c r="K4951" s="128">
        <v>502.54</v>
      </c>
      <c r="L4951" s="128">
        <v>132317.5</v>
      </c>
      <c r="M4951" s="128">
        <v>99502.92</v>
      </c>
      <c r="N4951" s="128">
        <v>32814.54</v>
      </c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</row>
    <row r="4952">
      <c r="A4952" s="125" t="s">
        <v>475</v>
      </c>
      <c r="B4952" s="125" t="s">
        <v>548</v>
      </c>
      <c r="C4952" s="125" t="s">
        <v>506</v>
      </c>
      <c r="D4952" s="125" t="s">
        <v>454</v>
      </c>
      <c r="E4952" s="125" t="s">
        <v>464</v>
      </c>
      <c r="F4952" s="126">
        <v>40613.0</v>
      </c>
      <c r="G4952" s="127">
        <v>6.14E8</v>
      </c>
      <c r="H4952" s="126">
        <v>40615.0</v>
      </c>
      <c r="I4952" s="128">
        <v>9410.0</v>
      </c>
      <c r="J4952" s="128">
        <v>154.06</v>
      </c>
      <c r="K4952" s="128">
        <v>90.93</v>
      </c>
      <c r="L4952" s="128">
        <v>1449705.0</v>
      </c>
      <c r="M4952" s="128">
        <v>855651.3</v>
      </c>
      <c r="N4952" s="128">
        <v>594053.3</v>
      </c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</row>
    <row r="4953">
      <c r="A4953" s="125" t="s">
        <v>461</v>
      </c>
      <c r="B4953" s="125" t="s">
        <v>644</v>
      </c>
      <c r="C4953" s="125" t="s">
        <v>453</v>
      </c>
      <c r="D4953" s="125" t="s">
        <v>454</v>
      </c>
      <c r="E4953" s="125" t="s">
        <v>284</v>
      </c>
      <c r="F4953" s="126">
        <v>40501.0</v>
      </c>
      <c r="G4953" s="127">
        <v>9.16E8</v>
      </c>
      <c r="H4953" s="126">
        <v>40546.0</v>
      </c>
      <c r="I4953" s="128">
        <v>2992.0</v>
      </c>
      <c r="J4953" s="128">
        <v>255.28</v>
      </c>
      <c r="K4953" s="128">
        <v>159.42</v>
      </c>
      <c r="L4953" s="128">
        <v>763797.8</v>
      </c>
      <c r="M4953" s="128">
        <v>476984.6</v>
      </c>
      <c r="N4953" s="128">
        <v>286813.1</v>
      </c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/>
    </row>
    <row r="4954">
      <c r="A4954" s="125" t="s">
        <v>475</v>
      </c>
      <c r="B4954" s="125" t="s">
        <v>507</v>
      </c>
      <c r="C4954" s="125" t="s">
        <v>471</v>
      </c>
      <c r="D4954" s="125" t="s">
        <v>454</v>
      </c>
      <c r="E4954" s="125" t="s">
        <v>472</v>
      </c>
      <c r="F4954" s="126">
        <v>40881.0</v>
      </c>
      <c r="G4954" s="127">
        <v>5.25E8</v>
      </c>
      <c r="H4954" s="126">
        <v>40919.0</v>
      </c>
      <c r="I4954" s="128">
        <v>5170.0</v>
      </c>
      <c r="J4954" s="128">
        <v>109.28</v>
      </c>
      <c r="K4954" s="128">
        <v>35.84</v>
      </c>
      <c r="L4954" s="128">
        <v>564977.6</v>
      </c>
      <c r="M4954" s="128">
        <v>185292.8</v>
      </c>
      <c r="N4954" s="128">
        <v>379684.8</v>
      </c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</row>
    <row r="4955">
      <c r="A4955" s="125" t="s">
        <v>461</v>
      </c>
      <c r="B4955" s="125" t="s">
        <v>542</v>
      </c>
      <c r="C4955" s="125" t="s">
        <v>514</v>
      </c>
      <c r="D4955" s="125" t="s">
        <v>457</v>
      </c>
      <c r="E4955" s="125" t="s">
        <v>189</v>
      </c>
      <c r="F4955" s="126">
        <v>41383.0</v>
      </c>
      <c r="G4955" s="127">
        <v>2.55E8</v>
      </c>
      <c r="H4955" s="126">
        <v>41404.0</v>
      </c>
      <c r="I4955" s="128">
        <v>7197.0</v>
      </c>
      <c r="J4955" s="128">
        <v>668.27</v>
      </c>
      <c r="K4955" s="128">
        <v>502.54</v>
      </c>
      <c r="L4955" s="128">
        <v>4809539.0</v>
      </c>
      <c r="M4955" s="128">
        <v>3616780.0</v>
      </c>
      <c r="N4955" s="128">
        <v>1192759.0</v>
      </c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</row>
    <row r="4956">
      <c r="A4956" s="125" t="s">
        <v>458</v>
      </c>
      <c r="B4956" s="125" t="s">
        <v>583</v>
      </c>
      <c r="C4956" s="125" t="s">
        <v>471</v>
      </c>
      <c r="D4956" s="125" t="s">
        <v>457</v>
      </c>
      <c r="E4956" s="125" t="s">
        <v>472</v>
      </c>
      <c r="F4956" s="126">
        <v>42025.0</v>
      </c>
      <c r="G4956" s="127">
        <v>5.38E8</v>
      </c>
      <c r="H4956" s="126">
        <v>42073.0</v>
      </c>
      <c r="I4956" s="128">
        <v>2359.0</v>
      </c>
      <c r="J4956" s="128">
        <v>109.28</v>
      </c>
      <c r="K4956" s="128">
        <v>35.84</v>
      </c>
      <c r="L4956" s="128">
        <v>257791.5</v>
      </c>
      <c r="M4956" s="128">
        <v>84546.56</v>
      </c>
      <c r="N4956" s="128">
        <v>173245.0</v>
      </c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/>
    </row>
    <row r="4957">
      <c r="A4957" s="125" t="s">
        <v>461</v>
      </c>
      <c r="B4957" s="125" t="s">
        <v>586</v>
      </c>
      <c r="C4957" s="125" t="s">
        <v>460</v>
      </c>
      <c r="D4957" s="125" t="s">
        <v>454</v>
      </c>
      <c r="E4957" s="125" t="s">
        <v>284</v>
      </c>
      <c r="F4957" s="126">
        <v>41829.0</v>
      </c>
      <c r="G4957" s="127">
        <v>9.78E8</v>
      </c>
      <c r="H4957" s="126">
        <v>41836.0</v>
      </c>
      <c r="I4957" s="128">
        <v>974.0</v>
      </c>
      <c r="J4957" s="128">
        <v>47.45</v>
      </c>
      <c r="K4957" s="128">
        <v>31.79</v>
      </c>
      <c r="L4957" s="128">
        <v>46216.3</v>
      </c>
      <c r="M4957" s="128">
        <v>30963.46</v>
      </c>
      <c r="N4957" s="128">
        <v>15252.84</v>
      </c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/>
    </row>
    <row r="4958">
      <c r="A4958" s="125" t="s">
        <v>458</v>
      </c>
      <c r="B4958" s="125" t="s">
        <v>509</v>
      </c>
      <c r="C4958" s="125" t="s">
        <v>460</v>
      </c>
      <c r="D4958" s="125" t="s">
        <v>454</v>
      </c>
      <c r="E4958" s="125" t="s">
        <v>472</v>
      </c>
      <c r="F4958" s="126">
        <v>40208.0</v>
      </c>
      <c r="G4958" s="127">
        <v>7.97E8</v>
      </c>
      <c r="H4958" s="126">
        <v>40214.0</v>
      </c>
      <c r="I4958" s="128">
        <v>5391.0</v>
      </c>
      <c r="J4958" s="128">
        <v>47.45</v>
      </c>
      <c r="K4958" s="128">
        <v>31.79</v>
      </c>
      <c r="L4958" s="128">
        <v>255803.0</v>
      </c>
      <c r="M4958" s="128">
        <v>171379.9</v>
      </c>
      <c r="N4958" s="128">
        <v>84423.06</v>
      </c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/>
    </row>
    <row r="4959">
      <c r="A4959" s="125" t="s">
        <v>451</v>
      </c>
      <c r="B4959" s="125" t="s">
        <v>546</v>
      </c>
      <c r="C4959" s="125" t="s">
        <v>471</v>
      </c>
      <c r="D4959" s="125" t="s">
        <v>457</v>
      </c>
      <c r="E4959" s="125" t="s">
        <v>284</v>
      </c>
      <c r="F4959" s="126">
        <v>41113.0</v>
      </c>
      <c r="G4959" s="127">
        <v>1.91E8</v>
      </c>
      <c r="H4959" s="126">
        <v>41150.0</v>
      </c>
      <c r="I4959" s="128">
        <v>4989.0</v>
      </c>
      <c r="J4959" s="128">
        <v>109.28</v>
      </c>
      <c r="K4959" s="128">
        <v>35.84</v>
      </c>
      <c r="L4959" s="128">
        <v>545197.9</v>
      </c>
      <c r="M4959" s="128">
        <v>178805.8</v>
      </c>
      <c r="N4959" s="128">
        <v>366392.2</v>
      </c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/>
    </row>
    <row r="4960">
      <c r="A4960" s="125" t="s">
        <v>475</v>
      </c>
      <c r="B4960" s="125" t="s">
        <v>571</v>
      </c>
      <c r="C4960" s="125" t="s">
        <v>456</v>
      </c>
      <c r="D4960" s="125" t="s">
        <v>454</v>
      </c>
      <c r="E4960" s="125" t="s">
        <v>189</v>
      </c>
      <c r="F4960" s="126">
        <v>40585.0</v>
      </c>
      <c r="G4960" s="127">
        <v>7.72E8</v>
      </c>
      <c r="H4960" s="126">
        <v>40589.0</v>
      </c>
      <c r="I4960" s="128">
        <v>1180.0</v>
      </c>
      <c r="J4960" s="128">
        <v>152.58</v>
      </c>
      <c r="K4960" s="128">
        <v>97.44</v>
      </c>
      <c r="L4960" s="128">
        <v>180044.4</v>
      </c>
      <c r="M4960" s="128">
        <v>114979.2</v>
      </c>
      <c r="N4960" s="128">
        <v>65065.2</v>
      </c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</row>
    <row r="4961">
      <c r="A4961" s="125" t="s">
        <v>451</v>
      </c>
      <c r="B4961" s="125" t="s">
        <v>655</v>
      </c>
      <c r="C4961" s="125" t="s">
        <v>453</v>
      </c>
      <c r="D4961" s="125" t="s">
        <v>454</v>
      </c>
      <c r="E4961" s="125" t="s">
        <v>464</v>
      </c>
      <c r="F4961" s="126">
        <v>41969.0</v>
      </c>
      <c r="G4961" s="127">
        <v>6.25E8</v>
      </c>
      <c r="H4961" s="126">
        <v>41971.0</v>
      </c>
      <c r="I4961" s="128">
        <v>2406.0</v>
      </c>
      <c r="J4961" s="128">
        <v>255.28</v>
      </c>
      <c r="K4961" s="128">
        <v>159.42</v>
      </c>
      <c r="L4961" s="128">
        <v>614203.7</v>
      </c>
      <c r="M4961" s="128">
        <v>383564.5</v>
      </c>
      <c r="N4961" s="128">
        <v>230639.2</v>
      </c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</row>
    <row r="4962">
      <c r="A4962" s="125" t="s">
        <v>451</v>
      </c>
      <c r="B4962" s="125" t="s">
        <v>546</v>
      </c>
      <c r="C4962" s="125" t="s">
        <v>468</v>
      </c>
      <c r="D4962" s="125" t="s">
        <v>454</v>
      </c>
      <c r="E4962" s="125" t="s">
        <v>472</v>
      </c>
      <c r="F4962" s="126">
        <v>40703.0</v>
      </c>
      <c r="G4962" s="127">
        <v>1.55E8</v>
      </c>
      <c r="H4962" s="126">
        <v>40744.0</v>
      </c>
      <c r="I4962" s="128">
        <v>9140.0</v>
      </c>
      <c r="J4962" s="128">
        <v>81.73</v>
      </c>
      <c r="K4962" s="128">
        <v>56.67</v>
      </c>
      <c r="L4962" s="128">
        <v>747012.2</v>
      </c>
      <c r="M4962" s="128">
        <v>517963.8</v>
      </c>
      <c r="N4962" s="128">
        <v>229048.4</v>
      </c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</row>
    <row r="4963">
      <c r="A4963" s="125" t="s">
        <v>466</v>
      </c>
      <c r="B4963" s="125" t="s">
        <v>508</v>
      </c>
      <c r="C4963" s="125" t="s">
        <v>480</v>
      </c>
      <c r="D4963" s="125" t="s">
        <v>454</v>
      </c>
      <c r="E4963" s="125" t="s">
        <v>472</v>
      </c>
      <c r="F4963" s="126">
        <v>42291.0</v>
      </c>
      <c r="G4963" s="127">
        <v>7.37E8</v>
      </c>
      <c r="H4963" s="126">
        <v>42304.0</v>
      </c>
      <c r="I4963" s="128">
        <v>8888.0</v>
      </c>
      <c r="J4963" s="128">
        <v>437.2</v>
      </c>
      <c r="K4963" s="128">
        <v>263.33</v>
      </c>
      <c r="L4963" s="128">
        <v>3885834.0</v>
      </c>
      <c r="M4963" s="128">
        <v>2340477.0</v>
      </c>
      <c r="N4963" s="128">
        <v>1545357.0</v>
      </c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</row>
    <row r="4964">
      <c r="A4964" s="125" t="s">
        <v>475</v>
      </c>
      <c r="B4964" s="125" t="s">
        <v>636</v>
      </c>
      <c r="C4964" s="125" t="s">
        <v>453</v>
      </c>
      <c r="D4964" s="125" t="s">
        <v>457</v>
      </c>
      <c r="E4964" s="125" t="s">
        <v>284</v>
      </c>
      <c r="F4964" s="126">
        <v>41566.0</v>
      </c>
      <c r="G4964" s="127">
        <v>6.67E8</v>
      </c>
      <c r="H4964" s="126">
        <v>41596.0</v>
      </c>
      <c r="I4964" s="128">
        <v>1185.0</v>
      </c>
      <c r="J4964" s="128">
        <v>255.28</v>
      </c>
      <c r="K4964" s="128">
        <v>159.42</v>
      </c>
      <c r="L4964" s="128">
        <v>302506.8</v>
      </c>
      <c r="M4964" s="128">
        <v>188912.7</v>
      </c>
      <c r="N4964" s="128">
        <v>113594.1</v>
      </c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</row>
    <row r="4965">
      <c r="A4965" s="125" t="s">
        <v>469</v>
      </c>
      <c r="B4965" s="125" t="s">
        <v>495</v>
      </c>
      <c r="C4965" s="125" t="s">
        <v>468</v>
      </c>
      <c r="D4965" s="125" t="s">
        <v>457</v>
      </c>
      <c r="E4965" s="125" t="s">
        <v>284</v>
      </c>
      <c r="F4965" s="126">
        <v>40663.0</v>
      </c>
      <c r="G4965" s="127">
        <v>1.09E8</v>
      </c>
      <c r="H4965" s="126">
        <v>40700.0</v>
      </c>
      <c r="I4965" s="128">
        <v>2599.0</v>
      </c>
      <c r="J4965" s="128">
        <v>81.73</v>
      </c>
      <c r="K4965" s="128">
        <v>56.67</v>
      </c>
      <c r="L4965" s="128">
        <v>212416.3</v>
      </c>
      <c r="M4965" s="128">
        <v>147285.3</v>
      </c>
      <c r="N4965" s="128">
        <v>65130.94</v>
      </c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</row>
    <row r="4966">
      <c r="A4966" s="125" t="s">
        <v>466</v>
      </c>
      <c r="B4966" s="125" t="s">
        <v>658</v>
      </c>
      <c r="C4966" s="125" t="s">
        <v>456</v>
      </c>
      <c r="D4966" s="125" t="s">
        <v>457</v>
      </c>
      <c r="E4966" s="125" t="s">
        <v>189</v>
      </c>
      <c r="F4966" s="126">
        <v>42105.0</v>
      </c>
      <c r="G4966" s="127">
        <v>6.51E8</v>
      </c>
      <c r="H4966" s="126">
        <v>42152.0</v>
      </c>
      <c r="I4966" s="128">
        <v>1729.0</v>
      </c>
      <c r="J4966" s="128">
        <v>152.58</v>
      </c>
      <c r="K4966" s="128">
        <v>97.44</v>
      </c>
      <c r="L4966" s="128">
        <v>263810.8</v>
      </c>
      <c r="M4966" s="128">
        <v>168473.8</v>
      </c>
      <c r="N4966" s="128">
        <v>95337.06</v>
      </c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</row>
    <row r="4967">
      <c r="A4967" s="125" t="s">
        <v>458</v>
      </c>
      <c r="B4967" s="125" t="s">
        <v>509</v>
      </c>
      <c r="C4967" s="125" t="s">
        <v>480</v>
      </c>
      <c r="D4967" s="125" t="s">
        <v>457</v>
      </c>
      <c r="E4967" s="125" t="s">
        <v>284</v>
      </c>
      <c r="F4967" s="126">
        <v>41892.0</v>
      </c>
      <c r="G4967" s="127">
        <v>3.48E8</v>
      </c>
      <c r="H4967" s="126">
        <v>41899.0</v>
      </c>
      <c r="I4967" s="128">
        <v>4205.0</v>
      </c>
      <c r="J4967" s="128">
        <v>437.2</v>
      </c>
      <c r="K4967" s="128">
        <v>263.33</v>
      </c>
      <c r="L4967" s="128">
        <v>1838426.0</v>
      </c>
      <c r="M4967" s="128">
        <v>1107303.0</v>
      </c>
      <c r="N4967" s="128">
        <v>731123.4</v>
      </c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</row>
    <row r="4968">
      <c r="A4968" s="125" t="s">
        <v>451</v>
      </c>
      <c r="B4968" s="125" t="s">
        <v>543</v>
      </c>
      <c r="C4968" s="125" t="s">
        <v>478</v>
      </c>
      <c r="D4968" s="125" t="s">
        <v>457</v>
      </c>
      <c r="E4968" s="125" t="s">
        <v>284</v>
      </c>
      <c r="F4968" s="126">
        <v>41942.0</v>
      </c>
      <c r="G4968" s="127">
        <v>4.76E8</v>
      </c>
      <c r="H4968" s="126">
        <v>41974.0</v>
      </c>
      <c r="I4968" s="128">
        <v>7687.0</v>
      </c>
      <c r="J4968" s="128">
        <v>651.21</v>
      </c>
      <c r="K4968" s="128">
        <v>524.96</v>
      </c>
      <c r="L4968" s="128">
        <v>5005851.0</v>
      </c>
      <c r="M4968" s="128">
        <v>4035368.0</v>
      </c>
      <c r="N4968" s="128">
        <v>970483.8</v>
      </c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</row>
    <row r="4969">
      <c r="A4969" s="125" t="s">
        <v>475</v>
      </c>
      <c r="B4969" s="125" t="s">
        <v>601</v>
      </c>
      <c r="C4969" s="125" t="s">
        <v>471</v>
      </c>
      <c r="D4969" s="125" t="s">
        <v>454</v>
      </c>
      <c r="E4969" s="125" t="s">
        <v>284</v>
      </c>
      <c r="F4969" s="126">
        <v>40415.0</v>
      </c>
      <c r="G4969" s="127">
        <v>5.84E8</v>
      </c>
      <c r="H4969" s="126">
        <v>40434.0</v>
      </c>
      <c r="I4969" s="128">
        <v>6868.0</v>
      </c>
      <c r="J4969" s="128">
        <v>109.28</v>
      </c>
      <c r="K4969" s="128">
        <v>35.84</v>
      </c>
      <c r="L4969" s="128">
        <v>750535.0</v>
      </c>
      <c r="M4969" s="128">
        <v>246149.1</v>
      </c>
      <c r="N4969" s="128">
        <v>504385.9</v>
      </c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</row>
    <row r="4970">
      <c r="A4970" s="125" t="s">
        <v>469</v>
      </c>
      <c r="B4970" s="125" t="s">
        <v>630</v>
      </c>
      <c r="C4970" s="125" t="s">
        <v>460</v>
      </c>
      <c r="D4970" s="125" t="s">
        <v>457</v>
      </c>
      <c r="E4970" s="125" t="s">
        <v>189</v>
      </c>
      <c r="F4970" s="126">
        <v>41391.0</v>
      </c>
      <c r="G4970" s="127">
        <v>7.38E8</v>
      </c>
      <c r="H4970" s="126">
        <v>41425.0</v>
      </c>
      <c r="I4970" s="128">
        <v>8471.0</v>
      </c>
      <c r="J4970" s="128">
        <v>47.45</v>
      </c>
      <c r="K4970" s="128">
        <v>31.79</v>
      </c>
      <c r="L4970" s="128">
        <v>401949.0</v>
      </c>
      <c r="M4970" s="128">
        <v>269293.1</v>
      </c>
      <c r="N4970" s="128">
        <v>132655.9</v>
      </c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</row>
    <row r="4971">
      <c r="A4971" s="125" t="s">
        <v>475</v>
      </c>
      <c r="B4971" s="125" t="s">
        <v>649</v>
      </c>
      <c r="C4971" s="125" t="s">
        <v>456</v>
      </c>
      <c r="D4971" s="125" t="s">
        <v>454</v>
      </c>
      <c r="E4971" s="125" t="s">
        <v>472</v>
      </c>
      <c r="F4971" s="126">
        <v>42423.0</v>
      </c>
      <c r="G4971" s="127">
        <v>1.76E8</v>
      </c>
      <c r="H4971" s="126">
        <v>42452.0</v>
      </c>
      <c r="I4971" s="128">
        <v>6252.0</v>
      </c>
      <c r="J4971" s="128">
        <v>152.58</v>
      </c>
      <c r="K4971" s="128">
        <v>97.44</v>
      </c>
      <c r="L4971" s="128">
        <v>953930.2</v>
      </c>
      <c r="M4971" s="128">
        <v>609194.9</v>
      </c>
      <c r="N4971" s="128">
        <v>344735.3</v>
      </c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</row>
    <row r="4972">
      <c r="A4972" s="125" t="s">
        <v>451</v>
      </c>
      <c r="B4972" s="125" t="s">
        <v>646</v>
      </c>
      <c r="C4972" s="125" t="s">
        <v>494</v>
      </c>
      <c r="D4972" s="125" t="s">
        <v>457</v>
      </c>
      <c r="E4972" s="125" t="s">
        <v>189</v>
      </c>
      <c r="F4972" s="126">
        <v>41455.0</v>
      </c>
      <c r="G4972" s="127">
        <v>4.55E8</v>
      </c>
      <c r="H4972" s="126">
        <v>41473.0</v>
      </c>
      <c r="I4972" s="128">
        <v>5997.0</v>
      </c>
      <c r="J4972" s="128">
        <v>9.33</v>
      </c>
      <c r="K4972" s="128">
        <v>6.92</v>
      </c>
      <c r="L4972" s="128">
        <v>55952.01</v>
      </c>
      <c r="M4972" s="128">
        <v>41499.24</v>
      </c>
      <c r="N4972" s="128">
        <v>14452.77</v>
      </c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</row>
    <row r="4973">
      <c r="A4973" s="125" t="s">
        <v>466</v>
      </c>
      <c r="B4973" s="125" t="s">
        <v>474</v>
      </c>
      <c r="C4973" s="125" t="s">
        <v>456</v>
      </c>
      <c r="D4973" s="125" t="s">
        <v>457</v>
      </c>
      <c r="E4973" s="125" t="s">
        <v>189</v>
      </c>
      <c r="F4973" s="126">
        <v>40968.0</v>
      </c>
      <c r="G4973" s="127">
        <v>5.03E8</v>
      </c>
      <c r="H4973" s="126">
        <v>40974.0</v>
      </c>
      <c r="I4973" s="128">
        <v>523.0</v>
      </c>
      <c r="J4973" s="128">
        <v>152.58</v>
      </c>
      <c r="K4973" s="128">
        <v>97.44</v>
      </c>
      <c r="L4973" s="128">
        <v>79799.34</v>
      </c>
      <c r="M4973" s="128">
        <v>50961.12</v>
      </c>
      <c r="N4973" s="128">
        <v>28838.22</v>
      </c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</row>
    <row r="4974">
      <c r="A4974" s="125" t="s">
        <v>461</v>
      </c>
      <c r="B4974" s="125" t="s">
        <v>539</v>
      </c>
      <c r="C4974" s="125" t="s">
        <v>453</v>
      </c>
      <c r="D4974" s="125" t="s">
        <v>454</v>
      </c>
      <c r="E4974" s="125" t="s">
        <v>189</v>
      </c>
      <c r="F4974" s="126">
        <v>41066.0</v>
      </c>
      <c r="G4974" s="127">
        <v>6.7E8</v>
      </c>
      <c r="H4974" s="126">
        <v>41075.0</v>
      </c>
      <c r="I4974" s="128">
        <v>4679.0</v>
      </c>
      <c r="J4974" s="128">
        <v>255.28</v>
      </c>
      <c r="K4974" s="128">
        <v>159.42</v>
      </c>
      <c r="L4974" s="128">
        <v>1194455.0</v>
      </c>
      <c r="M4974" s="128">
        <v>745926.2</v>
      </c>
      <c r="N4974" s="128">
        <v>448528.9</v>
      </c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</row>
    <row r="4975">
      <c r="A4975" s="125" t="s">
        <v>458</v>
      </c>
      <c r="B4975" s="125" t="s">
        <v>533</v>
      </c>
      <c r="C4975" s="125" t="s">
        <v>468</v>
      </c>
      <c r="D4975" s="125" t="s">
        <v>457</v>
      </c>
      <c r="E4975" s="125" t="s">
        <v>472</v>
      </c>
      <c r="F4975" s="126">
        <v>40859.0</v>
      </c>
      <c r="G4975" s="127">
        <v>4.74E8</v>
      </c>
      <c r="H4975" s="126">
        <v>40893.0</v>
      </c>
      <c r="I4975" s="128">
        <v>344.0</v>
      </c>
      <c r="J4975" s="128">
        <v>81.73</v>
      </c>
      <c r="K4975" s="128">
        <v>56.67</v>
      </c>
      <c r="L4975" s="128">
        <v>28115.12</v>
      </c>
      <c r="M4975" s="128">
        <v>19494.48</v>
      </c>
      <c r="N4975" s="128">
        <v>8620.64</v>
      </c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</row>
    <row r="4976">
      <c r="A4976" s="125" t="s">
        <v>466</v>
      </c>
      <c r="B4976" s="125" t="s">
        <v>524</v>
      </c>
      <c r="C4976" s="125" t="s">
        <v>471</v>
      </c>
      <c r="D4976" s="125" t="s">
        <v>454</v>
      </c>
      <c r="E4976" s="125" t="s">
        <v>464</v>
      </c>
      <c r="F4976" s="126">
        <v>42611.0</v>
      </c>
      <c r="G4976" s="127">
        <v>8.54E8</v>
      </c>
      <c r="H4976" s="126">
        <v>42658.0</v>
      </c>
      <c r="I4976" s="128">
        <v>1430.0</v>
      </c>
      <c r="J4976" s="128">
        <v>109.28</v>
      </c>
      <c r="K4976" s="128">
        <v>35.84</v>
      </c>
      <c r="L4976" s="128">
        <v>156270.4</v>
      </c>
      <c r="M4976" s="128">
        <v>51251.2</v>
      </c>
      <c r="N4976" s="128">
        <v>105019.2</v>
      </c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</row>
    <row r="4977">
      <c r="A4977" s="125" t="s">
        <v>475</v>
      </c>
      <c r="B4977" s="125" t="s">
        <v>558</v>
      </c>
      <c r="C4977" s="125" t="s">
        <v>460</v>
      </c>
      <c r="D4977" s="125" t="s">
        <v>457</v>
      </c>
      <c r="E4977" s="125" t="s">
        <v>464</v>
      </c>
      <c r="F4977" s="126">
        <v>42062.0</v>
      </c>
      <c r="G4977" s="127">
        <v>1.19E8</v>
      </c>
      <c r="H4977" s="126">
        <v>42068.0</v>
      </c>
      <c r="I4977" s="128">
        <v>8878.0</v>
      </c>
      <c r="J4977" s="128">
        <v>47.45</v>
      </c>
      <c r="K4977" s="128">
        <v>31.79</v>
      </c>
      <c r="L4977" s="128">
        <v>421261.1</v>
      </c>
      <c r="M4977" s="128">
        <v>282231.6</v>
      </c>
      <c r="N4977" s="128">
        <v>139029.5</v>
      </c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</row>
    <row r="4978">
      <c r="A4978" s="125" t="s">
        <v>461</v>
      </c>
      <c r="B4978" s="125" t="s">
        <v>481</v>
      </c>
      <c r="C4978" s="125" t="s">
        <v>478</v>
      </c>
      <c r="D4978" s="125" t="s">
        <v>457</v>
      </c>
      <c r="E4978" s="125" t="s">
        <v>464</v>
      </c>
      <c r="F4978" s="126">
        <v>40872.0</v>
      </c>
      <c r="G4978" s="127">
        <v>7.0E8</v>
      </c>
      <c r="H4978" s="126">
        <v>40903.0</v>
      </c>
      <c r="I4978" s="128">
        <v>5664.0</v>
      </c>
      <c r="J4978" s="128">
        <v>651.21</v>
      </c>
      <c r="K4978" s="128">
        <v>524.96</v>
      </c>
      <c r="L4978" s="128">
        <v>3688453.0</v>
      </c>
      <c r="M4978" s="128">
        <v>2973373.0</v>
      </c>
      <c r="N4978" s="128">
        <v>715080.0</v>
      </c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</row>
    <row r="4979">
      <c r="A4979" s="125" t="s">
        <v>469</v>
      </c>
      <c r="B4979" s="125" t="s">
        <v>520</v>
      </c>
      <c r="C4979" s="125" t="s">
        <v>485</v>
      </c>
      <c r="D4979" s="125" t="s">
        <v>454</v>
      </c>
      <c r="E4979" s="125" t="s">
        <v>284</v>
      </c>
      <c r="F4979" s="126">
        <v>42472.0</v>
      </c>
      <c r="G4979" s="127">
        <v>5.96E8</v>
      </c>
      <c r="H4979" s="126">
        <v>42503.0</v>
      </c>
      <c r="I4979" s="128">
        <v>1791.0</v>
      </c>
      <c r="J4979" s="128">
        <v>421.89</v>
      </c>
      <c r="K4979" s="128">
        <v>364.69</v>
      </c>
      <c r="L4979" s="128">
        <v>755605.0</v>
      </c>
      <c r="M4979" s="128">
        <v>653159.8</v>
      </c>
      <c r="N4979" s="128">
        <v>102445.2</v>
      </c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</row>
    <row r="4980">
      <c r="A4980" s="125" t="s">
        <v>475</v>
      </c>
      <c r="B4980" s="125" t="s">
        <v>552</v>
      </c>
      <c r="C4980" s="125" t="s">
        <v>463</v>
      </c>
      <c r="D4980" s="125" t="s">
        <v>454</v>
      </c>
      <c r="E4980" s="125" t="s">
        <v>189</v>
      </c>
      <c r="F4980" s="126">
        <v>42385.0</v>
      </c>
      <c r="G4980" s="127">
        <v>1.27E8</v>
      </c>
      <c r="H4980" s="126">
        <v>42411.0</v>
      </c>
      <c r="I4980" s="128">
        <v>9296.0</v>
      </c>
      <c r="J4980" s="128">
        <v>205.7</v>
      </c>
      <c r="K4980" s="128">
        <v>117.11</v>
      </c>
      <c r="L4980" s="128">
        <v>1912187.0</v>
      </c>
      <c r="M4980" s="128">
        <v>1088655.0</v>
      </c>
      <c r="N4980" s="128">
        <v>823532.6</v>
      </c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</row>
    <row r="4981">
      <c r="A4981" s="125" t="s">
        <v>475</v>
      </c>
      <c r="B4981" s="125" t="s">
        <v>561</v>
      </c>
      <c r="C4981" s="125" t="s">
        <v>478</v>
      </c>
      <c r="D4981" s="125" t="s">
        <v>454</v>
      </c>
      <c r="E4981" s="125" t="s">
        <v>189</v>
      </c>
      <c r="F4981" s="126">
        <v>40672.0</v>
      </c>
      <c r="G4981" s="127">
        <v>5.85E8</v>
      </c>
      <c r="H4981" s="126">
        <v>40699.0</v>
      </c>
      <c r="I4981" s="128">
        <v>7246.0</v>
      </c>
      <c r="J4981" s="128">
        <v>651.21</v>
      </c>
      <c r="K4981" s="128">
        <v>524.96</v>
      </c>
      <c r="L4981" s="128">
        <v>4718668.0</v>
      </c>
      <c r="M4981" s="128">
        <v>3803860.0</v>
      </c>
      <c r="N4981" s="128">
        <v>914807.5</v>
      </c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</row>
    <row r="4982">
      <c r="A4982" s="125" t="s">
        <v>458</v>
      </c>
      <c r="B4982" s="125" t="s">
        <v>642</v>
      </c>
      <c r="C4982" s="125" t="s">
        <v>506</v>
      </c>
      <c r="D4982" s="125" t="s">
        <v>454</v>
      </c>
      <c r="E4982" s="125" t="s">
        <v>284</v>
      </c>
      <c r="F4982" s="126">
        <v>40548.0</v>
      </c>
      <c r="G4982" s="127">
        <v>1.8E8</v>
      </c>
      <c r="H4982" s="126">
        <v>40555.0</v>
      </c>
      <c r="I4982" s="128">
        <v>6740.0</v>
      </c>
      <c r="J4982" s="128">
        <v>154.06</v>
      </c>
      <c r="K4982" s="128">
        <v>90.93</v>
      </c>
      <c r="L4982" s="128">
        <v>1038364.0</v>
      </c>
      <c r="M4982" s="128">
        <v>612868.2</v>
      </c>
      <c r="N4982" s="128">
        <v>425496.2</v>
      </c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</row>
    <row r="4983">
      <c r="A4983" s="125" t="s">
        <v>475</v>
      </c>
      <c r="B4983" s="125" t="s">
        <v>588</v>
      </c>
      <c r="C4983" s="125" t="s">
        <v>456</v>
      </c>
      <c r="D4983" s="125" t="s">
        <v>457</v>
      </c>
      <c r="E4983" s="125" t="s">
        <v>189</v>
      </c>
      <c r="F4983" s="126">
        <v>41471.0</v>
      </c>
      <c r="G4983" s="127">
        <v>7.94E8</v>
      </c>
      <c r="H4983" s="126">
        <v>41498.0</v>
      </c>
      <c r="I4983" s="128">
        <v>5907.0</v>
      </c>
      <c r="J4983" s="128">
        <v>152.58</v>
      </c>
      <c r="K4983" s="128">
        <v>97.44</v>
      </c>
      <c r="L4983" s="128">
        <v>901290.1</v>
      </c>
      <c r="M4983" s="128">
        <v>575578.1</v>
      </c>
      <c r="N4983" s="128">
        <v>325712.0</v>
      </c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</row>
    <row r="4984">
      <c r="A4984" s="125" t="s">
        <v>461</v>
      </c>
      <c r="B4984" s="125" t="s">
        <v>611</v>
      </c>
      <c r="C4984" s="125" t="s">
        <v>468</v>
      </c>
      <c r="D4984" s="125" t="s">
        <v>457</v>
      </c>
      <c r="E4984" s="125" t="s">
        <v>464</v>
      </c>
      <c r="F4984" s="126">
        <v>40517.0</v>
      </c>
      <c r="G4984" s="127">
        <v>3.28E8</v>
      </c>
      <c r="H4984" s="126">
        <v>40530.0</v>
      </c>
      <c r="I4984" s="128">
        <v>4909.0</v>
      </c>
      <c r="J4984" s="128">
        <v>81.73</v>
      </c>
      <c r="K4984" s="128">
        <v>56.67</v>
      </c>
      <c r="L4984" s="128">
        <v>401212.6</v>
      </c>
      <c r="M4984" s="128">
        <v>278193.0</v>
      </c>
      <c r="N4984" s="128">
        <v>123019.5</v>
      </c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/>
    </row>
    <row r="4985">
      <c r="A4985" s="125" t="s">
        <v>475</v>
      </c>
      <c r="B4985" s="125" t="s">
        <v>537</v>
      </c>
      <c r="C4985" s="125" t="s">
        <v>478</v>
      </c>
      <c r="D4985" s="125" t="s">
        <v>454</v>
      </c>
      <c r="E4985" s="125" t="s">
        <v>472</v>
      </c>
      <c r="F4985" s="126">
        <v>42070.0</v>
      </c>
      <c r="G4985" s="127">
        <v>3.55E8</v>
      </c>
      <c r="H4985" s="126">
        <v>42097.0</v>
      </c>
      <c r="I4985" s="128">
        <v>938.0</v>
      </c>
      <c r="J4985" s="128">
        <v>651.21</v>
      </c>
      <c r="K4985" s="128">
        <v>524.96</v>
      </c>
      <c r="L4985" s="128">
        <v>610835.0</v>
      </c>
      <c r="M4985" s="128">
        <v>492412.5</v>
      </c>
      <c r="N4985" s="128">
        <v>118422.5</v>
      </c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</row>
    <row r="4986">
      <c r="A4986" s="125" t="s">
        <v>466</v>
      </c>
      <c r="B4986" s="125" t="s">
        <v>531</v>
      </c>
      <c r="C4986" s="125" t="s">
        <v>460</v>
      </c>
      <c r="D4986" s="125" t="s">
        <v>457</v>
      </c>
      <c r="E4986" s="125" t="s">
        <v>472</v>
      </c>
      <c r="F4986" s="126">
        <v>42603.0</v>
      </c>
      <c r="G4986" s="127">
        <v>2.65E8</v>
      </c>
      <c r="H4986" s="126">
        <v>42648.0</v>
      </c>
      <c r="I4986" s="128">
        <v>3218.0</v>
      </c>
      <c r="J4986" s="128">
        <v>47.45</v>
      </c>
      <c r="K4986" s="128">
        <v>31.79</v>
      </c>
      <c r="L4986" s="128">
        <v>152694.1</v>
      </c>
      <c r="M4986" s="128">
        <v>102300.2</v>
      </c>
      <c r="N4986" s="128">
        <v>50393.88</v>
      </c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</row>
    <row r="4987">
      <c r="A4987" s="125" t="s">
        <v>461</v>
      </c>
      <c r="B4987" s="125" t="s">
        <v>525</v>
      </c>
      <c r="C4987" s="125" t="s">
        <v>471</v>
      </c>
      <c r="D4987" s="125" t="s">
        <v>454</v>
      </c>
      <c r="E4987" s="125" t="s">
        <v>189</v>
      </c>
      <c r="F4987" s="126">
        <v>40362.0</v>
      </c>
      <c r="G4987" s="127">
        <v>4.23E8</v>
      </c>
      <c r="H4987" s="126">
        <v>40394.0</v>
      </c>
      <c r="I4987" s="128">
        <v>8004.0</v>
      </c>
      <c r="J4987" s="128">
        <v>109.28</v>
      </c>
      <c r="K4987" s="128">
        <v>35.84</v>
      </c>
      <c r="L4987" s="128">
        <v>874677.1</v>
      </c>
      <c r="M4987" s="128">
        <v>286863.4</v>
      </c>
      <c r="N4987" s="128">
        <v>587813.8</v>
      </c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</row>
    <row r="4988">
      <c r="A4988" s="125" t="s">
        <v>461</v>
      </c>
      <c r="B4988" s="125" t="s">
        <v>615</v>
      </c>
      <c r="C4988" s="125" t="s">
        <v>506</v>
      </c>
      <c r="D4988" s="125" t="s">
        <v>457</v>
      </c>
      <c r="E4988" s="125" t="s">
        <v>464</v>
      </c>
      <c r="F4988" s="126">
        <v>42280.0</v>
      </c>
      <c r="G4988" s="127">
        <v>8.1E8</v>
      </c>
      <c r="H4988" s="126">
        <v>42295.0</v>
      </c>
      <c r="I4988" s="128">
        <v>3581.0</v>
      </c>
      <c r="J4988" s="128">
        <v>154.06</v>
      </c>
      <c r="K4988" s="128">
        <v>90.93</v>
      </c>
      <c r="L4988" s="128">
        <v>551688.9</v>
      </c>
      <c r="M4988" s="128">
        <v>325620.3</v>
      </c>
      <c r="N4988" s="128">
        <v>226068.5</v>
      </c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</row>
    <row r="4989">
      <c r="A4989" s="125" t="s">
        <v>461</v>
      </c>
      <c r="B4989" s="125" t="s">
        <v>510</v>
      </c>
      <c r="C4989" s="125" t="s">
        <v>480</v>
      </c>
      <c r="D4989" s="125" t="s">
        <v>457</v>
      </c>
      <c r="E4989" s="125" t="s">
        <v>464</v>
      </c>
      <c r="F4989" s="126">
        <v>40464.0</v>
      </c>
      <c r="G4989" s="127">
        <v>5.8E8</v>
      </c>
      <c r="H4989" s="126">
        <v>40476.0</v>
      </c>
      <c r="I4989" s="128">
        <v>5268.0</v>
      </c>
      <c r="J4989" s="128">
        <v>437.2</v>
      </c>
      <c r="K4989" s="128">
        <v>263.33</v>
      </c>
      <c r="L4989" s="128">
        <v>2303170.0</v>
      </c>
      <c r="M4989" s="128">
        <v>1387222.0</v>
      </c>
      <c r="N4989" s="128">
        <v>915947.2</v>
      </c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</row>
    <row r="4990">
      <c r="A4990" s="125" t="s">
        <v>461</v>
      </c>
      <c r="B4990" s="125" t="s">
        <v>465</v>
      </c>
      <c r="C4990" s="125" t="s">
        <v>478</v>
      </c>
      <c r="D4990" s="125" t="s">
        <v>454</v>
      </c>
      <c r="E4990" s="125" t="s">
        <v>284</v>
      </c>
      <c r="F4990" s="126">
        <v>41244.0</v>
      </c>
      <c r="G4990" s="127">
        <v>3.07E8</v>
      </c>
      <c r="H4990" s="126">
        <v>41245.0</v>
      </c>
      <c r="I4990" s="128">
        <v>412.0</v>
      </c>
      <c r="J4990" s="128">
        <v>651.21</v>
      </c>
      <c r="K4990" s="128">
        <v>524.96</v>
      </c>
      <c r="L4990" s="128">
        <v>268298.5</v>
      </c>
      <c r="M4990" s="128">
        <v>216283.5</v>
      </c>
      <c r="N4990" s="128">
        <v>52015.0</v>
      </c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</row>
    <row r="4991">
      <c r="A4991" s="125" t="s">
        <v>458</v>
      </c>
      <c r="B4991" s="125" t="s">
        <v>563</v>
      </c>
      <c r="C4991" s="125" t="s">
        <v>468</v>
      </c>
      <c r="D4991" s="125" t="s">
        <v>457</v>
      </c>
      <c r="E4991" s="125" t="s">
        <v>189</v>
      </c>
      <c r="F4991" s="126">
        <v>41653.0</v>
      </c>
      <c r="G4991" s="127">
        <v>6.34E8</v>
      </c>
      <c r="H4991" s="126">
        <v>41654.0</v>
      </c>
      <c r="I4991" s="128">
        <v>3394.0</v>
      </c>
      <c r="J4991" s="128">
        <v>81.73</v>
      </c>
      <c r="K4991" s="128">
        <v>56.67</v>
      </c>
      <c r="L4991" s="128">
        <v>277391.6</v>
      </c>
      <c r="M4991" s="128">
        <v>192338.0</v>
      </c>
      <c r="N4991" s="128">
        <v>85053.64</v>
      </c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</row>
    <row r="4992">
      <c r="A4992" s="125" t="s">
        <v>466</v>
      </c>
      <c r="B4992" s="125" t="s">
        <v>502</v>
      </c>
      <c r="C4992" s="125" t="s">
        <v>514</v>
      </c>
      <c r="D4992" s="125" t="s">
        <v>454</v>
      </c>
      <c r="E4992" s="125" t="s">
        <v>472</v>
      </c>
      <c r="F4992" s="126">
        <v>41882.0</v>
      </c>
      <c r="G4992" s="127">
        <v>9.25E8</v>
      </c>
      <c r="H4992" s="126">
        <v>41924.0</v>
      </c>
      <c r="I4992" s="128">
        <v>625.0</v>
      </c>
      <c r="J4992" s="128">
        <v>668.27</v>
      </c>
      <c r="K4992" s="128">
        <v>502.54</v>
      </c>
      <c r="L4992" s="128">
        <v>417668.8</v>
      </c>
      <c r="M4992" s="128">
        <v>314087.5</v>
      </c>
      <c r="N4992" s="128">
        <v>103581.3</v>
      </c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</row>
    <row r="4993">
      <c r="A4993" s="125" t="s">
        <v>461</v>
      </c>
      <c r="B4993" s="125" t="s">
        <v>564</v>
      </c>
      <c r="C4993" s="125" t="s">
        <v>456</v>
      </c>
      <c r="D4993" s="125" t="s">
        <v>454</v>
      </c>
      <c r="E4993" s="125" t="s">
        <v>284</v>
      </c>
      <c r="F4993" s="126">
        <v>41129.0</v>
      </c>
      <c r="G4993" s="127">
        <v>6.16E8</v>
      </c>
      <c r="H4993" s="126">
        <v>41172.0</v>
      </c>
      <c r="I4993" s="128">
        <v>5547.0</v>
      </c>
      <c r="J4993" s="128">
        <v>152.58</v>
      </c>
      <c r="K4993" s="128">
        <v>97.44</v>
      </c>
      <c r="L4993" s="128">
        <v>846361.3</v>
      </c>
      <c r="M4993" s="128">
        <v>540499.7</v>
      </c>
      <c r="N4993" s="128">
        <v>305861.6</v>
      </c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</row>
    <row r="4994">
      <c r="A4994" s="125" t="s">
        <v>458</v>
      </c>
      <c r="B4994" s="125" t="s">
        <v>538</v>
      </c>
      <c r="C4994" s="125" t="s">
        <v>463</v>
      </c>
      <c r="D4994" s="125" t="s">
        <v>457</v>
      </c>
      <c r="E4994" s="125" t="s">
        <v>464</v>
      </c>
      <c r="F4994" s="126">
        <v>41743.0</v>
      </c>
      <c r="G4994" s="127">
        <v>5.59E8</v>
      </c>
      <c r="H4994" s="126">
        <v>41780.0</v>
      </c>
      <c r="I4994" s="128">
        <v>3633.0</v>
      </c>
      <c r="J4994" s="128">
        <v>205.7</v>
      </c>
      <c r="K4994" s="128">
        <v>117.11</v>
      </c>
      <c r="L4994" s="128">
        <v>747308.1</v>
      </c>
      <c r="M4994" s="128">
        <v>425460.6</v>
      </c>
      <c r="N4994" s="128">
        <v>321847.5</v>
      </c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</row>
    <row r="4995">
      <c r="A4995" s="125" t="s">
        <v>458</v>
      </c>
      <c r="B4995" s="125" t="s">
        <v>567</v>
      </c>
      <c r="C4995" s="125" t="s">
        <v>485</v>
      </c>
      <c r="D4995" s="125" t="s">
        <v>457</v>
      </c>
      <c r="E4995" s="125" t="s">
        <v>189</v>
      </c>
      <c r="F4995" s="126">
        <v>42317.0</v>
      </c>
      <c r="G4995" s="127">
        <v>7.81E8</v>
      </c>
      <c r="H4995" s="126">
        <v>42361.0</v>
      </c>
      <c r="I4995" s="128">
        <v>7390.0</v>
      </c>
      <c r="J4995" s="128">
        <v>421.89</v>
      </c>
      <c r="K4995" s="128">
        <v>364.69</v>
      </c>
      <c r="L4995" s="128">
        <v>3117767.0</v>
      </c>
      <c r="M4995" s="128">
        <v>2695059.0</v>
      </c>
      <c r="N4995" s="128">
        <v>422708.0</v>
      </c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</row>
    <row r="4996">
      <c r="A4996" s="125" t="s">
        <v>466</v>
      </c>
      <c r="B4996" s="125" t="s">
        <v>531</v>
      </c>
      <c r="C4996" s="125" t="s">
        <v>471</v>
      </c>
      <c r="D4996" s="125" t="s">
        <v>457</v>
      </c>
      <c r="E4996" s="125" t="s">
        <v>464</v>
      </c>
      <c r="F4996" s="126">
        <v>41831.0</v>
      </c>
      <c r="G4996" s="127">
        <v>9.28E8</v>
      </c>
      <c r="H4996" s="126">
        <v>41881.0</v>
      </c>
      <c r="I4996" s="128">
        <v>1352.0</v>
      </c>
      <c r="J4996" s="128">
        <v>109.28</v>
      </c>
      <c r="K4996" s="128">
        <v>35.84</v>
      </c>
      <c r="L4996" s="128">
        <v>147746.6</v>
      </c>
      <c r="M4996" s="128">
        <v>48455.68</v>
      </c>
      <c r="N4996" s="128">
        <v>99290.88</v>
      </c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</row>
    <row r="4997">
      <c r="A4997" s="125" t="s">
        <v>458</v>
      </c>
      <c r="B4997" s="125" t="s">
        <v>573</v>
      </c>
      <c r="C4997" s="125" t="s">
        <v>471</v>
      </c>
      <c r="D4997" s="125" t="s">
        <v>457</v>
      </c>
      <c r="E4997" s="125" t="s">
        <v>472</v>
      </c>
      <c r="F4997" s="126">
        <v>41038.0</v>
      </c>
      <c r="G4997" s="127">
        <v>7.13E8</v>
      </c>
      <c r="H4997" s="126">
        <v>41063.0</v>
      </c>
      <c r="I4997" s="128">
        <v>7088.0</v>
      </c>
      <c r="J4997" s="128">
        <v>109.28</v>
      </c>
      <c r="K4997" s="128">
        <v>35.84</v>
      </c>
      <c r="L4997" s="128">
        <v>774576.6</v>
      </c>
      <c r="M4997" s="128">
        <v>254033.9</v>
      </c>
      <c r="N4997" s="128">
        <v>520542.7</v>
      </c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</row>
    <row r="4998">
      <c r="A4998" s="125" t="s">
        <v>475</v>
      </c>
      <c r="B4998" s="125" t="s">
        <v>591</v>
      </c>
      <c r="C4998" s="125" t="s">
        <v>480</v>
      </c>
      <c r="D4998" s="125" t="s">
        <v>457</v>
      </c>
      <c r="E4998" s="125" t="s">
        <v>189</v>
      </c>
      <c r="F4998" s="126">
        <v>41077.0</v>
      </c>
      <c r="G4998" s="127">
        <v>3.75E8</v>
      </c>
      <c r="H4998" s="126">
        <v>41083.0</v>
      </c>
      <c r="I4998" s="128">
        <v>8195.0</v>
      </c>
      <c r="J4998" s="128">
        <v>437.2</v>
      </c>
      <c r="K4998" s="128">
        <v>263.33</v>
      </c>
      <c r="L4998" s="128">
        <v>3582854.0</v>
      </c>
      <c r="M4998" s="128">
        <v>2157989.0</v>
      </c>
      <c r="N4998" s="128">
        <v>1424865.0</v>
      </c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</row>
    <row r="4999">
      <c r="A4999" s="125" t="s">
        <v>469</v>
      </c>
      <c r="B4999" s="125" t="s">
        <v>617</v>
      </c>
      <c r="C4999" s="125" t="s">
        <v>514</v>
      </c>
      <c r="D4999" s="125" t="s">
        <v>457</v>
      </c>
      <c r="E4999" s="125" t="s">
        <v>284</v>
      </c>
      <c r="F4999" s="126">
        <v>42097.0</v>
      </c>
      <c r="G4999" s="127">
        <v>2.18E8</v>
      </c>
      <c r="H4999" s="126">
        <v>42114.0</v>
      </c>
      <c r="I4999" s="128">
        <v>5305.0</v>
      </c>
      <c r="J4999" s="128">
        <v>668.27</v>
      </c>
      <c r="K4999" s="128">
        <v>502.54</v>
      </c>
      <c r="L4999" s="128">
        <v>3545172.0</v>
      </c>
      <c r="M4999" s="128">
        <v>2665975.0</v>
      </c>
      <c r="N4999" s="128">
        <v>879197.7</v>
      </c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</row>
    <row r="5000">
      <c r="A5000" s="125" t="s">
        <v>466</v>
      </c>
      <c r="B5000" s="125" t="s">
        <v>534</v>
      </c>
      <c r="C5000" s="125" t="s">
        <v>471</v>
      </c>
      <c r="D5000" s="125" t="s">
        <v>457</v>
      </c>
      <c r="E5000" s="125" t="s">
        <v>464</v>
      </c>
      <c r="F5000" s="126">
        <v>41868.0</v>
      </c>
      <c r="G5000" s="127">
        <v>1.7E8</v>
      </c>
      <c r="H5000" s="126">
        <v>41914.0</v>
      </c>
      <c r="I5000" s="128">
        <v>1077.0</v>
      </c>
      <c r="J5000" s="128">
        <v>109.28</v>
      </c>
      <c r="K5000" s="128">
        <v>35.84</v>
      </c>
      <c r="L5000" s="128">
        <v>117694.6</v>
      </c>
      <c r="M5000" s="128">
        <v>38599.68</v>
      </c>
      <c r="N5000" s="128">
        <v>79094.88</v>
      </c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</row>
    <row r="5001">
      <c r="A5001" s="125" t="s">
        <v>461</v>
      </c>
      <c r="B5001" s="125" t="s">
        <v>539</v>
      </c>
      <c r="C5001" s="125" t="s">
        <v>453</v>
      </c>
      <c r="D5001" s="125" t="s">
        <v>457</v>
      </c>
      <c r="E5001" s="125" t="s">
        <v>472</v>
      </c>
      <c r="F5001" s="126">
        <v>42697.0</v>
      </c>
      <c r="G5001" s="127">
        <v>2.27E8</v>
      </c>
      <c r="H5001" s="126">
        <v>42714.0</v>
      </c>
      <c r="I5001" s="128">
        <v>5204.0</v>
      </c>
      <c r="J5001" s="128">
        <v>255.28</v>
      </c>
      <c r="K5001" s="128">
        <v>159.42</v>
      </c>
      <c r="L5001" s="128">
        <v>1328477.0</v>
      </c>
      <c r="M5001" s="128">
        <v>829621.7</v>
      </c>
      <c r="N5001" s="128">
        <v>498855.4</v>
      </c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</row>
    <row r="5002">
      <c r="A5002" s="125" t="s">
        <v>458</v>
      </c>
      <c r="B5002" s="125" t="s">
        <v>515</v>
      </c>
      <c r="C5002" s="125" t="s">
        <v>471</v>
      </c>
      <c r="D5002" s="125" t="s">
        <v>454</v>
      </c>
      <c r="E5002" s="125" t="s">
        <v>464</v>
      </c>
      <c r="F5002" s="126">
        <v>41751.0</v>
      </c>
      <c r="G5002" s="127">
        <v>9.07E8</v>
      </c>
      <c r="H5002" s="126">
        <v>41770.0</v>
      </c>
      <c r="I5002" s="128">
        <v>9410.0</v>
      </c>
      <c r="J5002" s="128">
        <v>109.28</v>
      </c>
      <c r="K5002" s="128">
        <v>35.84</v>
      </c>
      <c r="L5002" s="128">
        <v>1028325.0</v>
      </c>
      <c r="M5002" s="128">
        <v>337254.4</v>
      </c>
      <c r="N5002" s="128">
        <v>691070.4</v>
      </c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</row>
    <row r="5003">
      <c r="A5003" s="125" t="s">
        <v>475</v>
      </c>
      <c r="B5003" s="125" t="s">
        <v>571</v>
      </c>
      <c r="C5003" s="125" t="s">
        <v>506</v>
      </c>
      <c r="D5003" s="125" t="s">
        <v>454</v>
      </c>
      <c r="E5003" s="125" t="s">
        <v>464</v>
      </c>
      <c r="F5003" s="126">
        <v>40732.0</v>
      </c>
      <c r="G5003" s="127">
        <v>9.97E8</v>
      </c>
      <c r="H5003" s="126">
        <v>40762.0</v>
      </c>
      <c r="I5003" s="128">
        <v>2450.0</v>
      </c>
      <c r="J5003" s="128">
        <v>154.06</v>
      </c>
      <c r="K5003" s="128">
        <v>90.93</v>
      </c>
      <c r="L5003" s="128">
        <v>377447.0</v>
      </c>
      <c r="M5003" s="128">
        <v>222778.5</v>
      </c>
      <c r="N5003" s="128">
        <v>154668.5</v>
      </c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15.75"/>
    <col customWidth="1" min="5" max="5" width="16.0"/>
  </cols>
  <sheetData>
    <row r="1">
      <c r="D1" s="129" t="str">
        <f>IFERROR(__xludf.DUMMYFUNCTION("QUERY(DATA,""select C, SUM(I) group by C label SUM(I) 'SUM of Units Sold' ,C 'ITEM Type'"")"),"ITEM Type")</f>
        <v>ITEM Type</v>
      </c>
      <c r="E1" s="41" t="str">
        <f>IFERROR(__xludf.DUMMYFUNCTION("""COMPUTED_VALUE"""),"SUM of Units Sold")</f>
        <v>SUM of Units Sold</v>
      </c>
    </row>
    <row r="2">
      <c r="D2" s="130" t="str">
        <f>IFERROR(__xludf.DUMMYFUNCTION("""COMPUTED_VALUE"""),"Baby Food")</f>
        <v>Baby Food</v>
      </c>
      <c r="E2" s="94">
        <f>IFERROR(__xludf.DUMMYFUNCTION("""COMPUTED_VALUE"""),2274921.0)</f>
        <v>2274921</v>
      </c>
    </row>
    <row r="3">
      <c r="D3" s="94" t="str">
        <f>IFERROR(__xludf.DUMMYFUNCTION("""COMPUTED_VALUE"""),"Beverages")</f>
        <v>Beverages</v>
      </c>
      <c r="E3" s="94">
        <f>IFERROR(__xludf.DUMMYFUNCTION("""COMPUTED_VALUE"""),2208169.0)</f>
        <v>2208169</v>
      </c>
    </row>
    <row r="4">
      <c r="D4" s="94" t="str">
        <f>IFERROR(__xludf.DUMMYFUNCTION("""COMPUTED_VALUE"""),"Cereal")</f>
        <v>Cereal</v>
      </c>
      <c r="E4" s="94">
        <f>IFERROR(__xludf.DUMMYFUNCTION("""COMPUTED_VALUE"""),1949601.0)</f>
        <v>1949601</v>
      </c>
    </row>
    <row r="5">
      <c r="D5" s="94" t="str">
        <f>IFERROR(__xludf.DUMMYFUNCTION("""COMPUTED_VALUE"""),"Clothes")</f>
        <v>Clothes</v>
      </c>
      <c r="E5" s="94">
        <f>IFERROR(__xludf.DUMMYFUNCTION("""COMPUTED_VALUE"""),1983445.0)</f>
        <v>1983445</v>
      </c>
    </row>
    <row r="6">
      <c r="D6" s="94" t="str">
        <f>IFERROR(__xludf.DUMMYFUNCTION("""COMPUTED_VALUE"""),"Cosmetics")</f>
        <v>Cosmetics</v>
      </c>
      <c r="E6" s="94">
        <f>IFERROR(__xludf.DUMMYFUNCTION("""COMPUTED_VALUE"""),2141909.0)</f>
        <v>2141909</v>
      </c>
    </row>
    <row r="7">
      <c r="D7" s="94" t="str">
        <f>IFERROR(__xludf.DUMMYFUNCTION("""COMPUTED_VALUE"""),"Fruits")</f>
        <v>Fruits</v>
      </c>
      <c r="E7" s="94">
        <f>IFERROR(__xludf.DUMMYFUNCTION("""COMPUTED_VALUE"""),2341083.0)</f>
        <v>2341083</v>
      </c>
    </row>
    <row r="8">
      <c r="D8" s="94" t="str">
        <f>IFERROR(__xludf.DUMMYFUNCTION("""COMPUTED_VALUE"""),"Household")</f>
        <v>Household</v>
      </c>
      <c r="E8" s="94">
        <f>IFERROR(__xludf.DUMMYFUNCTION("""COMPUTED_VALUE"""),2099238.0)</f>
        <v>2099238</v>
      </c>
    </row>
    <row r="9">
      <c r="D9" s="94" t="str">
        <f>IFERROR(__xludf.DUMMYFUNCTION("""COMPUTED_VALUE"""),"Meat")</f>
        <v>Meat</v>
      </c>
      <c r="E9" s="94">
        <f>IFERROR(__xludf.DUMMYFUNCTION("""COMPUTED_VALUE"""),1901197.0)</f>
        <v>1901197</v>
      </c>
    </row>
    <row r="10">
      <c r="D10" s="94" t="str">
        <f>IFERROR(__xludf.DUMMYFUNCTION("""COMPUTED_VALUE"""),"Office Supplies")</f>
        <v>Office Supplies</v>
      </c>
      <c r="E10" s="94">
        <f>IFERROR(__xludf.DUMMYFUNCTION("""COMPUTED_VALUE"""),2107628.0)</f>
        <v>2107628</v>
      </c>
    </row>
    <row r="11">
      <c r="D11" s="94" t="str">
        <f>IFERROR(__xludf.DUMMYFUNCTION("""COMPUTED_VALUE"""),"Personal Care")</f>
        <v>Personal Care</v>
      </c>
      <c r="E11" s="94">
        <f>IFERROR(__xludf.DUMMYFUNCTION("""COMPUTED_VALUE"""),2134895.0)</f>
        <v>2134895</v>
      </c>
    </row>
    <row r="12">
      <c r="D12" s="94" t="str">
        <f>IFERROR(__xludf.DUMMYFUNCTION("""COMPUTED_VALUE"""),"Snacks")</f>
        <v>Snacks</v>
      </c>
      <c r="E12" s="94">
        <f>IFERROR(__xludf.DUMMYFUNCTION("""COMPUTED_VALUE"""),1921075.0)</f>
        <v>1921075</v>
      </c>
    </row>
    <row r="13">
      <c r="D13" s="94" t="str">
        <f>IFERROR(__xludf.DUMMYFUNCTION("""COMPUTED_VALUE"""),"Vegetables")</f>
        <v>Vegetables</v>
      </c>
      <c r="E13" s="94">
        <f>IFERROR(__xludf.DUMMYFUNCTION("""COMPUTED_VALUE"""),2090330.0)</f>
        <v>2090330</v>
      </c>
    </row>
    <row r="14"/>
  </sheetData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63"/>
    <col customWidth="1" min="2" max="2" width="7.5"/>
    <col customWidth="1" min="3" max="4" width="6.25"/>
    <col customWidth="1" min="5" max="8" width="7.5"/>
    <col customWidth="1" min="9" max="9" width="8.5"/>
    <col customWidth="1" min="10" max="10" width="7.5"/>
    <col customWidth="1" min="11" max="12" width="6.25"/>
  </cols>
  <sheetData>
    <row r="1">
      <c r="A1" s="94" t="s">
        <v>661</v>
      </c>
      <c r="B1" s="131" t="s">
        <v>662</v>
      </c>
      <c r="C1" s="131" t="s">
        <v>663</v>
      </c>
      <c r="D1" s="131" t="s">
        <v>664</v>
      </c>
      <c r="E1" s="132" t="s">
        <v>665</v>
      </c>
      <c r="H1" s="133" t="s">
        <v>666</v>
      </c>
      <c r="I1" s="134" t="s">
        <v>667</v>
      </c>
    </row>
    <row r="2">
      <c r="A2" s="94" t="s">
        <v>668</v>
      </c>
      <c r="B2" s="131">
        <v>110.0</v>
      </c>
      <c r="C2" s="131">
        <v>2.62</v>
      </c>
      <c r="D2" s="131">
        <v>1.0</v>
      </c>
      <c r="E2" s="132">
        <v>21.0</v>
      </c>
    </row>
    <row r="3">
      <c r="A3" s="94" t="s">
        <v>669</v>
      </c>
      <c r="B3" s="131">
        <v>110.0</v>
      </c>
      <c r="C3" s="131">
        <v>2.875</v>
      </c>
      <c r="D3" s="131">
        <v>1.0</v>
      </c>
      <c r="E3" s="132">
        <v>21.0</v>
      </c>
    </row>
    <row r="4">
      <c r="A4" s="94" t="s">
        <v>670</v>
      </c>
      <c r="B4" s="131">
        <v>93.0</v>
      </c>
      <c r="C4" s="131">
        <v>2.32</v>
      </c>
      <c r="D4" s="131">
        <v>1.0</v>
      </c>
      <c r="E4" s="132">
        <v>22.8</v>
      </c>
    </row>
    <row r="5">
      <c r="A5" s="94" t="s">
        <v>671</v>
      </c>
      <c r="B5" s="131">
        <v>110.0</v>
      </c>
      <c r="C5" s="131">
        <v>3.215</v>
      </c>
      <c r="D5" s="131">
        <v>0.0</v>
      </c>
      <c r="E5" s="132">
        <v>21.4</v>
      </c>
      <c r="H5" s="93" t="s">
        <v>672</v>
      </c>
      <c r="I5" s="93"/>
    </row>
    <row r="6">
      <c r="A6" s="94" t="s">
        <v>673</v>
      </c>
      <c r="B6" s="131">
        <v>175.0</v>
      </c>
      <c r="C6" s="131">
        <v>3.44</v>
      </c>
      <c r="D6" s="131">
        <v>0.0</v>
      </c>
      <c r="E6" s="132"/>
      <c r="H6" s="132">
        <v>18.7</v>
      </c>
      <c r="I6" s="135">
        <v>17.6609</v>
      </c>
    </row>
    <row r="7">
      <c r="A7" s="94" t="s">
        <v>674</v>
      </c>
      <c r="B7" s="131">
        <v>105.0</v>
      </c>
      <c r="C7" s="131">
        <v>3.46</v>
      </c>
      <c r="D7" s="131">
        <v>0.0</v>
      </c>
      <c r="E7" s="132"/>
      <c r="H7" s="132">
        <v>18.1</v>
      </c>
      <c r="I7" s="135">
        <v>19.4408</v>
      </c>
    </row>
    <row r="8">
      <c r="A8" s="94" t="s">
        <v>675</v>
      </c>
      <c r="B8" s="131">
        <v>245.0</v>
      </c>
      <c r="C8" s="131">
        <v>3.57</v>
      </c>
      <c r="D8" s="131">
        <v>0.0</v>
      </c>
      <c r="E8" s="132"/>
      <c r="H8" s="132">
        <v>14.3</v>
      </c>
      <c r="I8" s="135">
        <v>15.7711</v>
      </c>
    </row>
    <row r="9">
      <c r="A9" s="94" t="s">
        <v>676</v>
      </c>
      <c r="B9" s="131">
        <v>62.0</v>
      </c>
      <c r="C9" s="131">
        <v>3.19</v>
      </c>
      <c r="D9" s="131">
        <v>0.0</v>
      </c>
      <c r="E9" s="132"/>
      <c r="H9" s="132">
        <v>24.4</v>
      </c>
      <c r="I9" s="135">
        <v>20.5517</v>
      </c>
    </row>
    <row r="10">
      <c r="A10" s="94" t="s">
        <v>677</v>
      </c>
      <c r="B10" s="131">
        <v>95.0</v>
      </c>
      <c r="C10" s="131">
        <v>3.15</v>
      </c>
      <c r="D10" s="131">
        <v>0.0</v>
      </c>
      <c r="E10" s="132"/>
      <c r="H10" s="132">
        <v>22.8</v>
      </c>
      <c r="I10" s="135">
        <v>20.5517</v>
      </c>
    </row>
    <row r="11">
      <c r="A11" s="94" t="s">
        <v>678</v>
      </c>
      <c r="B11" s="131">
        <v>123.0</v>
      </c>
      <c r="C11" s="131">
        <v>3.44</v>
      </c>
      <c r="D11" s="131">
        <v>0.0</v>
      </c>
      <c r="E11" s="132">
        <v>19.2</v>
      </c>
    </row>
    <row r="12">
      <c r="A12" s="94" t="s">
        <v>679</v>
      </c>
      <c r="B12" s="131">
        <v>123.0</v>
      </c>
      <c r="C12" s="131">
        <v>3.44</v>
      </c>
      <c r="D12" s="131">
        <v>0.0</v>
      </c>
      <c r="E12" s="132">
        <v>17.8</v>
      </c>
    </row>
    <row r="13">
      <c r="A13" s="94" t="s">
        <v>680</v>
      </c>
      <c r="B13" s="131">
        <v>180.0</v>
      </c>
      <c r="C13" s="131">
        <v>4.07</v>
      </c>
      <c r="D13" s="131">
        <v>0.0</v>
      </c>
      <c r="E13" s="132">
        <v>16.4</v>
      </c>
    </row>
    <row r="14">
      <c r="A14" s="94" t="s">
        <v>681</v>
      </c>
      <c r="B14" s="131">
        <v>180.0</v>
      </c>
      <c r="C14" s="131">
        <v>3.73</v>
      </c>
      <c r="D14" s="131">
        <v>0.0</v>
      </c>
      <c r="E14" s="132">
        <v>17.3</v>
      </c>
    </row>
    <row r="15">
      <c r="A15" s="94" t="s">
        <v>682</v>
      </c>
      <c r="B15" s="131">
        <v>180.0</v>
      </c>
      <c r="C15" s="131">
        <v>3.78</v>
      </c>
      <c r="D15" s="131">
        <v>0.0</v>
      </c>
      <c r="E15" s="132">
        <v>15.2</v>
      </c>
    </row>
    <row r="16">
      <c r="A16" s="94" t="s">
        <v>683</v>
      </c>
      <c r="B16" s="131">
        <v>205.0</v>
      </c>
      <c r="C16" s="131">
        <v>5.25</v>
      </c>
      <c r="D16" s="131">
        <v>0.0</v>
      </c>
      <c r="E16" s="132">
        <v>10.4</v>
      </c>
    </row>
    <row r="17">
      <c r="A17" s="94" t="s">
        <v>684</v>
      </c>
      <c r="B17" s="131">
        <v>215.0</v>
      </c>
      <c r="C17" s="131">
        <v>5.424</v>
      </c>
      <c r="D17" s="131">
        <v>0.0</v>
      </c>
      <c r="E17" s="132">
        <v>10.4</v>
      </c>
    </row>
    <row r="18">
      <c r="A18" s="94" t="s">
        <v>685</v>
      </c>
      <c r="B18" s="131">
        <v>230.0</v>
      </c>
      <c r="C18" s="131">
        <v>5.345</v>
      </c>
      <c r="D18" s="131">
        <v>0.0</v>
      </c>
      <c r="E18" s="132">
        <v>14.7</v>
      </c>
    </row>
    <row r="19">
      <c r="A19" s="94" t="s">
        <v>686</v>
      </c>
      <c r="B19" s="131">
        <v>66.0</v>
      </c>
      <c r="C19" s="131">
        <v>2.2</v>
      </c>
      <c r="D19" s="131">
        <v>1.0</v>
      </c>
      <c r="E19" s="132">
        <v>32.4</v>
      </c>
    </row>
    <row r="20">
      <c r="A20" s="94" t="s">
        <v>687</v>
      </c>
      <c r="B20" s="131">
        <v>52.0</v>
      </c>
      <c r="C20" s="131">
        <v>1.615</v>
      </c>
      <c r="D20" s="131">
        <v>1.0</v>
      </c>
      <c r="E20" s="132">
        <v>30.4</v>
      </c>
    </row>
    <row r="21">
      <c r="A21" s="94" t="s">
        <v>688</v>
      </c>
      <c r="B21" s="131">
        <v>65.0</v>
      </c>
      <c r="C21" s="131">
        <v>1.835</v>
      </c>
      <c r="D21" s="131">
        <v>1.0</v>
      </c>
      <c r="E21" s="132">
        <v>33.9</v>
      </c>
    </row>
    <row r="22">
      <c r="A22" s="94" t="s">
        <v>689</v>
      </c>
      <c r="B22" s="131">
        <v>97.0</v>
      </c>
      <c r="C22" s="131">
        <v>2.465</v>
      </c>
      <c r="D22" s="131">
        <v>0.0</v>
      </c>
      <c r="E22" s="132">
        <v>21.5</v>
      </c>
    </row>
    <row r="23">
      <c r="A23" s="94" t="s">
        <v>690</v>
      </c>
      <c r="B23" s="131">
        <v>150.0</v>
      </c>
      <c r="C23" s="131">
        <v>3.52</v>
      </c>
      <c r="D23" s="131">
        <v>0.0</v>
      </c>
      <c r="E23" s="132">
        <v>15.5</v>
      </c>
    </row>
    <row r="24">
      <c r="A24" s="94" t="s">
        <v>691</v>
      </c>
      <c r="B24" s="131">
        <v>150.0</v>
      </c>
      <c r="C24" s="131">
        <v>3.435</v>
      </c>
      <c r="D24" s="131">
        <v>0.0</v>
      </c>
      <c r="E24" s="132">
        <v>15.2</v>
      </c>
    </row>
    <row r="25">
      <c r="A25" s="94" t="s">
        <v>692</v>
      </c>
      <c r="B25" s="131">
        <v>245.0</v>
      </c>
      <c r="C25" s="131">
        <v>3.84</v>
      </c>
      <c r="D25" s="131">
        <v>0.0</v>
      </c>
      <c r="E25" s="132">
        <v>13.3</v>
      </c>
    </row>
    <row r="26">
      <c r="A26" s="94" t="s">
        <v>693</v>
      </c>
      <c r="B26" s="131">
        <v>175.0</v>
      </c>
      <c r="C26" s="131">
        <v>3.845</v>
      </c>
      <c r="D26" s="131">
        <v>0.0</v>
      </c>
      <c r="E26" s="132">
        <v>19.2</v>
      </c>
    </row>
    <row r="27">
      <c r="A27" s="94" t="s">
        <v>694</v>
      </c>
      <c r="B27" s="131">
        <v>66.0</v>
      </c>
      <c r="C27" s="131">
        <v>1.935</v>
      </c>
      <c r="D27" s="131">
        <v>1.0</v>
      </c>
      <c r="E27" s="132">
        <v>27.3</v>
      </c>
    </row>
    <row r="28">
      <c r="A28" s="94" t="s">
        <v>695</v>
      </c>
      <c r="B28" s="131">
        <v>91.0</v>
      </c>
      <c r="C28" s="131">
        <v>2.14</v>
      </c>
      <c r="D28" s="131">
        <v>1.0</v>
      </c>
      <c r="E28" s="132">
        <v>26.0</v>
      </c>
    </row>
    <row r="29">
      <c r="A29" s="94" t="s">
        <v>696</v>
      </c>
      <c r="B29" s="131">
        <v>113.0</v>
      </c>
      <c r="C29" s="131">
        <v>1.513</v>
      </c>
      <c r="D29" s="131">
        <v>1.0</v>
      </c>
      <c r="E29" s="132">
        <v>30.4</v>
      </c>
    </row>
    <row r="30">
      <c r="A30" s="94" t="s">
        <v>697</v>
      </c>
      <c r="B30" s="131">
        <v>264.0</v>
      </c>
      <c r="C30" s="131">
        <v>3.17</v>
      </c>
      <c r="D30" s="131">
        <v>1.0</v>
      </c>
      <c r="E30" s="132">
        <v>15.8</v>
      </c>
    </row>
    <row r="31">
      <c r="A31" s="94" t="s">
        <v>698</v>
      </c>
      <c r="B31" s="131">
        <v>175.0</v>
      </c>
      <c r="C31" s="131">
        <v>2.77</v>
      </c>
      <c r="D31" s="131">
        <v>1.0</v>
      </c>
      <c r="E31" s="132">
        <v>19.7</v>
      </c>
    </row>
    <row r="32">
      <c r="A32" s="94" t="s">
        <v>699</v>
      </c>
      <c r="B32" s="131">
        <v>335.0</v>
      </c>
      <c r="C32" s="131">
        <v>3.57</v>
      </c>
      <c r="D32" s="131">
        <v>1.0</v>
      </c>
      <c r="E32" s="132">
        <v>15.0</v>
      </c>
    </row>
    <row r="33">
      <c r="A33" s="94" t="s">
        <v>700</v>
      </c>
      <c r="B33" s="131">
        <v>109.0</v>
      </c>
      <c r="C33" s="131">
        <v>2.78</v>
      </c>
      <c r="D33" s="131">
        <v>1.0</v>
      </c>
      <c r="E33" s="132">
        <v>21.4</v>
      </c>
    </row>
  </sheetData>
  <hyperlinks>
    <hyperlink r:id="rId2" ref="H1"/>
  </hyperlinks>
  <drawing r:id="rId3"/>
  <legacyDrawing r:id="rId4"/>
</worksheet>
</file>