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ffernl-my.sharepoint.com/personal/cunha_differ_nl/Documents/Github/Gallium-experiments/"/>
    </mc:Choice>
  </mc:AlternateContent>
  <xr:revisionPtr revIDLastSave="0" documentId="8_{C938B4CD-237B-48D3-AA5E-B6ACA2E87C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c particle &amp; heat fluxes" sheetId="1" r:id="rId1"/>
  </sheets>
  <definedNames>
    <definedName name="amu">'Calc particle &amp; heat fluxes'!$A$5</definedName>
    <definedName name="c_se">'Calc particle &amp; heat fluxes'!$B$27</definedName>
    <definedName name="c_si">'Calc particle &amp; heat fluxes'!$B$26</definedName>
    <definedName name="f_j">'Calc particle &amp; heat fluxes'!$A$18</definedName>
    <definedName name="gamma">'Calc particle &amp; heat fluxes'!$A$6</definedName>
    <definedName name="hf_factor">'Calc particle &amp; heat fluxes'!$A$7</definedName>
    <definedName name="k">'Calc particle &amp; heat fluxes'!$A$4</definedName>
    <definedName name="m">'Calc particle &amp; heat fluxes'!$A$5</definedName>
    <definedName name="massai">'Calc particle &amp; heat fluxes'!$A$5</definedName>
    <definedName name="massi">'Calc particle &amp; heat fluxes'!$A$8</definedName>
    <definedName name="me">'Calc particle &amp; heat fluxes'!$A$9</definedName>
    <definedName name="mi">'Calc particle &amp; heat fluxes'!$A$5</definedName>
    <definedName name="n_se">'Calc particle &amp; heat fluxes'!$B$24</definedName>
    <definedName name="Re_E">'Calc particle &amp; heat fluxes'!$A$15</definedName>
    <definedName name="Ri_E">'Calc particle &amp; heat fluxes'!$A$13</definedName>
    <definedName name="Ri_N">'Calc particle &amp; heat fluxes'!$A$14</definedName>
    <definedName name="see">'Calc particle &amp; heat fluxes'!$A$10</definedName>
    <definedName name="tau">'Calc particle &amp; heat fluxes'!$A$12</definedName>
    <definedName name="Vbias">'Calc particle &amp; heat fluxes'!$A$11</definedName>
    <definedName name="Vf">'Calc particle &amp; heat fluxes'!$B$31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5" i="1"/>
  <c r="B30" i="1"/>
  <c r="B31" i="1" s="1"/>
  <c r="A11" i="1" s="1"/>
  <c r="J22" i="1"/>
  <c r="B40" i="1"/>
  <c r="B44" i="1"/>
  <c r="B26" i="1"/>
  <c r="F19" i="1"/>
  <c r="B27" i="1" l="1"/>
  <c r="B43" i="1" l="1"/>
  <c r="B45" i="1" l="1"/>
  <c r="B48" i="1" s="1"/>
  <c r="O52" i="1" l="1"/>
  <c r="N52" i="1"/>
  <c r="R38" i="1" l="1"/>
  <c r="M10" i="1" l="1"/>
  <c r="M11" i="1" s="1"/>
  <c r="G2" i="1" l="1"/>
  <c r="H2" i="1" s="1"/>
  <c r="B41" i="1"/>
  <c r="B47" i="1" s="1"/>
  <c r="R2" i="1"/>
  <c r="S2" i="1" s="1"/>
  <c r="U2" i="1" l="1"/>
  <c r="V2" i="1" s="1"/>
  <c r="K2" i="1"/>
  <c r="O2" i="1" s="1"/>
  <c r="P2" i="1"/>
  <c r="N2" i="1" l="1"/>
  <c r="E7" i="1" l="1"/>
  <c r="E9" i="1" s="1"/>
  <c r="B24" i="1"/>
  <c r="B28" i="1" s="1"/>
  <c r="B29" i="1" s="1"/>
  <c r="B32" i="1" l="1"/>
  <c r="B33" i="1" s="1"/>
  <c r="B36" i="1" s="1"/>
  <c r="B52" i="1"/>
  <c r="B34" i="1"/>
  <c r="Q2" i="1"/>
  <c r="B35" i="1" l="1"/>
  <c r="B42" i="1" l="1"/>
  <c r="B46" i="1" s="1"/>
  <c r="B49" i="1" s="1"/>
  <c r="E37" i="1"/>
  <c r="B37" i="1"/>
  <c r="E35" i="1"/>
  <c r="B50" i="1" l="1"/>
  <c r="D50" i="1" l="1"/>
  <c r="B51" i="1"/>
  <c r="A7" i="1" s="1"/>
  <c r="I2" i="1" s="1"/>
  <c r="J2" i="1" l="1"/>
  <c r="L2" i="1" l="1"/>
</calcChain>
</file>

<file path=xl/sharedStrings.xml><?xml version="1.0" encoding="utf-8"?>
<sst xmlns="http://schemas.openxmlformats.org/spreadsheetml/2006/main" count="117" uniqueCount="103">
  <si>
    <t>T_e</t>
  </si>
  <si>
    <t>mass of ion</t>
  </si>
  <si>
    <t>heat flux factor</t>
  </si>
  <si>
    <t>gamma</t>
  </si>
  <si>
    <t>electronic charge</t>
  </si>
  <si>
    <t>mass of amu</t>
  </si>
  <si>
    <t>Particle flux (m-2)</t>
  </si>
  <si>
    <t>current density (A/m2)</t>
  </si>
  <si>
    <t>current (total, A)</t>
  </si>
  <si>
    <t>sound speed (m/s)</t>
  </si>
  <si>
    <t>Power total (W)</t>
  </si>
  <si>
    <t>particles total (s-1)</t>
  </si>
  <si>
    <t>More detailed calculation of heat flux from ions and electrons separately (chapter 25 Stangeby) including biasing effect</t>
  </si>
  <si>
    <t>n_se</t>
  </si>
  <si>
    <t>eq 1.50</t>
  </si>
  <si>
    <t>c_s^i</t>
  </si>
  <si>
    <t>Ti/Te</t>
  </si>
  <si>
    <t>c_s^e</t>
  </si>
  <si>
    <t>mass electron</t>
  </si>
  <si>
    <t>eq 2.58</t>
  </si>
  <si>
    <t>eq 1.5</t>
  </si>
  <si>
    <t>j+</t>
  </si>
  <si>
    <t>eq 25.26</t>
  </si>
  <si>
    <t>assumes no strong collisional effects between TS position and sheath entrance</t>
  </si>
  <si>
    <t>m/s</t>
  </si>
  <si>
    <t>m-3</t>
  </si>
  <si>
    <t>A/m2</t>
  </si>
  <si>
    <t>F+</t>
  </si>
  <si>
    <t>m-2 s-1</t>
  </si>
  <si>
    <t>Vf</t>
  </si>
  <si>
    <t>eq 25.31</t>
  </si>
  <si>
    <t>assuming local nonambipolarity (F+=F-)</t>
  </si>
  <si>
    <t>j-net</t>
  </si>
  <si>
    <t>net, i.e. including losses from see going the other way</t>
  </si>
  <si>
    <t>eq 25.50</t>
  </si>
  <si>
    <t>Vf/Te</t>
  </si>
  <si>
    <t>Vbias relative to plasma (get it as Vf if floating)</t>
  </si>
  <si>
    <t>F-net</t>
  </si>
  <si>
    <t>j-tot</t>
  </si>
  <si>
    <t>eq 25.28</t>
  </si>
  <si>
    <t>F-tot</t>
  </si>
  <si>
    <t>all electrons arriving (deposit large energy, secondaries only take away small amount, so heating driven by F-tot)</t>
  </si>
  <si>
    <t>Heating calc</t>
  </si>
  <si>
    <t>eq 25.55</t>
  </si>
  <si>
    <t>qtherm_i</t>
  </si>
  <si>
    <t>qsheath_i</t>
  </si>
  <si>
    <t>qtherm_e</t>
  </si>
  <si>
    <t>eV</t>
  </si>
  <si>
    <t>ambi_net</t>
  </si>
  <si>
    <t>ambi_tot</t>
  </si>
  <si>
    <t>epresh_i</t>
  </si>
  <si>
    <t>recomb_ie</t>
  </si>
  <si>
    <t>recomb_mol</t>
  </si>
  <si>
    <t>q_e</t>
  </si>
  <si>
    <t>q_i</t>
  </si>
  <si>
    <t>q_tot</t>
  </si>
  <si>
    <t>hf_factor_calc</t>
  </si>
  <si>
    <t>ratio q_i/q_e</t>
  </si>
  <si>
    <t>Electron backscattering fraction (0.15 Stangeby)</t>
  </si>
  <si>
    <t>Recombination energy of molecule (H =2.2 eV)</t>
  </si>
  <si>
    <t>ratio net electron current to ion current</t>
  </si>
  <si>
    <t>Vf_relative</t>
  </si>
  <si>
    <t>eq 25.26 &amp; 25.29</t>
  </si>
  <si>
    <t>fluence</t>
  </si>
  <si>
    <t>fwhm (mm)</t>
  </si>
  <si>
    <t>plasma pressure</t>
  </si>
  <si>
    <t>time (hours)</t>
  </si>
  <si>
    <t>This number goes to A7 unless you use your own number</t>
  </si>
  <si>
    <t>time (minutes)</t>
  </si>
  <si>
    <t>time (seconds)</t>
  </si>
  <si>
    <t>n_e*10^20 (m-3)</t>
  </si>
  <si>
    <t>Vbias (set as zero if floating)</t>
  </si>
  <si>
    <t>This number goes to Vbias (A11) if bias is set to zero</t>
  </si>
  <si>
    <t>Mach number of plasma at TS position</t>
  </si>
  <si>
    <t>exposure angle (90 = perpendicular)</t>
  </si>
  <si>
    <t>stretched FWHM</t>
  </si>
  <si>
    <t>mixed masses</t>
  </si>
  <si>
    <t>mass 1</t>
  </si>
  <si>
    <t>mass 2</t>
  </si>
  <si>
    <t>mass</t>
  </si>
  <si>
    <t>fraction</t>
  </si>
  <si>
    <t>resultant average mass</t>
  </si>
  <si>
    <t>Te stdev</t>
  </si>
  <si>
    <t>ne stdev</t>
  </si>
  <si>
    <t>heat flux stdev</t>
  </si>
  <si>
    <t>part flux stdev</t>
  </si>
  <si>
    <t>Heat flux (MW m-2)</t>
  </si>
  <si>
    <t>q_sr</t>
  </si>
  <si>
    <t>tmax</t>
  </si>
  <si>
    <t>tmin</t>
  </si>
  <si>
    <t>heat trans ion</t>
  </si>
  <si>
    <t>sigma</t>
  </si>
  <si>
    <t>radial position</t>
  </si>
  <si>
    <t>particle flux at r</t>
  </si>
  <si>
    <t>Te attenuation factor from TS position to target (based on Jonathan's experiments) 1.0 = no attenuation.</t>
  </si>
  <si>
    <t>Ion backscattering fraction (energy)- average energy loss via backscattering (0.3 Stangeby, 0.4 eirene.de for ~1 eV), check http://www.eirene.de/</t>
  </si>
  <si>
    <t>Ion backscattering fraction (particles)- i.e. those that promptly return to plasma as neutrals (0.5 Stangeby, 0.6 eirene.de for ~1 eV)</t>
  </si>
  <si>
    <t>Derived from Stangeby eq 11.8</t>
  </si>
  <si>
    <t>n_se/n_TS</t>
  </si>
  <si>
    <t>goal fluence</t>
  </si>
  <si>
    <t>time remaining (h)</t>
  </si>
  <si>
    <t>secondary electron emission coefficient (~0.0 Stangeby)</t>
  </si>
  <si>
    <t>Recombination energy of ion (H = 13.6 eV, He = 24.6 eV, Ar = 15.6 eV, Ne = 21.6 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</si>
</sst>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11" fontId="2" fillId="0" borderId="0" xfId="0" applyNumberFormat="1" applyFont="1"/>
    <xf numFmtId="2" fontId="0" fillId="0" borderId="0" xfId="0" applyNumberFormat="1"/>
    <xf numFmtId="9" fontId="0" fillId="0" borderId="0" xfId="1" applyFont="1"/>
    <xf numFmtId="0" fontId="2" fillId="2" borderId="0" xfId="0" applyFont="1" applyFill="1"/>
    <xf numFmtId="2" fontId="2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11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11" fontId="1" fillId="4" borderId="0" xfId="0" applyNumberFormat="1" applyFont="1" applyFill="1"/>
    <xf numFmtId="11" fontId="0" fillId="4" borderId="0" xfId="0" applyNumberFormat="1" applyFill="1"/>
    <xf numFmtId="12" fontId="0" fillId="4" borderId="0" xfId="0" applyNumberFormat="1" applyFill="1"/>
    <xf numFmtId="0" fontId="2" fillId="2" borderId="1" xfId="0" applyNumberFormat="1" applyFont="1" applyFill="1" applyBorder="1"/>
    <xf numFmtId="0" fontId="2" fillId="2" borderId="1" xfId="0" applyFont="1" applyFill="1" applyBorder="1"/>
    <xf numFmtId="0" fontId="1" fillId="0" borderId="0" xfId="0" applyFont="1" applyFill="1" applyBorder="1"/>
    <xf numFmtId="164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2" fontId="2" fillId="3" borderId="0" xfId="0" applyNumberFormat="1" applyFont="1" applyFill="1"/>
    <xf numFmtId="2" fontId="0" fillId="3" borderId="0" xfId="0" applyNumberFormat="1" applyFill="1"/>
    <xf numFmtId="0" fontId="0" fillId="2" borderId="0" xfId="0" applyFill="1"/>
    <xf numFmtId="11" fontId="0" fillId="2" borderId="0" xfId="0" applyNumberFormat="1" applyFill="1"/>
    <xf numFmtId="11" fontId="0" fillId="4" borderId="0" xfId="0" applyNumberFormat="1" applyFill="1" applyBorder="1"/>
    <xf numFmtId="2" fontId="2" fillId="2" borderId="0" xfId="0" applyNumberFormat="1" applyFont="1" applyFill="1" applyBorder="1"/>
    <xf numFmtId="0" fontId="2" fillId="2" borderId="0" xfId="0" applyNumberFormat="1" applyFont="1" applyFill="1" applyBorder="1"/>
    <xf numFmtId="2" fontId="2" fillId="3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2.5" x14ac:dyDescent="0.25"/>
  <cols>
    <col min="1" max="1" width="12.54296875" customWidth="1"/>
    <col min="2" max="2" width="13.26953125" customWidth="1"/>
    <col min="3" max="3" width="12.54296875" customWidth="1"/>
    <col min="4" max="4" width="16" bestFit="1" customWidth="1"/>
    <col min="5" max="5" width="13" customWidth="1"/>
    <col min="6" max="6" width="12.453125" bestFit="1" customWidth="1"/>
    <col min="7" max="7" width="9.1796875" style="1" customWidth="1"/>
    <col min="8" max="8" width="12.453125" bestFit="1" customWidth="1"/>
    <col min="9" max="9" width="11.81640625" customWidth="1"/>
    <col min="10" max="10" width="15" customWidth="1"/>
    <col min="12" max="14" width="12.453125" bestFit="1" customWidth="1"/>
    <col min="15" max="15" width="14.54296875" bestFit="1" customWidth="1"/>
    <col min="16" max="16" width="14.81640625" bestFit="1" customWidth="1"/>
    <col min="17" max="17" width="19.7265625" bestFit="1" customWidth="1"/>
    <col min="18" max="18" width="15.26953125" bestFit="1" customWidth="1"/>
    <col min="19" max="19" width="12" bestFit="1" customWidth="1"/>
    <col min="20" max="20" width="12.453125" bestFit="1" customWidth="1"/>
    <col min="21" max="21" width="13.81640625" bestFit="1" customWidth="1"/>
  </cols>
  <sheetData>
    <row r="1" spans="1:22" ht="13" thickBot="1" x14ac:dyDescent="0.3">
      <c r="B1" t="s">
        <v>0</v>
      </c>
      <c r="C1" t="s">
        <v>82</v>
      </c>
      <c r="D1" s="4" t="s">
        <v>70</v>
      </c>
      <c r="E1" s="4" t="s">
        <v>83</v>
      </c>
      <c r="F1" t="s">
        <v>64</v>
      </c>
      <c r="G1" s="4" t="s">
        <v>6</v>
      </c>
      <c r="H1" s="4" t="s">
        <v>85</v>
      </c>
      <c r="I1" s="2" t="s">
        <v>86</v>
      </c>
      <c r="J1" t="s">
        <v>84</v>
      </c>
      <c r="K1" s="4" t="s">
        <v>11</v>
      </c>
      <c r="L1" s="4" t="s">
        <v>10</v>
      </c>
      <c r="M1" s="4"/>
      <c r="N1" s="4" t="s">
        <v>9</v>
      </c>
      <c r="O1" s="4" t="s">
        <v>8</v>
      </c>
      <c r="P1" s="4" t="s">
        <v>65</v>
      </c>
      <c r="Q1" s="4" t="s">
        <v>7</v>
      </c>
      <c r="R1" s="4" t="s">
        <v>75</v>
      </c>
      <c r="S1" s="4" t="s">
        <v>91</v>
      </c>
      <c r="T1" s="4" t="s">
        <v>92</v>
      </c>
      <c r="U1" s="4" t="s">
        <v>93</v>
      </c>
      <c r="V1" s="4" t="s">
        <v>80</v>
      </c>
    </row>
    <row r="2" spans="1:22" s="3" customFormat="1" ht="13.5" thickBot="1" x14ac:dyDescent="0.35">
      <c r="B2" s="19">
        <v>3.75</v>
      </c>
      <c r="C2" s="9">
        <v>0.434</v>
      </c>
      <c r="D2" s="19">
        <v>8</v>
      </c>
      <c r="E2" s="9">
        <v>0.01</v>
      </c>
      <c r="F2" s="20">
        <v>15</v>
      </c>
      <c r="G2" s="6">
        <f>SIN((A20/180)*PI())*(F19*D2*100000000000000000000*SQRT((gamma+1)*k*B2*A21/(massi*amu)))</f>
        <v>7.7435505325592999E+24</v>
      </c>
      <c r="H2" s="3">
        <f>G2*SQRT(0.5*(C2/B2)^2+(E2/D2)^2)</f>
        <v>6.3377376468524641E+23</v>
      </c>
      <c r="I2" s="22">
        <f>SIN((A20/180)*PI())*(F19*D2*100000000000000000000*SQRT((gamma+1)*k*A21*B2/(amu*massi)))*k*A21*B2*hf_factor*0.000001</f>
        <v>56.252447356179964</v>
      </c>
      <c r="J2" s="3">
        <f>I2*SQRT(1.5*(C2/B2)^2+(E2/D2)^2)</f>
        <v>7.9737460511888916</v>
      </c>
      <c r="K2" s="6">
        <f>(G2*2*PI()*(F2/2.35482*0.001)^2)/SIN((A20/180)*PI())</f>
        <v>1.9741815636913905E+21</v>
      </c>
      <c r="L2" s="23">
        <f>I2*2*PI()*(F2/2.35482*0.001)^2*1000000</f>
        <v>14341.295251596597</v>
      </c>
      <c r="M2" s="5"/>
      <c r="N2" s="23">
        <f>SQRT((k*(1+gamma)*B2)/(massi*amu))</f>
        <v>15487.101065118599</v>
      </c>
      <c r="O2" s="22">
        <f>K2*1.6022E-19</f>
        <v>316.30337013463458</v>
      </c>
      <c r="P2" s="3">
        <f>D2*B2*k*3/2*100000000000000000000</f>
        <v>720.99</v>
      </c>
      <c r="Q2" s="6">
        <f>G2*1.6022E-19</f>
        <v>1240671.6663266511</v>
      </c>
      <c r="R2" s="3">
        <f>F2/SIN((A20/180)*PI())</f>
        <v>15</v>
      </c>
      <c r="S2" s="3">
        <f>R2/2.355</f>
        <v>6.369426751592357</v>
      </c>
      <c r="T2" s="3">
        <v>25</v>
      </c>
      <c r="U2" s="6">
        <f>G2*EXP(-(T2^2)/(2*S2^2))</f>
        <v>3.4966420250383153E+21</v>
      </c>
      <c r="V2" s="6">
        <f>U2/G2</f>
        <v>4.5155539572396252E-4</v>
      </c>
    </row>
    <row r="3" spans="1:22" ht="13" x14ac:dyDescent="0.3">
      <c r="F3" t="s">
        <v>66</v>
      </c>
      <c r="G3" s="9">
        <v>11.5</v>
      </c>
      <c r="H3" s="1"/>
    </row>
    <row r="4" spans="1:22" ht="13" x14ac:dyDescent="0.3">
      <c r="A4" s="16">
        <v>1.6022000000000001E-19</v>
      </c>
      <c r="B4" t="s">
        <v>4</v>
      </c>
      <c r="F4" s="4" t="s">
        <v>68</v>
      </c>
      <c r="G4" s="9"/>
      <c r="H4" s="1"/>
    </row>
    <row r="5" spans="1:22" ht="13" x14ac:dyDescent="0.3">
      <c r="A5" s="17">
        <v>1.6700000000000002E-27</v>
      </c>
      <c r="B5" s="4" t="s">
        <v>5</v>
      </c>
      <c r="F5" s="21" t="s">
        <v>69</v>
      </c>
      <c r="G5" s="9">
        <v>0</v>
      </c>
      <c r="H5" s="1"/>
      <c r="I5">
        <f>+k</f>
        <v>1.6022000000000001E-19</v>
      </c>
    </row>
    <row r="6" spans="1:22" x14ac:dyDescent="0.25">
      <c r="A6" s="18">
        <v>1.6666666666666667</v>
      </c>
      <c r="B6" t="s">
        <v>3</v>
      </c>
      <c r="F6" s="1"/>
      <c r="G6"/>
    </row>
    <row r="7" spans="1:22" ht="13" x14ac:dyDescent="0.3">
      <c r="A7" s="10">
        <f>B51</f>
        <v>12.090751353037831</v>
      </c>
      <c r="B7" t="s">
        <v>2</v>
      </c>
      <c r="D7" s="4" t="s">
        <v>63</v>
      </c>
      <c r="E7" s="6">
        <f>(G3*3600+G4*60+G5)*G2</f>
        <v>3.2058299204795502E+29</v>
      </c>
      <c r="F7" s="1"/>
      <c r="G7"/>
    </row>
    <row r="8" spans="1:22" ht="13" x14ac:dyDescent="0.3">
      <c r="A8" s="31">
        <v>4</v>
      </c>
      <c r="B8" t="s">
        <v>1</v>
      </c>
      <c r="D8" t="s">
        <v>99</v>
      </c>
      <c r="E8" s="28">
        <v>1.9999999999999998E+29</v>
      </c>
      <c r="K8" t="s">
        <v>76</v>
      </c>
      <c r="L8" t="s">
        <v>79</v>
      </c>
      <c r="M8" t="s">
        <v>80</v>
      </c>
    </row>
    <row r="9" spans="1:22" ht="13" x14ac:dyDescent="0.3">
      <c r="A9" s="29">
        <v>9.1089999999999993E-31</v>
      </c>
      <c r="B9" s="4" t="s">
        <v>18</v>
      </c>
      <c r="D9" s="4" t="s">
        <v>100</v>
      </c>
      <c r="E9" s="23">
        <f>((E8-E7)/G2)/3600</f>
        <v>-4.3255707350315395</v>
      </c>
      <c r="K9" t="s">
        <v>77</v>
      </c>
      <c r="L9" s="27">
        <v>6.9409999999999998</v>
      </c>
      <c r="M9" s="27">
        <v>0.2</v>
      </c>
    </row>
    <row r="10" spans="1:22" ht="13" x14ac:dyDescent="0.3">
      <c r="A10" s="30">
        <v>0</v>
      </c>
      <c r="B10" s="4" t="s">
        <v>101</v>
      </c>
      <c r="F10" s="4" t="s">
        <v>71</v>
      </c>
      <c r="I10">
        <f>SQRT((gamma+1)*k*B2*A21/(massi*amu))</f>
        <v>15487.101065118599</v>
      </c>
      <c r="K10" t="s">
        <v>78</v>
      </c>
      <c r="L10" s="27">
        <v>1</v>
      </c>
      <c r="M10" s="27">
        <f>1-M9</f>
        <v>0.8</v>
      </c>
    </row>
    <row r="11" spans="1:22" ht="13" x14ac:dyDescent="0.3">
      <c r="A11" s="32">
        <f>IF(F11=0,Vf,F11)</f>
        <v>-11.942195956486451</v>
      </c>
      <c r="B11" s="4" t="s">
        <v>36</v>
      </c>
      <c r="F11" s="9">
        <v>0</v>
      </c>
      <c r="K11" t="s">
        <v>81</v>
      </c>
      <c r="M11">
        <f>L10*M10+L9*M9</f>
        <v>2.1882000000000001</v>
      </c>
    </row>
    <row r="12" spans="1:22" ht="13" x14ac:dyDescent="0.3">
      <c r="A12" s="10">
        <v>1</v>
      </c>
      <c r="B12" s="4" t="s">
        <v>16</v>
      </c>
    </row>
    <row r="13" spans="1:22" ht="13" x14ac:dyDescent="0.3">
      <c r="A13" s="10">
        <v>0.4</v>
      </c>
      <c r="B13" s="4" t="s">
        <v>95</v>
      </c>
    </row>
    <row r="14" spans="1:22" ht="13" x14ac:dyDescent="0.3">
      <c r="A14" s="10">
        <v>0.6</v>
      </c>
      <c r="B14" s="4" t="s">
        <v>96</v>
      </c>
    </row>
    <row r="15" spans="1:22" ht="13" x14ac:dyDescent="0.3">
      <c r="A15" s="10">
        <v>0.15</v>
      </c>
      <c r="B15" s="4" t="s">
        <v>58</v>
      </c>
    </row>
    <row r="16" spans="1:22" ht="13" x14ac:dyDescent="0.3">
      <c r="A16" s="10">
        <v>24.6</v>
      </c>
      <c r="B16" s="4" t="s">
        <v>102</v>
      </c>
    </row>
    <row r="17" spans="1:10" ht="13" x14ac:dyDescent="0.3">
      <c r="A17" s="10">
        <v>0</v>
      </c>
      <c r="B17" s="4" t="s">
        <v>59</v>
      </c>
    </row>
    <row r="18" spans="1:10" ht="13" x14ac:dyDescent="0.3">
      <c r="A18" s="10">
        <v>1</v>
      </c>
      <c r="B18" s="4" t="s">
        <v>60</v>
      </c>
    </row>
    <row r="19" spans="1:10" ht="13" x14ac:dyDescent="0.3">
      <c r="A19" s="10">
        <v>0.5</v>
      </c>
      <c r="B19" s="4" t="s">
        <v>73</v>
      </c>
      <c r="E19" t="s">
        <v>98</v>
      </c>
      <c r="F19">
        <f>(1+A19^2)/2</f>
        <v>0.625</v>
      </c>
      <c r="H19" t="s">
        <v>97</v>
      </c>
    </row>
    <row r="20" spans="1:10" ht="13" x14ac:dyDescent="0.3">
      <c r="A20" s="10">
        <v>90</v>
      </c>
      <c r="B20" s="4" t="s">
        <v>74</v>
      </c>
    </row>
    <row r="21" spans="1:10" ht="13" x14ac:dyDescent="0.3">
      <c r="A21" s="10">
        <v>1</v>
      </c>
      <c r="B21" s="4" t="s">
        <v>94</v>
      </c>
    </row>
    <row r="22" spans="1:10" x14ac:dyDescent="0.25">
      <c r="J22">
        <f>3.2*0.6</f>
        <v>1.92</v>
      </c>
    </row>
    <row r="23" spans="1:10" x14ac:dyDescent="0.25">
      <c r="A23" s="4" t="s">
        <v>12</v>
      </c>
    </row>
    <row r="24" spans="1:10" x14ac:dyDescent="0.25">
      <c r="A24" s="4" t="s">
        <v>13</v>
      </c>
      <c r="B24">
        <f>0.5*D2*100000000000000000000</f>
        <v>4E+20</v>
      </c>
      <c r="C24" s="4" t="s">
        <v>14</v>
      </c>
      <c r="D24" s="4" t="s">
        <v>25</v>
      </c>
    </row>
    <row r="25" spans="1:10" x14ac:dyDescent="0.25">
      <c r="A25" s="4"/>
      <c r="C25" s="4"/>
    </row>
    <row r="26" spans="1:10" x14ac:dyDescent="0.25">
      <c r="A26" s="4" t="s">
        <v>15</v>
      </c>
      <c r="B26" s="15">
        <f>SQRT(k*(B2+B2*tau)/(massi*amu))</f>
        <v>13412.222953369743</v>
      </c>
      <c r="C26" s="4" t="s">
        <v>20</v>
      </c>
      <c r="D26" s="4" t="s">
        <v>24</v>
      </c>
    </row>
    <row r="27" spans="1:10" x14ac:dyDescent="0.25">
      <c r="A27" s="4" t="s">
        <v>17</v>
      </c>
      <c r="B27" s="24">
        <f>SQRT(8*k*B2/(PI()*me))</f>
        <v>1296011.0477918282</v>
      </c>
      <c r="C27" s="4" t="s">
        <v>19</v>
      </c>
      <c r="D27" s="4" t="s">
        <v>24</v>
      </c>
    </row>
    <row r="28" spans="1:10" x14ac:dyDescent="0.25">
      <c r="A28" s="4" t="s">
        <v>21</v>
      </c>
      <c r="B28" s="15">
        <f>k*B24*B26</f>
        <v>859562.54463556013</v>
      </c>
      <c r="C28" s="4" t="s">
        <v>22</v>
      </c>
      <c r="D28" s="4" t="s">
        <v>26</v>
      </c>
      <c r="E28" s="4" t="s">
        <v>23</v>
      </c>
    </row>
    <row r="29" spans="1:10" x14ac:dyDescent="0.25">
      <c r="A29" s="4" t="s">
        <v>27</v>
      </c>
      <c r="B29" s="1">
        <f>B28/k</f>
        <v>5.3648891813478967E+24</v>
      </c>
      <c r="D29" s="4" t="s">
        <v>28</v>
      </c>
    </row>
    <row r="30" spans="1:10" x14ac:dyDescent="0.25">
      <c r="A30" s="4" t="s">
        <v>35</v>
      </c>
      <c r="B30" s="14">
        <f>0.5*LN((2*PI()*me/(massi*amu))*(1+tau)*(1/((1-see)^2)))</f>
        <v>-3.1845855883963869</v>
      </c>
      <c r="C30" s="4" t="s">
        <v>30</v>
      </c>
      <c r="D30" s="4"/>
      <c r="E30" s="4" t="s">
        <v>31</v>
      </c>
    </row>
    <row r="31" spans="1:10" ht="13" x14ac:dyDescent="0.3">
      <c r="A31" s="4" t="s">
        <v>29</v>
      </c>
      <c r="B31" s="25">
        <f>B2*B30</f>
        <v>-11.942195956486451</v>
      </c>
      <c r="C31" s="4"/>
      <c r="D31" s="4"/>
      <c r="E31" s="11" t="s">
        <v>72</v>
      </c>
      <c r="F31" s="12"/>
      <c r="G31" s="13"/>
      <c r="H31" s="12"/>
    </row>
    <row r="32" spans="1:10" x14ac:dyDescent="0.25">
      <c r="A32" s="4" t="s">
        <v>32</v>
      </c>
      <c r="B32" s="15">
        <f>0.25*n_se*c_se*k*(1-see)*EXP(Vbias/B2)</f>
        <v>859562.54463556013</v>
      </c>
      <c r="C32" s="4" t="s">
        <v>34</v>
      </c>
      <c r="D32" s="4" t="s">
        <v>26</v>
      </c>
      <c r="E32" s="4" t="s">
        <v>33</v>
      </c>
    </row>
    <row r="33" spans="1:18" x14ac:dyDescent="0.25">
      <c r="A33" s="4" t="s">
        <v>37</v>
      </c>
      <c r="B33" s="1">
        <f>B32/k</f>
        <v>5.3648891813478967E+24</v>
      </c>
    </row>
    <row r="34" spans="1:18" x14ac:dyDescent="0.25">
      <c r="A34" s="4" t="s">
        <v>38</v>
      </c>
      <c r="B34" s="24">
        <f>0.25*n_se*c_se*k*EXP(Vbias/B2)</f>
        <v>859562.54463556013</v>
      </c>
      <c r="C34" s="4" t="s">
        <v>39</v>
      </c>
      <c r="D34" s="4" t="s">
        <v>26</v>
      </c>
      <c r="E34" s="4" t="s">
        <v>41</v>
      </c>
    </row>
    <row r="35" spans="1:18" x14ac:dyDescent="0.25">
      <c r="A35" s="4" t="s">
        <v>40</v>
      </c>
      <c r="B35" s="1">
        <f>B34/k</f>
        <v>5.3648891813478967E+24</v>
      </c>
      <c r="E35" s="1">
        <f>B34-B28</f>
        <v>0</v>
      </c>
    </row>
    <row r="36" spans="1:18" x14ac:dyDescent="0.25">
      <c r="A36" s="4" t="s">
        <v>48</v>
      </c>
      <c r="B36" s="1">
        <f>B33/B29</f>
        <v>1</v>
      </c>
    </row>
    <row r="37" spans="1:18" x14ac:dyDescent="0.25">
      <c r="A37" s="4" t="s">
        <v>49</v>
      </c>
      <c r="B37" s="14">
        <f>B35/B29</f>
        <v>1</v>
      </c>
      <c r="E37" s="1">
        <f>+B35/B29</f>
        <v>1</v>
      </c>
    </row>
    <row r="38" spans="1:18" x14ac:dyDescent="0.25">
      <c r="R38">
        <f>0.01/2</f>
        <v>5.0000000000000001E-3</v>
      </c>
    </row>
    <row r="39" spans="1:18" x14ac:dyDescent="0.25">
      <c r="A39" s="4" t="s">
        <v>42</v>
      </c>
      <c r="C39" s="4" t="s">
        <v>43</v>
      </c>
    </row>
    <row r="40" spans="1:18" x14ac:dyDescent="0.25">
      <c r="A40" s="4" t="s">
        <v>44</v>
      </c>
      <c r="B40" s="7">
        <f>(2.5*tau*B2)*(1-Ri_E)</f>
        <v>5.625</v>
      </c>
      <c r="D40" s="4" t="s">
        <v>47</v>
      </c>
    </row>
    <row r="41" spans="1:18" x14ac:dyDescent="0.25">
      <c r="A41" s="4" t="s">
        <v>45</v>
      </c>
      <c r="B41" s="7">
        <f>(-1*Vbias)*(1-Ri_E)</f>
        <v>7.16531757389187</v>
      </c>
      <c r="D41" s="4" t="s">
        <v>47</v>
      </c>
    </row>
    <row r="42" spans="1:18" x14ac:dyDescent="0.25">
      <c r="A42" s="4" t="s">
        <v>46</v>
      </c>
      <c r="B42" s="7">
        <f>(2*B2)*B35/B29*(1-Re_E)</f>
        <v>6.375</v>
      </c>
      <c r="D42" s="4" t="s">
        <v>47</v>
      </c>
    </row>
    <row r="43" spans="1:18" x14ac:dyDescent="0.25">
      <c r="A43" s="4" t="s">
        <v>51</v>
      </c>
      <c r="B43" s="7">
        <f>A16</f>
        <v>24.6</v>
      </c>
      <c r="D43" s="4" t="s">
        <v>47</v>
      </c>
    </row>
    <row r="44" spans="1:18" x14ac:dyDescent="0.25">
      <c r="A44" s="4" t="s">
        <v>50</v>
      </c>
      <c r="B44" s="7">
        <f>0.7*B2*(1-Ri_E)</f>
        <v>1.575</v>
      </c>
      <c r="D44" s="4" t="s">
        <v>47</v>
      </c>
    </row>
    <row r="45" spans="1:18" x14ac:dyDescent="0.25">
      <c r="A45" s="4" t="s">
        <v>52</v>
      </c>
      <c r="B45">
        <f>A17*(1-A14)</f>
        <v>0</v>
      </c>
      <c r="D45" s="4" t="s">
        <v>47</v>
      </c>
    </row>
    <row r="46" spans="1:18" x14ac:dyDescent="0.25">
      <c r="A46" s="4" t="s">
        <v>53</v>
      </c>
      <c r="B46" s="7">
        <f>B42</f>
        <v>6.375</v>
      </c>
      <c r="D46" s="4" t="s">
        <v>47</v>
      </c>
    </row>
    <row r="47" spans="1:18" x14ac:dyDescent="0.25">
      <c r="A47" s="4" t="s">
        <v>54</v>
      </c>
      <c r="B47" s="7">
        <f>B40+B41+B44</f>
        <v>14.365317573891868</v>
      </c>
      <c r="D47" s="4" t="s">
        <v>47</v>
      </c>
    </row>
    <row r="48" spans="1:18" x14ac:dyDescent="0.25">
      <c r="A48" s="4" t="s">
        <v>87</v>
      </c>
      <c r="B48" s="7">
        <f>B45+B43</f>
        <v>24.6</v>
      </c>
      <c r="D48" s="4" t="s">
        <v>47</v>
      </c>
    </row>
    <row r="49" spans="1:15" x14ac:dyDescent="0.25">
      <c r="A49" s="4" t="s">
        <v>55</v>
      </c>
      <c r="B49" s="7">
        <f>B46+B47+B48</f>
        <v>45.340317573891866</v>
      </c>
      <c r="D49" s="4" t="s">
        <v>47</v>
      </c>
    </row>
    <row r="50" spans="1:15" x14ac:dyDescent="0.25">
      <c r="A50" s="4" t="s">
        <v>57</v>
      </c>
      <c r="B50" s="1">
        <f>(B47+B48)/B46</f>
        <v>6.1122066782575475</v>
      </c>
      <c r="D50" s="8">
        <f>B47/B49</f>
        <v>0.31683319267626375</v>
      </c>
      <c r="M50" t="s">
        <v>90</v>
      </c>
      <c r="N50" t="s">
        <v>88</v>
      </c>
      <c r="O50" t="s">
        <v>89</v>
      </c>
    </row>
    <row r="51" spans="1:15" x14ac:dyDescent="0.25">
      <c r="A51" s="4" t="s">
        <v>56</v>
      </c>
      <c r="B51" s="26">
        <f>B49/B2</f>
        <v>12.090751353037831</v>
      </c>
      <c r="E51" s="11" t="s">
        <v>67</v>
      </c>
      <c r="F51" s="12"/>
      <c r="G51" s="13"/>
      <c r="H51" s="12"/>
      <c r="I51" s="12"/>
      <c r="M51">
        <v>5.5</v>
      </c>
      <c r="N51">
        <v>1.5</v>
      </c>
      <c r="O51">
        <v>3.2</v>
      </c>
    </row>
    <row r="52" spans="1:15" x14ac:dyDescent="0.25">
      <c r="A52" s="4" t="s">
        <v>61</v>
      </c>
      <c r="B52" s="7">
        <f>B2*LN(4*f_j*c_si/c_se*(1/(1-see)))</f>
        <v>-11.942195956486451</v>
      </c>
      <c r="C52" t="s">
        <v>62</v>
      </c>
      <c r="D52" t="s">
        <v>47</v>
      </c>
      <c r="N52">
        <f>N51*M51</f>
        <v>8.25</v>
      </c>
      <c r="O52">
        <f>O51*M51</f>
        <v>17.600000000000001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Calc particle &amp; heat fluxes</vt:lpstr>
      <vt:lpstr>amu</vt:lpstr>
      <vt:lpstr>c_se</vt:lpstr>
      <vt:lpstr>c_si</vt:lpstr>
      <vt:lpstr>f_j</vt:lpstr>
      <vt:lpstr>gamma</vt:lpstr>
      <vt:lpstr>hf_factor</vt:lpstr>
      <vt:lpstr>k</vt:lpstr>
      <vt:lpstr>m</vt:lpstr>
      <vt:lpstr>massai</vt:lpstr>
      <vt:lpstr>massi</vt:lpstr>
      <vt:lpstr>me</vt:lpstr>
      <vt:lpstr>mi</vt:lpstr>
      <vt:lpstr>n_se</vt:lpstr>
      <vt:lpstr>Re_E</vt:lpstr>
      <vt:lpstr>Ri_E</vt:lpstr>
      <vt:lpstr>Ri_N</vt:lpstr>
      <vt:lpstr>see</vt:lpstr>
      <vt:lpstr>tau</vt:lpstr>
      <vt:lpstr>Vbias</vt:lpstr>
      <vt:lpstr>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van den Berg</dc:creator>
  <cp:lastModifiedBy>Maria M.A. Demitrion Cunha</cp:lastModifiedBy>
  <dcterms:created xsi:type="dcterms:W3CDTF">2012-03-15T10:40:16Z</dcterms:created>
  <dcterms:modified xsi:type="dcterms:W3CDTF">2021-06-22T15:03:07Z</dcterms:modified>
</cp:coreProperties>
</file>